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DieseArbeitsmappe" defaultThemeVersion="166925"/>
  <mc:AlternateContent xmlns:mc="http://schemas.openxmlformats.org/markup-compatibility/2006">
    <mc:Choice Requires="x15">
      <x15ac:absPath xmlns:x15ac="http://schemas.microsoft.com/office/spreadsheetml/2010/11/ac" url="C:\Users\w_oes\Documents\Excel\"/>
    </mc:Choice>
  </mc:AlternateContent>
  <xr:revisionPtr revIDLastSave="0" documentId="13_ncr:1_{8B52C620-E1C7-4D3B-9725-AB1DD308E45C}" xr6:coauthVersionLast="47" xr6:coauthVersionMax="47" xr10:uidLastSave="{00000000-0000-0000-0000-000000000000}"/>
  <bookViews>
    <workbookView xWindow="-108" yWindow="-108" windowWidth="23256" windowHeight="13176" xr2:uid="{F2125CDD-4AB6-400C-B4BF-0B9E1626C133}"/>
  </bookViews>
  <sheets>
    <sheet name="Tabelle1" sheetId="1" r:id="rId1"/>
    <sheet name="Tabelle2" sheetId="2" r:id="rId2"/>
    <sheet name="Tabelle3" sheetId="3" r:id="rId3"/>
    <sheet name="Tabelle4" sheetId="4" r:id="rId4"/>
    <sheet name="Tabelle5" sheetId="5" r:id="rId5"/>
    <sheet name="Tabelle6" sheetId="6" r:id="rId6"/>
    <sheet name="Tabelle7" sheetId="7" r:id="rId7"/>
    <sheet name="Tabelle8" sheetId="8" r:id="rId8"/>
    <sheet name="Tabelle9" sheetId="9" r:id="rId9"/>
    <sheet name="Tabelle10" sheetId="10" r:id="rId10"/>
    <sheet name="Tabelle11" sheetId="11" r:id="rId11"/>
    <sheet name="Tabelle12" sheetId="12" r:id="rId12"/>
    <sheet name="Tabelle13" sheetId="13" r:id="rId13"/>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6" i="1" l="1"/>
  <c r="F96" i="1" s="1"/>
  <c r="D96" i="1"/>
  <c r="G96" i="1" s="1"/>
  <c r="E95" i="1"/>
  <c r="F95" i="1" s="1"/>
  <c r="D95" i="1"/>
  <c r="G95" i="1" s="1"/>
  <c r="E94" i="1"/>
  <c r="F94" i="1" s="1"/>
  <c r="D94" i="1"/>
  <c r="G94" i="1" s="1"/>
  <c r="E93" i="1"/>
  <c r="F93" i="1" s="1"/>
  <c r="D93" i="1"/>
  <c r="G93" i="1" s="1"/>
  <c r="E92" i="1"/>
  <c r="F92" i="1" s="1"/>
  <c r="D92" i="1"/>
  <c r="G92" i="1" s="1"/>
  <c r="E91" i="1"/>
  <c r="F91" i="1" s="1"/>
  <c r="D91" i="1"/>
  <c r="G91" i="1" s="1"/>
  <c r="E90" i="1"/>
  <c r="F90" i="1" s="1"/>
  <c r="D90" i="1"/>
  <c r="G90" i="1" s="1"/>
  <c r="E89" i="1"/>
  <c r="F89" i="1" s="1"/>
  <c r="D89" i="1"/>
  <c r="G89" i="1" s="1"/>
  <c r="D11" i="13"/>
  <c r="E11" i="13" s="1"/>
  <c r="C11" i="13"/>
  <c r="F11" i="13" s="1"/>
  <c r="D10" i="13"/>
  <c r="E10" i="13" s="1"/>
  <c r="C10" i="13"/>
  <c r="F10" i="13" s="1"/>
  <c r="I8" i="9"/>
  <c r="D15" i="13"/>
  <c r="E15" i="13" s="1"/>
  <c r="C15" i="13"/>
  <c r="F15" i="13" s="1"/>
  <c r="D14" i="13"/>
  <c r="E14" i="13" s="1"/>
  <c r="C14" i="13"/>
  <c r="F14" i="13" s="1"/>
  <c r="D13" i="13"/>
  <c r="E13" i="13" s="1"/>
  <c r="C13" i="13"/>
  <c r="F13" i="13" s="1"/>
  <c r="D12" i="13"/>
  <c r="E12" i="13" s="1"/>
  <c r="C12" i="13"/>
  <c r="F12" i="13" s="1"/>
  <c r="D9" i="13"/>
  <c r="E9" i="13" s="1"/>
  <c r="C9" i="13"/>
  <c r="F9" i="13" s="1"/>
  <c r="D8" i="13"/>
  <c r="E8" i="13" s="1"/>
  <c r="C8" i="13"/>
  <c r="F8" i="13" s="1"/>
  <c r="D9" i="7"/>
  <c r="E9" i="7" s="1"/>
  <c r="C9" i="7"/>
  <c r="F9" i="7" s="1"/>
  <c r="D8" i="7"/>
  <c r="E8" i="7" s="1"/>
  <c r="C8" i="7"/>
  <c r="F8" i="7" s="1"/>
  <c r="E85" i="1"/>
  <c r="F85" i="1" s="1"/>
  <c r="D85" i="1"/>
  <c r="G85" i="1" s="1"/>
  <c r="E84" i="1"/>
  <c r="F84" i="1" s="1"/>
  <c r="D84" i="1"/>
  <c r="G84" i="1" s="1"/>
  <c r="E70" i="13"/>
  <c r="C70" i="13"/>
  <c r="E68" i="13"/>
  <c r="C68" i="13"/>
  <c r="C21" i="13"/>
  <c r="D45" i="13"/>
  <c r="D44" i="13"/>
  <c r="C44" i="13"/>
  <c r="B20" i="13"/>
  <c r="B21" i="13" s="1"/>
  <c r="D21" i="13" s="1"/>
  <c r="F81" i="13" l="1"/>
  <c r="C76" i="13"/>
  <c r="C82" i="13"/>
  <c r="F76" i="13"/>
  <c r="F82" i="13"/>
  <c r="C78" i="13"/>
  <c r="F73" i="13"/>
  <c r="F79" i="13"/>
  <c r="C81" i="13"/>
  <c r="F72" i="13"/>
  <c r="F75" i="13"/>
  <c r="F78" i="13"/>
  <c r="C72" i="13"/>
  <c r="C75" i="13"/>
  <c r="C73" i="13"/>
  <c r="C79" i="13"/>
  <c r="C45" i="13"/>
  <c r="C20" i="13"/>
  <c r="D20" i="13"/>
  <c r="B22" i="13"/>
  <c r="D22" i="13" l="1"/>
  <c r="C46" i="13"/>
  <c r="C22" i="13"/>
  <c r="D46" i="13"/>
  <c r="B23" i="13"/>
  <c r="C23" i="13" l="1"/>
  <c r="D47" i="13"/>
  <c r="D23" i="13"/>
  <c r="C47" i="13"/>
  <c r="B24" i="13"/>
  <c r="D24" i="13" l="1"/>
  <c r="C48" i="13"/>
  <c r="C24" i="13"/>
  <c r="D48" i="13"/>
  <c r="B25" i="13"/>
  <c r="C25" i="13" l="1"/>
  <c r="D25" i="13"/>
  <c r="C49" i="13"/>
  <c r="D49" i="13"/>
  <c r="B26" i="13"/>
  <c r="D26" i="13" l="1"/>
  <c r="C50" i="13"/>
  <c r="C26" i="13"/>
  <c r="D50" i="13"/>
  <c r="B27" i="13"/>
  <c r="D51" i="13" l="1"/>
  <c r="D27" i="13"/>
  <c r="C51" i="13"/>
  <c r="C27" i="13"/>
  <c r="B28" i="13"/>
  <c r="D28" i="13" l="1"/>
  <c r="C52" i="13"/>
  <c r="C28" i="13"/>
  <c r="D52" i="13"/>
  <c r="B29" i="13"/>
  <c r="D53" i="13" l="1"/>
  <c r="C29" i="13"/>
  <c r="D29" i="13"/>
  <c r="C53" i="13"/>
  <c r="B30" i="13"/>
  <c r="D30" i="13" l="1"/>
  <c r="C54" i="13"/>
  <c r="C30" i="13"/>
  <c r="D54" i="13"/>
  <c r="B31" i="13"/>
  <c r="C31" i="13" l="1"/>
  <c r="D31" i="13"/>
  <c r="C55" i="13"/>
  <c r="D55" i="13"/>
  <c r="B32" i="13"/>
  <c r="D32" i="13" l="1"/>
  <c r="C56" i="13"/>
  <c r="C32" i="13"/>
  <c r="D56" i="13"/>
  <c r="B33" i="13"/>
  <c r="D57" i="13" l="1"/>
  <c r="D33" i="13"/>
  <c r="C57" i="13"/>
  <c r="C33" i="13"/>
  <c r="B34" i="13"/>
  <c r="D34" i="13" l="1"/>
  <c r="C58" i="13"/>
  <c r="C34" i="13"/>
  <c r="D58" i="13"/>
  <c r="B35" i="13"/>
  <c r="D59" i="13" l="1"/>
  <c r="C35" i="13"/>
  <c r="D35" i="13"/>
  <c r="C59" i="13"/>
  <c r="B36" i="13"/>
  <c r="D36" i="13" l="1"/>
  <c r="C60" i="13"/>
  <c r="C36" i="13"/>
  <c r="D60" i="13"/>
  <c r="B37" i="13"/>
  <c r="C37" i="13" l="1"/>
  <c r="D37" i="13"/>
  <c r="C61" i="13"/>
  <c r="D61" i="13"/>
  <c r="B38" i="13"/>
  <c r="F8" i="4"/>
  <c r="E8" i="4"/>
  <c r="G44" i="1"/>
  <c r="F44" i="1"/>
  <c r="E44" i="1"/>
  <c r="D44" i="1"/>
  <c r="F9" i="10"/>
  <c r="E9" i="10"/>
  <c r="F8" i="10"/>
  <c r="E8" i="10"/>
  <c r="G36" i="1"/>
  <c r="F36" i="1"/>
  <c r="G61" i="1"/>
  <c r="F61" i="1"/>
  <c r="G60" i="1"/>
  <c r="F60" i="1"/>
  <c r="D23" i="12"/>
  <c r="B23" i="12"/>
  <c r="C13" i="12"/>
  <c r="D17" i="12" s="1"/>
  <c r="B13" i="12"/>
  <c r="B17" i="12" s="1"/>
  <c r="E19" i="12"/>
  <c r="E18" i="12"/>
  <c r="B19" i="12"/>
  <c r="B18" i="12"/>
  <c r="F8" i="12"/>
  <c r="E8" i="12"/>
  <c r="D8" i="12"/>
  <c r="C8" i="12"/>
  <c r="G52" i="1"/>
  <c r="F52" i="1"/>
  <c r="E52" i="1"/>
  <c r="D52" i="1"/>
  <c r="D48" i="1"/>
  <c r="C8" i="11"/>
  <c r="E48" i="1"/>
  <c r="D8" i="11"/>
  <c r="C22" i="11" s="1"/>
  <c r="C16" i="11"/>
  <c r="B16" i="11"/>
  <c r="D9" i="10"/>
  <c r="C9" i="10"/>
  <c r="B23" i="10" s="1"/>
  <c r="D8" i="10"/>
  <c r="D25" i="10" s="1"/>
  <c r="D27" i="10" s="1"/>
  <c r="C8" i="10"/>
  <c r="B25" i="10" s="1"/>
  <c r="B27" i="10" s="1"/>
  <c r="E61" i="1"/>
  <c r="D61" i="1"/>
  <c r="E60" i="1"/>
  <c r="D60" i="1"/>
  <c r="E9" i="9"/>
  <c r="I8" i="8"/>
  <c r="C19" i="9"/>
  <c r="B19" i="9"/>
  <c r="E32" i="9"/>
  <c r="E29" i="9"/>
  <c r="B13" i="9"/>
  <c r="B30" i="9" s="1"/>
  <c r="C13" i="9"/>
  <c r="E30" i="9" s="1"/>
  <c r="D28" i="9"/>
  <c r="B28" i="9"/>
  <c r="B29" i="9" s="1"/>
  <c r="C8" i="4"/>
  <c r="B15" i="4" s="1"/>
  <c r="D8" i="4"/>
  <c r="C15" i="4" s="1"/>
  <c r="D9" i="8"/>
  <c r="D15" i="8" s="1"/>
  <c r="B19" i="8"/>
  <c r="B13" i="8"/>
  <c r="D33" i="8" s="1"/>
  <c r="D14" i="8"/>
  <c r="C14" i="8"/>
  <c r="C33" i="8" s="1"/>
  <c r="D13" i="8"/>
  <c r="C13" i="8"/>
  <c r="J65" i="1"/>
  <c r="K65" i="1" s="1"/>
  <c r="C9" i="6"/>
  <c r="D9" i="6" s="1"/>
  <c r="C13" i="6"/>
  <c r="D13" i="6"/>
  <c r="C8" i="5"/>
  <c r="D8" i="5"/>
  <c r="C9" i="5"/>
  <c r="C17" i="5" s="1"/>
  <c r="D9" i="5"/>
  <c r="C14" i="5"/>
  <c r="C13" i="5" s="1"/>
  <c r="E14" i="5"/>
  <c r="E13" i="5" s="1"/>
  <c r="E47" i="7"/>
  <c r="F50" i="7" s="1"/>
  <c r="C47" i="7"/>
  <c r="C50" i="7" s="1"/>
  <c r="F45" i="7"/>
  <c r="C45" i="7"/>
  <c r="B14" i="7"/>
  <c r="C14" i="7" s="1"/>
  <c r="C51" i="7"/>
  <c r="C38" i="7"/>
  <c r="C49" i="7"/>
  <c r="B22" i="6"/>
  <c r="B23" i="6" s="1"/>
  <c r="B24" i="6" s="1"/>
  <c r="B25" i="6" s="1"/>
  <c r="B26" i="6" s="1"/>
  <c r="B27" i="6" s="1"/>
  <c r="B28" i="6" s="1"/>
  <c r="B29" i="6" s="1"/>
  <c r="B30" i="6" s="1"/>
  <c r="B31" i="6" s="1"/>
  <c r="B32" i="6" s="1"/>
  <c r="B33" i="6" s="1"/>
  <c r="B34" i="6" s="1"/>
  <c r="B35" i="6" s="1"/>
  <c r="B36" i="6" s="1"/>
  <c r="B37" i="6" s="1"/>
  <c r="B38" i="6" s="1"/>
  <c r="B39" i="6" s="1"/>
  <c r="B40" i="6" s="1"/>
  <c r="B41" i="6" s="1"/>
  <c r="B42" i="6" s="1"/>
  <c r="B43" i="6" s="1"/>
  <c r="D17" i="6"/>
  <c r="C17" i="6"/>
  <c r="D15" i="6"/>
  <c r="C15" i="6"/>
  <c r="D46" i="5"/>
  <c r="D41" i="5"/>
  <c r="C41" i="5"/>
  <c r="B19" i="5"/>
  <c r="C19" i="5" s="1"/>
  <c r="E18" i="5"/>
  <c r="C18" i="5"/>
  <c r="C42" i="5"/>
  <c r="C44" i="5" s="1"/>
  <c r="D17" i="5"/>
  <c r="D16" i="5"/>
  <c r="C16" i="5"/>
  <c r="C16" i="4"/>
  <c r="B16" i="4"/>
  <c r="H9" i="4"/>
  <c r="C22" i="4" s="1"/>
  <c r="C8" i="3"/>
  <c r="B13" i="3" s="1"/>
  <c r="D8" i="3"/>
  <c r="D13" i="3" s="1"/>
  <c r="C8" i="2"/>
  <c r="C65" i="2" s="1"/>
  <c r="D8" i="2"/>
  <c r="C9" i="2"/>
  <c r="C66" i="2" s="1"/>
  <c r="D9" i="2"/>
  <c r="F66" i="2" s="1"/>
  <c r="B14" i="2"/>
  <c r="C14" i="2" s="1"/>
  <c r="E63" i="2"/>
  <c r="C63" i="2"/>
  <c r="E62" i="2"/>
  <c r="C62" i="2"/>
  <c r="F65" i="2"/>
  <c r="D17" i="3" l="1"/>
  <c r="D14" i="3"/>
  <c r="D38" i="13"/>
  <c r="C62" i="13"/>
  <c r="C38" i="13"/>
  <c r="D62" i="13"/>
  <c r="B39" i="13"/>
  <c r="B14" i="10"/>
  <c r="D25" i="12"/>
  <c r="D16" i="12"/>
  <c r="B14" i="12"/>
  <c r="C14" i="12"/>
  <c r="B16" i="12"/>
  <c r="B25" i="12"/>
  <c r="D14" i="11"/>
  <c r="C15" i="11"/>
  <c r="B15" i="11"/>
  <c r="E20" i="10"/>
  <c r="E23" i="10"/>
  <c r="C16" i="10"/>
  <c r="B22" i="10"/>
  <c r="B20" i="10"/>
  <c r="E19" i="10"/>
  <c r="E22" i="10"/>
  <c r="B19" i="10"/>
  <c r="B18" i="10"/>
  <c r="B16" i="10"/>
  <c r="D14" i="10"/>
  <c r="D18" i="10"/>
  <c r="B15" i="10"/>
  <c r="B17" i="10"/>
  <c r="D15" i="10"/>
  <c r="D17" i="10"/>
  <c r="B16" i="9"/>
  <c r="B32" i="9"/>
  <c r="C16" i="9"/>
  <c r="B17" i="9"/>
  <c r="B20" i="9" s="1"/>
  <c r="C17" i="9"/>
  <c r="C20" i="9" s="1"/>
  <c r="C38" i="2"/>
  <c r="D14" i="2"/>
  <c r="F9" i="9"/>
  <c r="J8" i="9"/>
  <c r="C9" i="9"/>
  <c r="B25" i="9" s="1"/>
  <c r="D9" i="9"/>
  <c r="C25" i="9" s="1"/>
  <c r="C35" i="8"/>
  <c r="D35" i="8"/>
  <c r="J8" i="8"/>
  <c r="C9" i="8"/>
  <c r="B31" i="8" s="1"/>
  <c r="D41" i="7"/>
  <c r="D38" i="7"/>
  <c r="F49" i="7"/>
  <c r="B15" i="7"/>
  <c r="B16" i="7" s="1"/>
  <c r="F51" i="7"/>
  <c r="C39" i="7"/>
  <c r="C19" i="6"/>
  <c r="G9" i="6"/>
  <c r="E27" i="6" s="1"/>
  <c r="D19" i="6"/>
  <c r="D39" i="7"/>
  <c r="D15" i="7"/>
  <c r="C15" i="7"/>
  <c r="E42" i="5"/>
  <c r="E44" i="5" s="1"/>
  <c r="E15" i="5"/>
  <c r="E19" i="5"/>
  <c r="C15" i="5"/>
  <c r="B20" i="5"/>
  <c r="E42" i="6"/>
  <c r="E34" i="6"/>
  <c r="E40" i="6"/>
  <c r="E24" i="6"/>
  <c r="E39" i="6"/>
  <c r="D14" i="7"/>
  <c r="C32" i="6"/>
  <c r="C36" i="6"/>
  <c r="B14" i="3"/>
  <c r="B17" i="3"/>
  <c r="B14" i="4"/>
  <c r="D18" i="4"/>
  <c r="D20" i="4" s="1"/>
  <c r="D13" i="4"/>
  <c r="B18" i="4"/>
  <c r="B20" i="4" s="1"/>
  <c r="B13" i="4"/>
  <c r="D14" i="4"/>
  <c r="B16" i="3"/>
  <c r="B19" i="3"/>
  <c r="B21" i="3" s="1"/>
  <c r="D19" i="3"/>
  <c r="D21" i="3" s="1"/>
  <c r="B15" i="3"/>
  <c r="D16" i="3"/>
  <c r="C15" i="3"/>
  <c r="D38" i="2"/>
  <c r="B15" i="2"/>
  <c r="D63" i="13" l="1"/>
  <c r="D39" i="13"/>
  <c r="C63" i="13"/>
  <c r="C39" i="13"/>
  <c r="B40" i="13"/>
  <c r="D21" i="12"/>
  <c r="D20" i="12"/>
  <c r="B21" i="12"/>
  <c r="B20" i="12"/>
  <c r="D13" i="11"/>
  <c r="B18" i="11"/>
  <c r="B20" i="11" s="1"/>
  <c r="B13" i="11"/>
  <c r="D18" i="11"/>
  <c r="D20" i="11" s="1"/>
  <c r="B14" i="11"/>
  <c r="C14" i="9"/>
  <c r="E33" i="9" s="1"/>
  <c r="B14" i="9"/>
  <c r="B33" i="9" s="1"/>
  <c r="C15" i="8"/>
  <c r="B20" i="8"/>
  <c r="B21" i="8" s="1"/>
  <c r="B22" i="8" s="1"/>
  <c r="B23" i="8" s="1"/>
  <c r="B24" i="8" s="1"/>
  <c r="B25" i="8" s="1"/>
  <c r="B26" i="8" s="1"/>
  <c r="B27" i="8" s="1"/>
  <c r="B28" i="8" s="1"/>
  <c r="B29" i="8" s="1"/>
  <c r="D42" i="7"/>
  <c r="C41" i="7"/>
  <c r="C42" i="7"/>
  <c r="E32" i="6"/>
  <c r="E38" i="6"/>
  <c r="E22" i="6"/>
  <c r="E33" i="6"/>
  <c r="E29" i="6"/>
  <c r="E41" i="6"/>
  <c r="C24" i="6"/>
  <c r="E28" i="6"/>
  <c r="E26" i="6"/>
  <c r="E25" i="6"/>
  <c r="E20" i="5"/>
  <c r="C20" i="5"/>
  <c r="B21" i="5"/>
  <c r="C21" i="6"/>
  <c r="C41" i="6"/>
  <c r="C37" i="6"/>
  <c r="C33" i="6"/>
  <c r="C29" i="6"/>
  <c r="C25" i="6"/>
  <c r="C43" i="6"/>
  <c r="C39" i="6"/>
  <c r="C35" i="6"/>
  <c r="C31" i="6"/>
  <c r="C27" i="6"/>
  <c r="C23" i="6"/>
  <c r="C34" i="6"/>
  <c r="C38" i="6"/>
  <c r="C22" i="6"/>
  <c r="C42" i="6"/>
  <c r="C26" i="6"/>
  <c r="C30" i="6"/>
  <c r="E31" i="6"/>
  <c r="C28" i="6"/>
  <c r="E23" i="6"/>
  <c r="E36" i="6"/>
  <c r="E30" i="6"/>
  <c r="E21" i="6"/>
  <c r="E37" i="6"/>
  <c r="C40" i="6"/>
  <c r="B17" i="7"/>
  <c r="D16" i="7"/>
  <c r="C16" i="7"/>
  <c r="E35" i="6"/>
  <c r="E43" i="6"/>
  <c r="D39" i="2"/>
  <c r="D15" i="2"/>
  <c r="B16" i="2"/>
  <c r="C15" i="2"/>
  <c r="C39" i="2"/>
  <c r="D40" i="13" l="1"/>
  <c r="C64" i="13"/>
  <c r="C40" i="13"/>
  <c r="D64" i="13"/>
  <c r="B41" i="13"/>
  <c r="B22" i="9"/>
  <c r="B23" i="9"/>
  <c r="B26" i="9" s="1"/>
  <c r="C23" i="9"/>
  <c r="C26" i="9" s="1"/>
  <c r="C22" i="9"/>
  <c r="E29" i="8"/>
  <c r="C29" i="8"/>
  <c r="B22" i="5"/>
  <c r="E21" i="5"/>
  <c r="C21" i="5"/>
  <c r="B18" i="7"/>
  <c r="C17" i="7"/>
  <c r="D17" i="7"/>
  <c r="D16" i="2"/>
  <c r="C40" i="2"/>
  <c r="B17" i="2"/>
  <c r="C16" i="2"/>
  <c r="D40" i="2"/>
  <c r="D65" i="13" l="1"/>
  <c r="C41" i="13"/>
  <c r="D41" i="13"/>
  <c r="C65" i="13"/>
  <c r="B42" i="13"/>
  <c r="E35" i="9"/>
  <c r="E38" i="9"/>
  <c r="B35" i="9"/>
  <c r="C18" i="7"/>
  <c r="D18" i="7"/>
  <c r="B19" i="7"/>
  <c r="B23" i="5"/>
  <c r="E22" i="5"/>
  <c r="C22" i="5"/>
  <c r="D41" i="2"/>
  <c r="C17" i="2"/>
  <c r="C41" i="2"/>
  <c r="B18" i="2"/>
  <c r="D17" i="2"/>
  <c r="D42" i="13" l="1"/>
  <c r="C66" i="13"/>
  <c r="C42" i="13"/>
  <c r="D66" i="13"/>
  <c r="B87" i="13" s="1"/>
  <c r="B37" i="9"/>
  <c r="E37" i="9"/>
  <c r="C23" i="5"/>
  <c r="E23" i="5"/>
  <c r="B24" i="5"/>
  <c r="D19" i="7"/>
  <c r="C19" i="7"/>
  <c r="B20" i="7"/>
  <c r="D18" i="2"/>
  <c r="C18" i="2"/>
  <c r="C42" i="2"/>
  <c r="B19" i="2"/>
  <c r="D42" i="2"/>
  <c r="B86" i="13" l="1"/>
  <c r="E24" i="5"/>
  <c r="C24" i="5"/>
  <c r="B25" i="5"/>
  <c r="B21" i="7"/>
  <c r="D20" i="7"/>
  <c r="C20" i="7"/>
  <c r="B20" i="2"/>
  <c r="C19" i="2"/>
  <c r="D19" i="2"/>
  <c r="C43" i="2"/>
  <c r="D43" i="2"/>
  <c r="B88" i="13" l="1"/>
  <c r="B22" i="7"/>
  <c r="C21" i="7"/>
  <c r="D21" i="7"/>
  <c r="B26" i="5"/>
  <c r="E25" i="5"/>
  <c r="C25" i="5"/>
  <c r="D44" i="2"/>
  <c r="D20" i="2"/>
  <c r="C44" i="2"/>
  <c r="C20" i="2"/>
  <c r="B21" i="2"/>
  <c r="C86" i="13" l="1"/>
  <c r="C88" i="13" s="1"/>
  <c r="D86" i="13"/>
  <c r="D88" i="13" s="1"/>
  <c r="B27" i="5"/>
  <c r="C26" i="5"/>
  <c r="E26" i="5"/>
  <c r="C22" i="7"/>
  <c r="D22" i="7"/>
  <c r="B23" i="7"/>
  <c r="C45" i="2"/>
  <c r="B22" i="2"/>
  <c r="D45" i="2"/>
  <c r="D21" i="2"/>
  <c r="C21" i="2"/>
  <c r="D23" i="7" l="1"/>
  <c r="C23" i="7"/>
  <c r="B24" i="7"/>
  <c r="C27" i="5"/>
  <c r="B28" i="5"/>
  <c r="E27" i="5"/>
  <c r="D22" i="2"/>
  <c r="C46" i="2"/>
  <c r="B23" i="2"/>
  <c r="C22" i="2"/>
  <c r="D46" i="2"/>
  <c r="B25" i="7" l="1"/>
  <c r="D24" i="7"/>
  <c r="C24" i="7"/>
  <c r="E28" i="5"/>
  <c r="C28" i="5"/>
  <c r="B29" i="5"/>
  <c r="B24" i="2"/>
  <c r="D23" i="2"/>
  <c r="C47" i="2"/>
  <c r="D47" i="2"/>
  <c r="C23" i="2"/>
  <c r="B30" i="5" l="1"/>
  <c r="E29" i="5"/>
  <c r="C29" i="5"/>
  <c r="B26" i="7"/>
  <c r="C25" i="7"/>
  <c r="D25" i="7"/>
  <c r="D48" i="2"/>
  <c r="C48" i="2"/>
  <c r="C24" i="2"/>
  <c r="B25" i="2"/>
  <c r="D24" i="2"/>
  <c r="C26" i="7" l="1"/>
  <c r="D26" i="7"/>
  <c r="B27" i="7"/>
  <c r="B31" i="5"/>
  <c r="E30" i="5"/>
  <c r="C30" i="5"/>
  <c r="C49" i="2"/>
  <c r="D49" i="2"/>
  <c r="D25" i="2"/>
  <c r="B26" i="2"/>
  <c r="C25" i="2"/>
  <c r="C31" i="5" l="1"/>
  <c r="E31" i="5"/>
  <c r="B32" i="5"/>
  <c r="D27" i="7"/>
  <c r="C27" i="7"/>
  <c r="B28" i="7"/>
  <c r="D26" i="2"/>
  <c r="C50" i="2"/>
  <c r="B27" i="2"/>
  <c r="C26" i="2"/>
  <c r="D50" i="2"/>
  <c r="E32" i="5" l="1"/>
  <c r="C32" i="5"/>
  <c r="B33" i="5"/>
  <c r="B29" i="7"/>
  <c r="D28" i="7"/>
  <c r="C28" i="7"/>
  <c r="B28" i="2"/>
  <c r="D27" i="2"/>
  <c r="C51" i="2"/>
  <c r="D51" i="2"/>
  <c r="C27" i="2"/>
  <c r="B30" i="7" l="1"/>
  <c r="C29" i="7"/>
  <c r="D29" i="7"/>
  <c r="B34" i="5"/>
  <c r="E33" i="5"/>
  <c r="C33" i="5"/>
  <c r="D52" i="2"/>
  <c r="B29" i="2"/>
  <c r="D28" i="2"/>
  <c r="C52" i="2"/>
  <c r="C28" i="2"/>
  <c r="B35" i="5" l="1"/>
  <c r="C34" i="5"/>
  <c r="E34" i="5"/>
  <c r="C30" i="7"/>
  <c r="D30" i="7"/>
  <c r="B31" i="7"/>
  <c r="C53" i="2"/>
  <c r="B30" i="2"/>
  <c r="D53" i="2"/>
  <c r="D29" i="2"/>
  <c r="C29" i="2"/>
  <c r="D31" i="7" l="1"/>
  <c r="C31" i="7"/>
  <c r="B32" i="7"/>
  <c r="C35" i="5"/>
  <c r="B36" i="5"/>
  <c r="E35" i="5"/>
  <c r="B31" i="2"/>
  <c r="D30" i="2"/>
  <c r="C54" i="2"/>
  <c r="C30" i="2"/>
  <c r="D54" i="2"/>
  <c r="B33" i="7" l="1"/>
  <c r="D32" i="7"/>
  <c r="C32" i="7"/>
  <c r="E36" i="5"/>
  <c r="C36" i="5"/>
  <c r="B37" i="5"/>
  <c r="B32" i="2"/>
  <c r="D31" i="2"/>
  <c r="C55" i="2"/>
  <c r="D55" i="2"/>
  <c r="C31" i="2"/>
  <c r="B38" i="5" l="1"/>
  <c r="E37" i="5"/>
  <c r="C37" i="5"/>
  <c r="B34" i="7"/>
  <c r="C33" i="7"/>
  <c r="D33" i="7"/>
  <c r="D56" i="2"/>
  <c r="C56" i="2"/>
  <c r="C32" i="2"/>
  <c r="B33" i="2"/>
  <c r="D32" i="2"/>
  <c r="C34" i="7" l="1"/>
  <c r="D34" i="7"/>
  <c r="B35" i="7"/>
  <c r="B39" i="5"/>
  <c r="E38" i="5"/>
  <c r="C38" i="5"/>
  <c r="C57" i="2"/>
  <c r="D57" i="2"/>
  <c r="D33" i="2"/>
  <c r="B34" i="2"/>
  <c r="C33" i="2"/>
  <c r="C39" i="5" l="1"/>
  <c r="E39" i="5"/>
  <c r="B40" i="5"/>
  <c r="D35" i="7"/>
  <c r="C35" i="7"/>
  <c r="B36" i="7"/>
  <c r="D34" i="2"/>
  <c r="C58" i="2"/>
  <c r="B35" i="2"/>
  <c r="C34" i="2"/>
  <c r="D58" i="2"/>
  <c r="E40" i="5" l="1"/>
  <c r="C40" i="5"/>
  <c r="D36" i="7"/>
  <c r="B55" i="7" s="1"/>
  <c r="C36" i="7"/>
  <c r="B54" i="7" s="1"/>
  <c r="B36" i="2"/>
  <c r="D35" i="2"/>
  <c r="C59" i="2"/>
  <c r="D59" i="2"/>
  <c r="C35" i="2"/>
  <c r="B56" i="7" l="1"/>
  <c r="D54" i="7" s="1"/>
  <c r="D56" i="7" s="1"/>
  <c r="C36" i="2"/>
  <c r="C60" i="2"/>
  <c r="D36" i="2"/>
  <c r="D60" i="2"/>
  <c r="C54" i="7" l="1"/>
  <c r="C56" i="7" s="1"/>
  <c r="B70" i="2"/>
  <c r="B69" i="2"/>
  <c r="B71" i="2" l="1"/>
  <c r="D69" i="2" s="1"/>
  <c r="D71" i="2" s="1"/>
  <c r="C69" i="2" l="1"/>
  <c r="C71" i="2" s="1"/>
  <c r="E23" i="1" l="1"/>
  <c r="D23" i="1"/>
  <c r="E36" i="1"/>
  <c r="D36" i="1"/>
  <c r="J31" i="1"/>
  <c r="F32" i="1" s="1"/>
  <c r="J14" i="1"/>
  <c r="K14" i="1" s="1"/>
  <c r="K31" i="1" l="1"/>
  <c r="D32" i="1"/>
  <c r="E32" i="1"/>
  <c r="G32" i="1"/>
  <c r="E19" i="1"/>
  <c r="D19" i="1"/>
  <c r="D15" i="1"/>
  <c r="D70" i="1"/>
  <c r="I10" i="1"/>
  <c r="E75" i="1"/>
  <c r="D75" i="1"/>
  <c r="E74" i="1"/>
  <c r="D74" i="1"/>
  <c r="G27" i="1"/>
  <c r="F27" i="1"/>
  <c r="D27" i="1" s="1"/>
  <c r="I40" i="1"/>
  <c r="E80" i="1"/>
  <c r="D80" i="1"/>
  <c r="E79" i="1"/>
  <c r="D79" i="1"/>
  <c r="E56" i="1"/>
  <c r="D56" i="1"/>
  <c r="E15" i="1" l="1"/>
  <c r="E70" i="1"/>
  <c r="H70" i="1" s="1"/>
  <c r="E27" i="1"/>
  <c r="C19" i="8"/>
  <c r="E19" i="8"/>
  <c r="E20" i="8" l="1"/>
  <c r="C21" i="8"/>
  <c r="C20" i="8"/>
  <c r="E21" i="8" l="1"/>
  <c r="C22" i="8" l="1"/>
  <c r="E22" i="8"/>
  <c r="E23" i="8" l="1"/>
  <c r="C23" i="8"/>
  <c r="C24" i="8" l="1"/>
  <c r="E24" i="8"/>
  <c r="C25" i="8" l="1"/>
  <c r="E25" i="8"/>
  <c r="C26" i="8" l="1"/>
  <c r="E26" i="8"/>
  <c r="E27" i="8" l="1"/>
  <c r="C27" i="8"/>
  <c r="E28" i="8" l="1"/>
  <c r="C28" i="8"/>
</calcChain>
</file>

<file path=xl/sharedStrings.xml><?xml version="1.0" encoding="utf-8"?>
<sst xmlns="http://schemas.openxmlformats.org/spreadsheetml/2006/main" count="450" uniqueCount="106">
  <si>
    <t>Gerade G1</t>
  </si>
  <si>
    <t>P1</t>
  </si>
  <si>
    <t>Gerade G2</t>
  </si>
  <si>
    <t>X</t>
  </si>
  <si>
    <t>alfa</t>
  </si>
  <si>
    <t>Schnittpunkt zweier Geraden</t>
  </si>
  <si>
    <t>R</t>
  </si>
  <si>
    <t>D</t>
  </si>
  <si>
    <t>Kreis C1</t>
  </si>
  <si>
    <t>Kreis C2</t>
  </si>
  <si>
    <t>Schnittpunkte zweier Kreise</t>
  </si>
  <si>
    <t>Punkt P1</t>
  </si>
  <si>
    <t>Punkt P2</t>
  </si>
  <si>
    <t>Abstand</t>
  </si>
  <si>
    <t>Lot von Punkt auf Gerade</t>
  </si>
  <si>
    <t>Abstand von Punkt zu Gerade</t>
  </si>
  <si>
    <t>Gerade aus zwei Punkten</t>
  </si>
  <si>
    <t>Schnittpunkte von Gerade mit Kreis</t>
  </si>
  <si>
    <t>Abstand P1 - G1</t>
  </si>
  <si>
    <t>Abstand zweier Punkte</t>
  </si>
  <si>
    <t>Abstand P1 - P2</t>
  </si>
  <si>
    <t>Punkt P3</t>
  </si>
  <si>
    <t>Kreis aus drei Punkten</t>
  </si>
  <si>
    <t>Tangente G1</t>
  </si>
  <si>
    <t>Tangente G2</t>
  </si>
  <si>
    <t>Tangenten von Punkt an Kreis</t>
  </si>
  <si>
    <t>Punkt</t>
  </si>
  <si>
    <t>Vektor</t>
  </si>
  <si>
    <t>Radius</t>
  </si>
  <si>
    <t>Winkel</t>
  </si>
  <si>
    <t>Punkt gedreht um Punkt</t>
  </si>
  <si>
    <t>Drehpunkt P2</t>
  </si>
  <si>
    <t>Drehwinkel alfa</t>
  </si>
  <si>
    <t>alfa (rad)</t>
  </si>
  <si>
    <t>Punkt gespiegelt an Punkt</t>
  </si>
  <si>
    <t>Spiegelpunkt P2</t>
  </si>
  <si>
    <t>alfa (DMS)</t>
  </si>
  <si>
    <t>Gerade gedreht um Punkt</t>
  </si>
  <si>
    <t>Drehpunkt P1</t>
  </si>
  <si>
    <t>Gerade gespiegelt an Punkt</t>
  </si>
  <si>
    <t>Spiegelpunkt P1</t>
  </si>
  <si>
    <t>Mittelpunkt zwischen zwei Punkten</t>
  </si>
  <si>
    <t>Schnittpunkte zweier Kreise in 2D, Kreise definiert durch Mittelpunkt und Kreisradius</t>
  </si>
  <si>
    <t>Schnittpunkte</t>
  </si>
  <si>
    <t>Graphikdaten</t>
  </si>
  <si>
    <t>Y1</t>
  </si>
  <si>
    <t>Y2</t>
  </si>
  <si>
    <t>Y3</t>
  </si>
  <si>
    <t>Graphikskalierung</t>
  </si>
  <si>
    <t>(nicht markierte Punkte, um Verzerrung klein zu halten)</t>
  </si>
  <si>
    <t>Mittelpunkte</t>
  </si>
  <si>
    <t>Schnittpunkte zweier Geraden (2D) in Punkt-Richtungsform *)</t>
  </si>
  <si>
    <t>Size</t>
  </si>
  <si>
    <t>Tangenten</t>
  </si>
  <si>
    <t>Kreismittelpunkt</t>
  </si>
  <si>
    <t>Tangentenpunkte</t>
  </si>
  <si>
    <t>Winkel alfa</t>
  </si>
  <si>
    <t>Winkel zwischen Geraden (Vektoren)</t>
  </si>
  <si>
    <t>(mit Tangentialpunkten)</t>
  </si>
  <si>
    <t>Skalierung</t>
  </si>
  <si>
    <t>Punkt gespiegelt an Gerade</t>
  </si>
  <si>
    <t>Gerade gespiegelt an Gerade</t>
  </si>
  <si>
    <t>Winkelhablierende Geraden</t>
  </si>
  <si>
    <t>Gerade G3</t>
  </si>
  <si>
    <t>Gerade G4</t>
  </si>
  <si>
    <t>Winkelhalbierende Geraden (2D) in Punkt-Richtungsform *)</t>
  </si>
  <si>
    <t>Punkt gespiegelt an Gerade (2D) in Punkt-Richtungsform *)</t>
  </si>
  <si>
    <t>Spiegelger. G2</t>
  </si>
  <si>
    <t>Gerade gespiegelt an Gerade (2D) in Punkt-Richtungsform *)</t>
  </si>
  <si>
    <t>Spiegelg. G2</t>
  </si>
  <si>
    <t>Lotgerade mit Lotpunkt und Abstand eines Punktes zu einer Geraden (2D) in Punkt-Richtungsform *)</t>
  </si>
  <si>
    <t>Lot GL, PL</t>
  </si>
  <si>
    <t>Lot GL,PL</t>
  </si>
  <si>
    <t>Tangente G1'</t>
  </si>
  <si>
    <t>Tangente G2'</t>
  </si>
  <si>
    <t>Tangente G3</t>
  </si>
  <si>
    <t>Tangente G3'</t>
  </si>
  <si>
    <t>Tangente G4</t>
  </si>
  <si>
    <t>Tangente G4'</t>
  </si>
  <si>
    <t>Kreismittelpunkte</t>
  </si>
  <si>
    <t>Tangenten von Kreis an Kreis</t>
  </si>
  <si>
    <t>Tangente G1',PT2</t>
  </si>
  <si>
    <t>Tangente G2',PT4</t>
  </si>
  <si>
    <t>Tangente G3',PT6</t>
  </si>
  <si>
    <t>Tangente G4',PT8</t>
  </si>
  <si>
    <t>Tangente G1 ,PT1</t>
  </si>
  <si>
    <t>Tangente G2 ,PT3</t>
  </si>
  <si>
    <t>Tangente G3 ,PT5</t>
  </si>
  <si>
    <t>Tangente G4 ,PT7</t>
  </si>
  <si>
    <t>Tangente G2 ,PT2</t>
  </si>
  <si>
    <t>Von Punkten, Geraden und Kreisen ( 2D )</t>
  </si>
  <si>
    <t>Schnittpunkte von Gerade (2D) in Punkt-Richtungsform *) mit Kreis gegeben durch Mittelpunkt und Radius</t>
  </si>
  <si>
    <t xml:space="preserve">
 Der Autor übernimmt keinerlei Gewähr für die Aktualität, Korrektheit, Vollständigkeit oder Qualität der bereitgestellten Berechnungen.
Haftungsansprüche gegen den Autor, welche sich auf Schäden materieller oder ideeller Art beziehen, die durch die Nutzung der dargestellten Informationen bzw. durch die Nutzung fehlerhafter und unvollständiger Informationen verursacht wurden, sind grundsätzlich ausgeschlossen.
Oppawinni bei Herber.de</t>
  </si>
  <si>
    <r>
      <t>X</t>
    </r>
    <r>
      <rPr>
        <vertAlign val="subscript"/>
        <sz val="11"/>
        <color theme="1"/>
        <rFont val="Calibri"/>
        <family val="2"/>
        <scheme val="minor"/>
      </rPr>
      <t>p</t>
    </r>
  </si>
  <si>
    <r>
      <t>Y</t>
    </r>
    <r>
      <rPr>
        <vertAlign val="subscript"/>
        <sz val="11"/>
        <color theme="1"/>
        <rFont val="Calibri"/>
        <family val="2"/>
        <scheme val="minor"/>
      </rPr>
      <t>p</t>
    </r>
  </si>
  <si>
    <t>dy</t>
  </si>
  <si>
    <t>dx</t>
  </si>
  <si>
    <r>
      <t xml:space="preserve">   m = dy/dx; b = Y</t>
    </r>
    <r>
      <rPr>
        <vertAlign val="subscript"/>
        <sz val="11"/>
        <color theme="1"/>
        <rFont val="Calibri"/>
        <family val="2"/>
        <scheme val="minor"/>
      </rPr>
      <t>p</t>
    </r>
    <r>
      <rPr>
        <sz val="11"/>
        <color theme="1"/>
        <rFont val="Calibri"/>
        <family val="2"/>
        <scheme val="minor"/>
      </rPr>
      <t xml:space="preserve"> - X</t>
    </r>
    <r>
      <rPr>
        <vertAlign val="subscript"/>
        <sz val="11"/>
        <color theme="1"/>
        <rFont val="Calibri"/>
        <family val="2"/>
        <scheme val="minor"/>
      </rPr>
      <t>p</t>
    </r>
    <r>
      <rPr>
        <sz val="11"/>
        <color theme="1"/>
        <rFont val="Calibri"/>
        <family val="2"/>
        <scheme val="minor"/>
      </rPr>
      <t xml:space="preserve">*m </t>
    </r>
  </si>
  <si>
    <t xml:space="preserve">*) für Geraden der Form Y = m * X + b </t>
  </si>
  <si>
    <t>Tangenten (in Punkt-Richtungsform)*) von Punkt an Kreis mit Tangentialpunkten</t>
  </si>
  <si>
    <t>Gerade (in Punktrichtungsform) *) gedreht um Punkt</t>
  </si>
  <si>
    <t>Tangenten (in Punkt-Richtungsform) *) von Kreis an Kreis mit Tangentialpunkten</t>
  </si>
  <si>
    <r>
      <t xml:space="preserve">    Eingabe: X</t>
    </r>
    <r>
      <rPr>
        <vertAlign val="subscript"/>
        <sz val="11"/>
        <color theme="1"/>
        <rFont val="Calibri"/>
        <family val="2"/>
        <scheme val="minor"/>
      </rPr>
      <t>p</t>
    </r>
    <r>
      <rPr>
        <sz val="11"/>
        <color theme="1"/>
        <rFont val="Calibri"/>
        <family val="2"/>
        <scheme val="minor"/>
      </rPr>
      <t xml:space="preserve"> = 0; Y</t>
    </r>
    <r>
      <rPr>
        <vertAlign val="subscript"/>
        <sz val="11"/>
        <color theme="1"/>
        <rFont val="Calibri"/>
        <family val="2"/>
        <scheme val="minor"/>
      </rPr>
      <t>p</t>
    </r>
    <r>
      <rPr>
        <sz val="11"/>
        <color theme="1"/>
        <rFont val="Calibri"/>
        <family val="2"/>
        <scheme val="minor"/>
      </rPr>
      <t xml:space="preserve"> = b; dx = 1; dy = m</t>
    </r>
  </si>
  <si>
    <r>
      <t xml:space="preserve">   Eingabe: X</t>
    </r>
    <r>
      <rPr>
        <vertAlign val="subscript"/>
        <sz val="11"/>
        <color theme="1"/>
        <rFont val="Calibri"/>
        <family val="2"/>
        <scheme val="minor"/>
      </rPr>
      <t>p</t>
    </r>
    <r>
      <rPr>
        <sz val="11"/>
        <color theme="1"/>
        <rFont val="Calibri"/>
        <family val="2"/>
        <scheme val="minor"/>
      </rPr>
      <t xml:space="preserve"> = 0; Y</t>
    </r>
    <r>
      <rPr>
        <vertAlign val="subscript"/>
        <sz val="11"/>
        <color theme="1"/>
        <rFont val="Calibri"/>
        <family val="2"/>
        <scheme val="minor"/>
      </rPr>
      <t>p</t>
    </r>
    <r>
      <rPr>
        <sz val="11"/>
        <color theme="1"/>
        <rFont val="Calibri"/>
        <family val="2"/>
        <scheme val="minor"/>
      </rPr>
      <t xml:space="preserve"> = b; dx = 1; dy = m</t>
    </r>
  </si>
  <si>
    <r>
      <t xml:space="preserve">    Ausgabe (nur für dx ≠ 0): m = dy/dx; b = Y</t>
    </r>
    <r>
      <rPr>
        <vertAlign val="subscript"/>
        <sz val="11"/>
        <color theme="1"/>
        <rFont val="Calibri"/>
        <family val="2"/>
        <scheme val="minor"/>
      </rPr>
      <t>p</t>
    </r>
    <r>
      <rPr>
        <sz val="11"/>
        <color theme="1"/>
        <rFont val="Calibri"/>
        <family val="2"/>
        <scheme val="minor"/>
      </rPr>
      <t xml:space="preserve"> - X</t>
    </r>
    <r>
      <rPr>
        <vertAlign val="subscript"/>
        <sz val="11"/>
        <color theme="1"/>
        <rFont val="Calibri"/>
        <family val="2"/>
        <scheme val="minor"/>
      </rPr>
      <t>p</t>
    </r>
    <r>
      <rPr>
        <sz val="11"/>
        <color theme="1"/>
        <rFont val="Calibri"/>
        <family val="2"/>
        <scheme val="minor"/>
      </rPr>
      <t xml:space="preserve">*m </t>
    </r>
  </si>
  <si>
    <t xml:space="preserve">   Ausgabe (nur für dx ≠ 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</si>
</sst>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00000"/>
    <numFmt numFmtId="166" formatCode="0.0"/>
  </numFmts>
  <fonts count="6" x14ac:knownFonts="1">
    <font>
      <sz val="11"/>
      <color theme="1"/>
      <name val="Calibri"/>
      <family val="2"/>
      <scheme val="minor"/>
    </font>
    <font>
      <b/>
      <sz val="11"/>
      <color theme="1"/>
      <name val="Calibri"/>
      <family val="2"/>
      <scheme val="minor"/>
    </font>
    <font>
      <u/>
      <sz val="11"/>
      <color theme="10"/>
      <name val="Calibri"/>
      <family val="2"/>
      <scheme val="minor"/>
    </font>
    <font>
      <sz val="14"/>
      <color theme="1"/>
      <name val="Calibri"/>
      <family val="2"/>
      <scheme val="minor"/>
    </font>
    <font>
      <sz val="11"/>
      <color rgb="FF424242"/>
      <name val="Arial"/>
      <family val="2"/>
    </font>
    <font>
      <vertAlign val="subscript"/>
      <sz val="11"/>
      <color theme="1"/>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rgb="FFFFC000"/>
        <bgColor indexed="64"/>
      </patternFill>
    </fill>
    <fill>
      <patternFill patternType="gray125">
        <bgColor theme="9" tint="0.79995117038483843"/>
      </patternFill>
    </fill>
    <fill>
      <patternFill patternType="solid">
        <fgColor theme="8" tint="0.59996337778862885"/>
        <bgColor indexed="64"/>
      </patternFill>
    </fill>
  </fills>
  <borders count="4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double">
        <color auto="1"/>
      </top>
      <bottom/>
      <diagonal/>
    </border>
    <border>
      <left/>
      <right style="double">
        <color auto="1"/>
      </right>
      <top style="double">
        <color auto="1"/>
      </top>
      <bottom/>
      <diagonal/>
    </border>
    <border>
      <left/>
      <right style="double">
        <color auto="1"/>
      </right>
      <top/>
      <bottom/>
      <diagonal/>
    </border>
    <border>
      <left/>
      <right/>
      <top/>
      <bottom style="double">
        <color auto="1"/>
      </bottom>
      <diagonal/>
    </border>
    <border>
      <left/>
      <right style="double">
        <color auto="1"/>
      </right>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style="double">
        <color auto="1"/>
      </top>
      <bottom/>
      <diagonal/>
    </border>
    <border>
      <left style="double">
        <color auto="1"/>
      </left>
      <right/>
      <top style="medium">
        <color auto="1"/>
      </top>
      <bottom style="double">
        <color auto="1"/>
      </bottom>
      <diagonal/>
    </border>
    <border>
      <left/>
      <right/>
      <top style="medium">
        <color auto="1"/>
      </top>
      <bottom style="double">
        <color auto="1"/>
      </bottom>
      <diagonal/>
    </border>
    <border>
      <left/>
      <right style="double">
        <color auto="1"/>
      </right>
      <top style="medium">
        <color auto="1"/>
      </top>
      <bottom style="double">
        <color auto="1"/>
      </bottom>
      <diagonal/>
    </border>
    <border>
      <left/>
      <right/>
      <top/>
      <bottom style="medium">
        <color auto="1"/>
      </bottom>
      <diagonal/>
    </border>
    <border>
      <left style="double">
        <color auto="1"/>
      </left>
      <right/>
      <top/>
      <bottom/>
      <diagonal/>
    </border>
    <border>
      <left style="double">
        <color auto="1"/>
      </left>
      <right/>
      <top/>
      <bottom style="double">
        <color auto="1"/>
      </bottom>
      <diagonal/>
    </border>
    <border>
      <left style="double">
        <color auto="1"/>
      </left>
      <right style="double">
        <color auto="1"/>
      </right>
      <top/>
      <bottom/>
      <diagonal/>
    </border>
    <border>
      <left style="double">
        <color auto="1"/>
      </left>
      <right style="double">
        <color auto="1"/>
      </right>
      <top/>
      <bottom style="double">
        <color auto="1"/>
      </bottom>
      <diagonal/>
    </border>
    <border>
      <left style="double">
        <color auto="1"/>
      </left>
      <right/>
      <top/>
      <bottom style="medium">
        <color auto="1"/>
      </bottom>
      <diagonal/>
    </border>
    <border>
      <left/>
      <right style="double">
        <color auto="1"/>
      </right>
      <top/>
      <bottom style="medium">
        <color auto="1"/>
      </bottom>
      <diagonal/>
    </border>
    <border>
      <left style="double">
        <color auto="1"/>
      </left>
      <right style="double">
        <color auto="1"/>
      </right>
      <top style="double">
        <color auto="1"/>
      </top>
      <bottom/>
      <diagonal/>
    </border>
    <border>
      <left/>
      <right style="double">
        <color auto="1"/>
      </right>
      <top style="medium">
        <color auto="1"/>
      </top>
      <bottom/>
      <diagonal/>
    </border>
    <border>
      <left/>
      <right/>
      <top style="medium">
        <color auto="1"/>
      </top>
      <bottom/>
      <diagonal/>
    </border>
    <border>
      <left style="double">
        <color auto="1"/>
      </left>
      <right style="double">
        <color auto="1"/>
      </right>
      <top style="medium">
        <color auto="1"/>
      </top>
      <bottom style="double">
        <color auto="1"/>
      </bottom>
      <diagonal/>
    </border>
    <border>
      <left style="double">
        <color auto="1"/>
      </left>
      <right/>
      <top style="medium">
        <color auto="1"/>
      </top>
      <bottom/>
      <diagonal/>
    </border>
  </borders>
  <cellStyleXfs count="2">
    <xf numFmtId="0" fontId="0" fillId="0" borderId="0"/>
    <xf numFmtId="0" fontId="2" fillId="0" borderId="0" applyNumberFormat="0" applyFill="0" applyBorder="0" applyAlignment="0" applyProtection="0"/>
  </cellStyleXfs>
  <cellXfs count="124">
    <xf numFmtId="0" fontId="0" fillId="0" borderId="0" xfId="0"/>
    <xf numFmtId="164" fontId="0" fillId="3" borderId="2" xfId="0" applyNumberFormat="1" applyFill="1" applyBorder="1"/>
    <xf numFmtId="164" fontId="0" fillId="3" borderId="3" xfId="0" applyNumberFormat="1" applyFill="1" applyBorder="1"/>
    <xf numFmtId="164" fontId="0" fillId="0" borderId="5" xfId="0" applyNumberFormat="1" applyBorder="1"/>
    <xf numFmtId="164" fontId="0" fillId="3" borderId="5" xfId="0" applyNumberFormat="1" applyFill="1" applyBorder="1"/>
    <xf numFmtId="164" fontId="0" fillId="3" borderId="6" xfId="0" applyNumberFormat="1" applyFill="1" applyBorder="1"/>
    <xf numFmtId="164" fontId="0" fillId="3" borderId="0" xfId="0" applyNumberFormat="1" applyFill="1"/>
    <xf numFmtId="164" fontId="0" fillId="3" borderId="11" xfId="0" applyNumberFormat="1" applyFill="1" applyBorder="1"/>
    <xf numFmtId="0" fontId="0" fillId="0" borderId="2" xfId="0" applyBorder="1"/>
    <xf numFmtId="0" fontId="0" fillId="0" borderId="5" xfId="0" applyBorder="1"/>
    <xf numFmtId="0" fontId="0" fillId="0" borderId="8" xfId="0" applyBorder="1"/>
    <xf numFmtId="0" fontId="0" fillId="0" borderId="9" xfId="0" applyBorder="1"/>
    <xf numFmtId="0" fontId="0" fillId="0" borderId="14" xfId="0" applyBorder="1"/>
    <xf numFmtId="0" fontId="0" fillId="0" borderId="8" xfId="0" applyBorder="1" applyAlignment="1">
      <alignment horizontal="left" vertical="center"/>
    </xf>
    <xf numFmtId="0" fontId="0" fillId="0" borderId="9"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0" fillId="0" borderId="4" xfId="0" applyBorder="1" applyAlignment="1">
      <alignment horizontal="left" vertical="center"/>
    </xf>
    <xf numFmtId="0" fontId="0" fillId="0" borderId="7" xfId="0" applyBorder="1" applyAlignment="1">
      <alignment horizontal="left" vertical="center"/>
    </xf>
    <xf numFmtId="164" fontId="0" fillId="0" borderId="0" xfId="0" applyNumberFormat="1"/>
    <xf numFmtId="0" fontId="0" fillId="0" borderId="12" xfId="0" applyBorder="1"/>
    <xf numFmtId="0" fontId="0" fillId="0" borderId="13" xfId="0" applyBorder="1" applyAlignment="1">
      <alignment horizontal="left" vertical="center"/>
    </xf>
    <xf numFmtId="164" fontId="0" fillId="3" borderId="14" xfId="0" applyNumberFormat="1" applyFill="1" applyBorder="1"/>
    <xf numFmtId="164" fontId="0" fillId="3" borderId="15" xfId="0" applyNumberFormat="1" applyFill="1" applyBorder="1"/>
    <xf numFmtId="164" fontId="0" fillId="3" borderId="13" xfId="0" applyNumberFormat="1" applyFill="1" applyBorder="1"/>
    <xf numFmtId="164" fontId="0" fillId="2" borderId="2" xfId="0" applyNumberFormat="1" applyFill="1" applyBorder="1" applyProtection="1">
      <protection locked="0"/>
    </xf>
    <xf numFmtId="164" fontId="0" fillId="2" borderId="3" xfId="0" applyNumberFormat="1" applyFill="1" applyBorder="1" applyProtection="1">
      <protection locked="0"/>
    </xf>
    <xf numFmtId="164" fontId="0" fillId="2" borderId="5" xfId="0" applyNumberFormat="1" applyFill="1" applyBorder="1" applyProtection="1">
      <protection locked="0"/>
    </xf>
    <xf numFmtId="164" fontId="0" fillId="2" borderId="6" xfId="0" applyNumberFormat="1" applyFill="1" applyBorder="1" applyProtection="1">
      <protection locked="0"/>
    </xf>
    <xf numFmtId="164" fontId="0" fillId="2" borderId="1" xfId="0" applyNumberFormat="1" applyFill="1" applyBorder="1" applyProtection="1">
      <protection locked="0"/>
    </xf>
    <xf numFmtId="164" fontId="0" fillId="2" borderId="4" xfId="0" applyNumberFormat="1" applyFill="1" applyBorder="1" applyProtection="1">
      <protection locked="0"/>
    </xf>
    <xf numFmtId="164" fontId="0" fillId="2" borderId="14" xfId="0" applyNumberFormat="1" applyFill="1" applyBorder="1" applyProtection="1">
      <protection locked="0"/>
    </xf>
    <xf numFmtId="164" fontId="0" fillId="2" borderId="15" xfId="0" applyNumberFormat="1" applyFill="1" applyBorder="1" applyProtection="1">
      <protection locked="0"/>
    </xf>
    <xf numFmtId="164" fontId="0" fillId="2" borderId="10" xfId="0" applyNumberFormat="1" applyFill="1" applyBorder="1" applyProtection="1">
      <protection locked="0"/>
    </xf>
    <xf numFmtId="164" fontId="0" fillId="2" borderId="11" xfId="0" applyNumberFormat="1" applyFill="1" applyBorder="1" applyProtection="1">
      <protection locked="0"/>
    </xf>
    <xf numFmtId="0" fontId="0" fillId="0" borderId="7" xfId="0" applyBorder="1"/>
    <xf numFmtId="0" fontId="0" fillId="0" borderId="3" xfId="0" applyBorder="1"/>
    <xf numFmtId="0" fontId="0" fillId="0" borderId="0" xfId="0" applyAlignment="1">
      <alignment horizontal="centerContinuous"/>
    </xf>
    <xf numFmtId="0" fontId="0" fillId="4" borderId="12" xfId="0" applyFill="1" applyBorder="1" applyAlignment="1">
      <alignment horizontal="center" vertical="center"/>
    </xf>
    <xf numFmtId="0" fontId="0" fillId="4" borderId="10" xfId="0" applyFill="1" applyBorder="1" applyAlignment="1">
      <alignment horizontal="centerContinuous"/>
    </xf>
    <xf numFmtId="0" fontId="0" fillId="4" borderId="11" xfId="0" applyFill="1" applyBorder="1" applyAlignment="1">
      <alignment horizontal="centerContinuous"/>
    </xf>
    <xf numFmtId="0" fontId="0" fillId="4" borderId="12" xfId="0" applyFill="1" applyBorder="1" applyAlignment="1">
      <alignment horizontal="centerContinuous"/>
    </xf>
    <xf numFmtId="0" fontId="1" fillId="0" borderId="8" xfId="0" applyFont="1" applyBorder="1"/>
    <xf numFmtId="164" fontId="0" fillId="2" borderId="0" xfId="0" applyNumberFormat="1" applyFill="1" applyProtection="1">
      <protection locked="0"/>
    </xf>
    <xf numFmtId="0" fontId="0" fillId="0" borderId="15" xfId="0" applyBorder="1"/>
    <xf numFmtId="0" fontId="0" fillId="0" borderId="18" xfId="0" applyBorder="1"/>
    <xf numFmtId="0" fontId="0" fillId="0" borderId="19" xfId="0" applyBorder="1"/>
    <xf numFmtId="0" fontId="0" fillId="0" borderId="20" xfId="0" applyBorder="1"/>
    <xf numFmtId="0" fontId="0" fillId="0" borderId="11" xfId="0" applyBorder="1"/>
    <xf numFmtId="0" fontId="0" fillId="0" borderId="6" xfId="0" applyBorder="1"/>
    <xf numFmtId="0" fontId="1" fillId="0" borderId="9" xfId="0" applyFont="1" applyBorder="1"/>
    <xf numFmtId="0" fontId="0" fillId="0" borderId="21" xfId="0" applyBorder="1" applyAlignment="1">
      <alignment horizontal="centerContinuous"/>
    </xf>
    <xf numFmtId="0" fontId="0" fillId="0" borderId="22" xfId="0" applyBorder="1" applyAlignment="1">
      <alignment horizontal="centerContinuous"/>
    </xf>
    <xf numFmtId="0" fontId="0" fillId="0" borderId="23" xfId="0" applyBorder="1" applyAlignment="1">
      <alignment horizontal="centerContinuous"/>
    </xf>
    <xf numFmtId="0" fontId="0" fillId="0" borderId="24" xfId="0" applyBorder="1" applyAlignment="1">
      <alignment horizontal="centerContinuous"/>
    </xf>
    <xf numFmtId="0" fontId="0" fillId="0" borderId="16" xfId="0" applyBorder="1" applyAlignment="1">
      <alignment horizontal="centerContinuous"/>
    </xf>
    <xf numFmtId="0" fontId="0" fillId="0" borderId="17" xfId="0" applyBorder="1" applyAlignment="1">
      <alignment horizontal="centerContinuous"/>
    </xf>
    <xf numFmtId="0" fontId="0" fillId="0" borderId="25" xfId="0" applyBorder="1" applyAlignment="1">
      <alignment horizontal="centerContinuous"/>
    </xf>
    <xf numFmtId="0" fontId="0" fillId="0" borderId="26" xfId="0" applyBorder="1" applyAlignment="1">
      <alignment horizontal="centerContinuous"/>
    </xf>
    <xf numFmtId="0" fontId="0" fillId="0" borderId="27" xfId="0" applyBorder="1" applyAlignment="1">
      <alignment horizontal="centerContinuous"/>
    </xf>
    <xf numFmtId="2" fontId="0" fillId="0" borderId="0" xfId="0" applyNumberFormat="1"/>
    <xf numFmtId="2" fontId="0" fillId="0" borderId="28" xfId="0" applyNumberFormat="1" applyBorder="1"/>
    <xf numFmtId="0" fontId="2" fillId="0" borderId="9" xfId="1" applyBorder="1"/>
    <xf numFmtId="0" fontId="0" fillId="0" borderId="29" xfId="0" applyBorder="1"/>
    <xf numFmtId="2" fontId="0" fillId="0" borderId="29" xfId="0" applyNumberFormat="1" applyBorder="1"/>
    <xf numFmtId="164" fontId="0" fillId="0" borderId="29" xfId="0" applyNumberFormat="1" applyBorder="1"/>
    <xf numFmtId="164" fontId="0" fillId="0" borderId="18" xfId="0" applyNumberFormat="1" applyBorder="1"/>
    <xf numFmtId="0" fontId="0" fillId="0" borderId="30" xfId="0" applyBorder="1"/>
    <xf numFmtId="0" fontId="0" fillId="0" borderId="21" xfId="0" applyBorder="1"/>
    <xf numFmtId="0" fontId="0" fillId="0" borderId="22" xfId="0" applyBorder="1"/>
    <xf numFmtId="0" fontId="0" fillId="0" borderId="23" xfId="0" applyBorder="1"/>
    <xf numFmtId="164" fontId="0" fillId="0" borderId="22" xfId="0" applyNumberFormat="1" applyBorder="1"/>
    <xf numFmtId="0" fontId="0" fillId="0" borderId="24" xfId="0" applyBorder="1"/>
    <xf numFmtId="0" fontId="0" fillId="0" borderId="25" xfId="0" applyBorder="1" applyAlignment="1">
      <alignment horizontal="center" vertical="center"/>
    </xf>
    <xf numFmtId="0" fontId="0" fillId="0" borderId="31" xfId="0" applyBorder="1"/>
    <xf numFmtId="0" fontId="0" fillId="0" borderId="32" xfId="0" applyBorder="1"/>
    <xf numFmtId="0" fontId="2" fillId="0" borderId="12" xfId="1" applyBorder="1"/>
    <xf numFmtId="164" fontId="0" fillId="5" borderId="2" xfId="0" applyNumberFormat="1" applyFill="1" applyBorder="1" applyProtection="1">
      <protection locked="0"/>
    </xf>
    <xf numFmtId="164" fontId="0" fillId="5" borderId="5" xfId="0" applyNumberFormat="1" applyFill="1" applyBorder="1" applyProtection="1">
      <protection locked="0"/>
    </xf>
    <xf numFmtId="164" fontId="0" fillId="6" borderId="2" xfId="0" applyNumberFormat="1" applyFill="1" applyBorder="1"/>
    <xf numFmtId="164" fontId="0" fillId="6" borderId="5" xfId="0" applyNumberFormat="1" applyFill="1" applyBorder="1"/>
    <xf numFmtId="0" fontId="0" fillId="0" borderId="16" xfId="0" applyBorder="1"/>
    <xf numFmtId="0" fontId="0" fillId="0" borderId="17" xfId="0" applyBorder="1"/>
    <xf numFmtId="2" fontId="0" fillId="0" borderId="18" xfId="0" applyNumberFormat="1" applyBorder="1"/>
    <xf numFmtId="0" fontId="0" fillId="0" borderId="33" xfId="0" applyBorder="1"/>
    <xf numFmtId="2" fontId="0" fillId="0" borderId="34" xfId="0" applyNumberFormat="1" applyBorder="1"/>
    <xf numFmtId="0" fontId="0" fillId="0" borderId="35" xfId="0" applyBorder="1"/>
    <xf numFmtId="165" fontId="0" fillId="0" borderId="31" xfId="0" applyNumberFormat="1" applyBorder="1"/>
    <xf numFmtId="165" fontId="0" fillId="0" borderId="32" xfId="0" applyNumberFormat="1" applyBorder="1"/>
    <xf numFmtId="0" fontId="0" fillId="0" borderId="38" xfId="0" applyBorder="1" applyAlignment="1">
      <alignment horizontal="center" vertical="center"/>
    </xf>
    <xf numFmtId="164" fontId="0" fillId="0" borderId="31" xfId="0" applyNumberFormat="1" applyBorder="1"/>
    <xf numFmtId="0" fontId="0" fillId="0" borderId="37" xfId="0" applyBorder="1"/>
    <xf numFmtId="0" fontId="0" fillId="0" borderId="39" xfId="0" applyBorder="1"/>
    <xf numFmtId="0" fontId="0" fillId="0" borderId="36" xfId="0" applyBorder="1"/>
    <xf numFmtId="164" fontId="0" fillId="0" borderId="39" xfId="0" applyNumberFormat="1" applyBorder="1"/>
    <xf numFmtId="166" fontId="0" fillId="0" borderId="0" xfId="0" applyNumberFormat="1"/>
    <xf numFmtId="166" fontId="0" fillId="0" borderId="18" xfId="0" applyNumberFormat="1" applyBorder="1"/>
    <xf numFmtId="0" fontId="0" fillId="0" borderId="18" xfId="0" applyBorder="1" applyAlignment="1">
      <alignment horizontal="centerContinuous"/>
    </xf>
    <xf numFmtId="1" fontId="0" fillId="0" borderId="0" xfId="0" applyNumberFormat="1"/>
    <xf numFmtId="166" fontId="0" fillId="0" borderId="19" xfId="0" applyNumberFormat="1" applyBorder="1"/>
    <xf numFmtId="166" fontId="0" fillId="0" borderId="20" xfId="0" applyNumberFormat="1" applyBorder="1"/>
    <xf numFmtId="0" fontId="0" fillId="0" borderId="22" xfId="0" applyBorder="1" applyProtection="1">
      <protection locked="0"/>
    </xf>
    <xf numFmtId="2" fontId="0" fillId="0" borderId="23" xfId="0" applyNumberFormat="1" applyBorder="1"/>
    <xf numFmtId="1" fontId="0" fillId="0" borderId="29" xfId="0" applyNumberFormat="1" applyBorder="1"/>
    <xf numFmtId="1" fontId="0" fillId="0" borderId="18" xfId="0" applyNumberFormat="1" applyBorder="1"/>
    <xf numFmtId="0" fontId="3" fillId="0" borderId="21" xfId="0" applyFont="1" applyBorder="1" applyAlignment="1">
      <alignment horizontal="centerContinuous"/>
    </xf>
    <xf numFmtId="0" fontId="3" fillId="0" borderId="22" xfId="0" applyFont="1" applyBorder="1" applyAlignment="1">
      <alignment horizontal="centerContinuous"/>
    </xf>
    <xf numFmtId="0" fontId="3" fillId="0" borderId="23" xfId="0" applyFont="1" applyBorder="1" applyAlignment="1">
      <alignment horizontal="centerContinuous"/>
    </xf>
    <xf numFmtId="164" fontId="0" fillId="3" borderId="1" xfId="0" applyNumberFormat="1" applyFill="1" applyBorder="1"/>
    <xf numFmtId="164" fontId="0" fillId="3" borderId="4" xfId="0" applyNumberFormat="1" applyFill="1" applyBorder="1"/>
    <xf numFmtId="0" fontId="0" fillId="0" borderId="1" xfId="0" applyBorder="1"/>
    <xf numFmtId="0" fontId="0" fillId="0" borderId="10" xfId="0" applyBorder="1"/>
    <xf numFmtId="0" fontId="0" fillId="0" borderId="4" xfId="0" applyBorder="1"/>
    <xf numFmtId="0" fontId="2" fillId="0" borderId="12" xfId="1" applyFill="1" applyBorder="1"/>
    <xf numFmtId="166" fontId="0" fillId="0" borderId="29" xfId="0" applyNumberFormat="1" applyBorder="1"/>
    <xf numFmtId="0" fontId="2" fillId="0" borderId="9" xfId="1" applyFill="1" applyBorder="1"/>
    <xf numFmtId="164" fontId="0" fillId="6" borderId="13" xfId="0" applyNumberFormat="1" applyFill="1" applyBorder="1"/>
    <xf numFmtId="164" fontId="0" fillId="6" borderId="14" xfId="0" applyNumberFormat="1" applyFill="1" applyBorder="1"/>
    <xf numFmtId="164" fontId="0" fillId="6" borderId="10" xfId="0" applyNumberFormat="1" applyFill="1" applyBorder="1"/>
    <xf numFmtId="164" fontId="0" fillId="6" borderId="0" xfId="0" applyNumberFormat="1" applyFill="1"/>
    <xf numFmtId="164" fontId="0" fillId="6" borderId="4" xfId="0" applyNumberFormat="1" applyFill="1" applyBorder="1"/>
    <xf numFmtId="0" fontId="4" fillId="0" borderId="21" xfId="0" applyFont="1" applyBorder="1" applyAlignment="1">
      <alignment horizontal="centerContinuous" wrapText="1"/>
    </xf>
    <xf numFmtId="0" fontId="3" fillId="0" borderId="22" xfId="0" applyFont="1" applyBorder="1" applyAlignment="1">
      <alignment horizontal="centerContinuous" wrapText="1"/>
    </xf>
    <xf numFmtId="0" fontId="3" fillId="0" borderId="23" xfId="0" applyFont="1" applyBorder="1" applyAlignment="1">
      <alignment horizontal="centerContinuous"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spPr>
            <a:ln w="19050" cap="rnd">
              <a:solidFill>
                <a:schemeClr val="accent1"/>
              </a:solidFill>
              <a:round/>
            </a:ln>
            <a:effectLst/>
          </c:spPr>
          <c:marker>
            <c:symbol val="none"/>
          </c:marker>
          <c:xVal>
            <c:numRef>
              <c:f>Tabelle2!$C$14:$C$71</c:f>
              <c:numCache>
                <c:formatCode>General</c:formatCode>
                <c:ptCount val="58"/>
                <c:pt idx="0">
                  <c:v>78.474999999999994</c:v>
                </c:pt>
                <c:pt idx="1">
                  <c:v>78.409217668219554</c:v>
                </c:pt>
                <c:pt idx="2">
                  <c:v>77.745772144585985</c:v>
                </c:pt>
                <c:pt idx="3">
                  <c:v>75.580245797723592</c:v>
                </c:pt>
                <c:pt idx="4">
                  <c:v>67.245133269710948</c:v>
                </c:pt>
                <c:pt idx="5">
                  <c:v>54.474999999999994</c:v>
                </c:pt>
                <c:pt idx="6">
                  <c:v>38.810112528012652</c:v>
                </c:pt>
                <c:pt idx="7">
                  <c:v>22.139887471987336</c:v>
                </c:pt>
                <c:pt idx="8">
                  <c:v>6.4749999999999908</c:v>
                </c:pt>
                <c:pt idx="9">
                  <c:v>-6.2951332697109521</c:v>
                </c:pt>
                <c:pt idx="10">
                  <c:v>-14.630245797723603</c:v>
                </c:pt>
                <c:pt idx="11">
                  <c:v>-17.524999999999999</c:v>
                </c:pt>
                <c:pt idx="12">
                  <c:v>-14.630245797723596</c:v>
                </c:pt>
                <c:pt idx="13">
                  <c:v>-6.2951332697109308</c:v>
                </c:pt>
                <c:pt idx="14">
                  <c:v>6.4750000000000192</c:v>
                </c:pt>
                <c:pt idx="15">
                  <c:v>22.139887471987343</c:v>
                </c:pt>
                <c:pt idx="16">
                  <c:v>38.810112528012638</c:v>
                </c:pt>
                <c:pt idx="17">
                  <c:v>54.474999999999966</c:v>
                </c:pt>
                <c:pt idx="18">
                  <c:v>67.245133269710919</c:v>
                </c:pt>
                <c:pt idx="19">
                  <c:v>75.580245797723578</c:v>
                </c:pt>
                <c:pt idx="20">
                  <c:v>77.74577214458597</c:v>
                </c:pt>
                <c:pt idx="21">
                  <c:v>78.409217668219554</c:v>
                </c:pt>
                <c:pt idx="22">
                  <c:v>78.474999999999994</c:v>
                </c:pt>
                <c:pt idx="24">
                  <c:v>24.52</c:v>
                </c:pt>
                <c:pt idx="25">
                  <c:v>24.452847202974116</c:v>
                </c:pt>
                <c:pt idx="26">
                  <c:v>23.775579897598195</c:v>
                </c:pt>
                <c:pt idx="27">
                  <c:v>21.564938418509509</c:v>
                </c:pt>
                <c:pt idx="28">
                  <c:v>13.056177712829925</c:v>
                </c:pt>
                <c:pt idx="29">
                  <c:v>1.9999999999992468E-2</c:v>
                </c:pt>
                <c:pt idx="30">
                  <c:v>-15.971239294320419</c:v>
                </c:pt>
                <c:pt idx="31">
                  <c:v>-32.988760705679596</c:v>
                </c:pt>
                <c:pt idx="32">
                  <c:v>-48.980000000000011</c:v>
                </c:pt>
                <c:pt idx="33">
                  <c:v>-62.016177712829929</c:v>
                </c:pt>
                <c:pt idx="34">
                  <c:v>-70.524938418509507</c:v>
                </c:pt>
                <c:pt idx="35">
                  <c:v>-73.48</c:v>
                </c:pt>
                <c:pt idx="36">
                  <c:v>-70.524938418509507</c:v>
                </c:pt>
                <c:pt idx="37">
                  <c:v>-62.016177712829915</c:v>
                </c:pt>
                <c:pt idx="38">
                  <c:v>-48.979999999999983</c:v>
                </c:pt>
                <c:pt idx="39">
                  <c:v>-32.988760705679589</c:v>
                </c:pt>
                <c:pt idx="40">
                  <c:v>-15.971239294320432</c:v>
                </c:pt>
                <c:pt idx="41">
                  <c:v>1.9999999999967599E-2</c:v>
                </c:pt>
                <c:pt idx="42">
                  <c:v>13.056177712829882</c:v>
                </c:pt>
                <c:pt idx="43">
                  <c:v>21.564938418509488</c:v>
                </c:pt>
                <c:pt idx="44">
                  <c:v>23.775579897598181</c:v>
                </c:pt>
                <c:pt idx="45">
                  <c:v>24.452847202974116</c:v>
                </c:pt>
                <c:pt idx="46">
                  <c:v>24.52</c:v>
                </c:pt>
                <c:pt idx="48">
                  <c:v>30.475000000000001</c:v>
                </c:pt>
                <c:pt idx="49">
                  <c:v>-24.48</c:v>
                </c:pt>
                <c:pt idx="51" formatCode="0.00">
                  <c:v>5.4214280508027137</c:v>
                </c:pt>
                <c:pt idx="52" formatCode="0.00">
                  <c:v>2.3360197121496409</c:v>
                </c:pt>
                <c:pt idx="55">
                  <c:v>-74</c:v>
                </c:pt>
                <c:pt idx="57">
                  <c:v>78</c:v>
                </c:pt>
              </c:numCache>
            </c:numRef>
          </c:xVal>
          <c:yVal>
            <c:numRef>
              <c:f>Tabelle2!$D$14:$D$71</c:f>
              <c:numCache>
                <c:formatCode>General</c:formatCode>
                <c:ptCount val="58"/>
                <c:pt idx="0">
                  <c:v>49.348999999999997</c:v>
                </c:pt>
                <c:pt idx="1">
                  <c:v>51.861125899661303</c:v>
                </c:pt>
                <c:pt idx="2">
                  <c:v>57.684112528012655</c:v>
                </c:pt>
                <c:pt idx="3">
                  <c:v>65.765966879632089</c:v>
                </c:pt>
                <c:pt idx="4">
                  <c:v>80.202805264953895</c:v>
                </c:pt>
                <c:pt idx="5">
                  <c:v>90.918219381653046</c:v>
                </c:pt>
                <c:pt idx="6">
                  <c:v>96.619772144585994</c:v>
                </c:pt>
                <c:pt idx="7">
                  <c:v>96.61977214458598</c:v>
                </c:pt>
                <c:pt idx="8">
                  <c:v>90.918219381653046</c:v>
                </c:pt>
                <c:pt idx="9">
                  <c:v>80.202805264953867</c:v>
                </c:pt>
                <c:pt idx="10">
                  <c:v>65.765966879632089</c:v>
                </c:pt>
                <c:pt idx="11">
                  <c:v>49.348999999999982</c:v>
                </c:pt>
                <c:pt idx="12">
                  <c:v>32.932033120367883</c:v>
                </c:pt>
                <c:pt idx="13">
                  <c:v>18.495194735046098</c:v>
                </c:pt>
                <c:pt idx="14">
                  <c:v>7.7797806183469334</c:v>
                </c:pt>
                <c:pt idx="15">
                  <c:v>2.0782278554140134</c:v>
                </c:pt>
                <c:pt idx="16">
                  <c:v>2.0782278554140063</c:v>
                </c:pt>
                <c:pt idx="17">
                  <c:v>7.7797806183469262</c:v>
                </c:pt>
                <c:pt idx="18">
                  <c:v>18.495194735046063</c:v>
                </c:pt>
                <c:pt idx="19">
                  <c:v>32.932033120367819</c:v>
                </c:pt>
                <c:pt idx="20">
                  <c:v>41.013887471987253</c:v>
                </c:pt>
                <c:pt idx="21">
                  <c:v>46.836874100338626</c:v>
                </c:pt>
                <c:pt idx="22">
                  <c:v>49.34899999999994</c:v>
                </c:pt>
                <c:pt idx="24">
                  <c:v>51.472999999999999</c:v>
                </c:pt>
                <c:pt idx="25">
                  <c:v>54.037461855904247</c:v>
                </c:pt>
                <c:pt idx="26">
                  <c:v>59.981760705679591</c:v>
                </c:pt>
                <c:pt idx="27">
                  <c:v>68.231987022957767</c:v>
                </c:pt>
                <c:pt idx="28">
                  <c:v>82.969592874640426</c:v>
                </c:pt>
                <c:pt idx="29">
                  <c:v>93.908244785437489</c:v>
                </c:pt>
                <c:pt idx="30">
                  <c:v>99.728579897598195</c:v>
                </c:pt>
                <c:pt idx="31">
                  <c:v>99.728579897598195</c:v>
                </c:pt>
                <c:pt idx="32">
                  <c:v>93.908244785437489</c:v>
                </c:pt>
                <c:pt idx="33">
                  <c:v>82.969592874640412</c:v>
                </c:pt>
                <c:pt idx="34">
                  <c:v>68.231987022957753</c:v>
                </c:pt>
                <c:pt idx="35">
                  <c:v>51.472999999999985</c:v>
                </c:pt>
                <c:pt idx="36">
                  <c:v>34.714012977042216</c:v>
                </c:pt>
                <c:pt idx="37">
                  <c:v>19.976407125359561</c:v>
                </c:pt>
                <c:pt idx="38">
                  <c:v>9.0377552145624946</c:v>
                </c:pt>
                <c:pt idx="39">
                  <c:v>3.2174201024018032</c:v>
                </c:pt>
                <c:pt idx="40">
                  <c:v>3.2174201024018032</c:v>
                </c:pt>
                <c:pt idx="41">
                  <c:v>9.0377552145624875</c:v>
                </c:pt>
                <c:pt idx="42">
                  <c:v>19.976407125359525</c:v>
                </c:pt>
                <c:pt idx="43">
                  <c:v>34.714012977042159</c:v>
                </c:pt>
                <c:pt idx="44">
                  <c:v>42.964239294320322</c:v>
                </c:pt>
                <c:pt idx="45">
                  <c:v>48.908538144095679</c:v>
                </c:pt>
                <c:pt idx="46">
                  <c:v>51.472999999999942</c:v>
                </c:pt>
                <c:pt idx="55">
                  <c:v>2</c:v>
                </c:pt>
                <c:pt idx="57">
                  <c:v>154</c:v>
                </c:pt>
              </c:numCache>
            </c:numRef>
          </c:yVal>
          <c:smooth val="1"/>
          <c:extLst>
            <c:ext xmlns:c16="http://schemas.microsoft.com/office/drawing/2014/chart" uri="{C3380CC4-5D6E-409C-BE32-E72D297353CC}">
              <c16:uniqueId val="{00000000-9917-409E-9DB5-6ED97D14EA1B}"/>
            </c:ext>
          </c:extLst>
        </c:ser>
        <c:ser>
          <c:idx val="1"/>
          <c:order val="1"/>
          <c:spPr>
            <a:ln w="9525" cap="rnd">
              <a:solidFill>
                <a:schemeClr val="tx1"/>
              </a:solidFill>
              <a:prstDash val="lgDashDot"/>
              <a:round/>
            </a:ln>
            <a:effectLst/>
          </c:spPr>
          <c:marker>
            <c:symbol val="plus"/>
            <c:size val="40"/>
            <c:spPr>
              <a:noFill/>
              <a:ln w="9525">
                <a:solidFill>
                  <a:schemeClr val="tx1"/>
                </a:solidFill>
                <a:prstDash val="dashDot"/>
              </a:ln>
              <a:effectLst/>
            </c:spPr>
          </c:marker>
          <c:xVal>
            <c:numRef>
              <c:f>Tabelle2!$C$14:$C$71</c:f>
              <c:numCache>
                <c:formatCode>General</c:formatCode>
                <c:ptCount val="58"/>
                <c:pt idx="0">
                  <c:v>78.474999999999994</c:v>
                </c:pt>
                <c:pt idx="1">
                  <c:v>78.409217668219554</c:v>
                </c:pt>
                <c:pt idx="2">
                  <c:v>77.745772144585985</c:v>
                </c:pt>
                <c:pt idx="3">
                  <c:v>75.580245797723592</c:v>
                </c:pt>
                <c:pt idx="4">
                  <c:v>67.245133269710948</c:v>
                </c:pt>
                <c:pt idx="5">
                  <c:v>54.474999999999994</c:v>
                </c:pt>
                <c:pt idx="6">
                  <c:v>38.810112528012652</c:v>
                </c:pt>
                <c:pt idx="7">
                  <c:v>22.139887471987336</c:v>
                </c:pt>
                <c:pt idx="8">
                  <c:v>6.4749999999999908</c:v>
                </c:pt>
                <c:pt idx="9">
                  <c:v>-6.2951332697109521</c:v>
                </c:pt>
                <c:pt idx="10">
                  <c:v>-14.630245797723603</c:v>
                </c:pt>
                <c:pt idx="11">
                  <c:v>-17.524999999999999</c:v>
                </c:pt>
                <c:pt idx="12">
                  <c:v>-14.630245797723596</c:v>
                </c:pt>
                <c:pt idx="13">
                  <c:v>-6.2951332697109308</c:v>
                </c:pt>
                <c:pt idx="14">
                  <c:v>6.4750000000000192</c:v>
                </c:pt>
                <c:pt idx="15">
                  <c:v>22.139887471987343</c:v>
                </c:pt>
                <c:pt idx="16">
                  <c:v>38.810112528012638</c:v>
                </c:pt>
                <c:pt idx="17">
                  <c:v>54.474999999999966</c:v>
                </c:pt>
                <c:pt idx="18">
                  <c:v>67.245133269710919</c:v>
                </c:pt>
                <c:pt idx="19">
                  <c:v>75.580245797723578</c:v>
                </c:pt>
                <c:pt idx="20">
                  <c:v>77.74577214458597</c:v>
                </c:pt>
                <c:pt idx="21">
                  <c:v>78.409217668219554</c:v>
                </c:pt>
                <c:pt idx="22">
                  <c:v>78.474999999999994</c:v>
                </c:pt>
                <c:pt idx="24">
                  <c:v>24.52</c:v>
                </c:pt>
                <c:pt idx="25">
                  <c:v>24.452847202974116</c:v>
                </c:pt>
                <c:pt idx="26">
                  <c:v>23.775579897598195</c:v>
                </c:pt>
                <c:pt idx="27">
                  <c:v>21.564938418509509</c:v>
                </c:pt>
                <c:pt idx="28">
                  <c:v>13.056177712829925</c:v>
                </c:pt>
                <c:pt idx="29">
                  <c:v>1.9999999999992468E-2</c:v>
                </c:pt>
                <c:pt idx="30">
                  <c:v>-15.971239294320419</c:v>
                </c:pt>
                <c:pt idx="31">
                  <c:v>-32.988760705679596</c:v>
                </c:pt>
                <c:pt idx="32">
                  <c:v>-48.980000000000011</c:v>
                </c:pt>
                <c:pt idx="33">
                  <c:v>-62.016177712829929</c:v>
                </c:pt>
                <c:pt idx="34">
                  <c:v>-70.524938418509507</c:v>
                </c:pt>
                <c:pt idx="35">
                  <c:v>-73.48</c:v>
                </c:pt>
                <c:pt idx="36">
                  <c:v>-70.524938418509507</c:v>
                </c:pt>
                <c:pt idx="37">
                  <c:v>-62.016177712829915</c:v>
                </c:pt>
                <c:pt idx="38">
                  <c:v>-48.979999999999983</c:v>
                </c:pt>
                <c:pt idx="39">
                  <c:v>-32.988760705679589</c:v>
                </c:pt>
                <c:pt idx="40">
                  <c:v>-15.971239294320432</c:v>
                </c:pt>
                <c:pt idx="41">
                  <c:v>1.9999999999967599E-2</c:v>
                </c:pt>
                <c:pt idx="42">
                  <c:v>13.056177712829882</c:v>
                </c:pt>
                <c:pt idx="43">
                  <c:v>21.564938418509488</c:v>
                </c:pt>
                <c:pt idx="44">
                  <c:v>23.775579897598181</c:v>
                </c:pt>
                <c:pt idx="45">
                  <c:v>24.452847202974116</c:v>
                </c:pt>
                <c:pt idx="46">
                  <c:v>24.52</c:v>
                </c:pt>
                <c:pt idx="48">
                  <c:v>30.475000000000001</c:v>
                </c:pt>
                <c:pt idx="49">
                  <c:v>-24.48</c:v>
                </c:pt>
                <c:pt idx="51" formatCode="0.00">
                  <c:v>5.4214280508027137</c:v>
                </c:pt>
                <c:pt idx="52" formatCode="0.00">
                  <c:v>2.3360197121496409</c:v>
                </c:pt>
                <c:pt idx="55">
                  <c:v>-74</c:v>
                </c:pt>
                <c:pt idx="57">
                  <c:v>78</c:v>
                </c:pt>
              </c:numCache>
            </c:numRef>
          </c:xVal>
          <c:yVal>
            <c:numRef>
              <c:f>Tabelle2!$E$14:$E$71</c:f>
              <c:numCache>
                <c:formatCode>General</c:formatCode>
                <c:ptCount val="58"/>
                <c:pt idx="48">
                  <c:v>49.348999999999997</c:v>
                </c:pt>
                <c:pt idx="49">
                  <c:v>51.472999999999999</c:v>
                </c:pt>
              </c:numCache>
            </c:numRef>
          </c:yVal>
          <c:smooth val="1"/>
          <c:extLst>
            <c:ext xmlns:c16="http://schemas.microsoft.com/office/drawing/2014/chart" uri="{C3380CC4-5D6E-409C-BE32-E72D297353CC}">
              <c16:uniqueId val="{00000001-9917-409E-9DB5-6ED97D14EA1B}"/>
            </c:ext>
          </c:extLst>
        </c:ser>
        <c:ser>
          <c:idx val="2"/>
          <c:order val="2"/>
          <c:spPr>
            <a:ln w="19050" cap="rnd">
              <a:solidFill>
                <a:schemeClr val="accent3"/>
              </a:solidFill>
              <a:prstDash val="sysDash"/>
              <a:round/>
            </a:ln>
            <a:effectLst/>
          </c:spPr>
          <c:marker>
            <c:symbol val="circle"/>
            <c:size val="5"/>
            <c:spPr>
              <a:solidFill>
                <a:schemeClr val="accent4"/>
              </a:solidFill>
              <a:ln w="12700">
                <a:solidFill>
                  <a:schemeClr val="tx1"/>
                </a:solidFill>
              </a:ln>
              <a:effectLst/>
            </c:spPr>
          </c:marker>
          <c:dLbls>
            <c:dLbl>
              <c:idx val="51"/>
              <c:layout>
                <c:manualLayout>
                  <c:x val="6.4683053040103496E-3"/>
                  <c:y val="-9.8591549295774641E-2"/>
                </c:manualLayout>
              </c:layout>
              <c:tx>
                <c:rich>
                  <a:bodyPr/>
                  <a:lstStyle/>
                  <a:p>
                    <a:r>
                      <a:rPr lang="en-US"/>
                      <a:t>(</a:t>
                    </a:r>
                    <a:fld id="{BB6160A5-55CC-440C-A49A-C7D33A89E69A}" type="XVALUE">
                      <a:rPr lang="en-US"/>
                      <a:pPr/>
                      <a:t>[X-WERT]</a:t>
                    </a:fld>
                    <a:r>
                      <a:rPr lang="en-US" baseline="0"/>
                      <a:t>|</a:t>
                    </a:r>
                    <a:fld id="{2851A0AB-1134-4176-A2B5-DAE621E7C9CC}" type="YVALUE">
                      <a:rPr lang="en-US" baseline="0"/>
                      <a:pPr/>
                      <a:t>[Y-WERT]</a:t>
                    </a:fld>
                    <a:r>
                      <a:rPr lang="en-US" baseline="0"/>
                      <a:t>)</a:t>
                    </a:r>
                  </a:p>
                </c:rich>
              </c:tx>
              <c:showLegendKey val="0"/>
              <c:showVal val="1"/>
              <c:showCatName val="1"/>
              <c:showSerName val="0"/>
              <c:showPercent val="0"/>
              <c:showBubbleSize val="0"/>
              <c:separator>|</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0-EA72-4288-93FF-BB4B1752D6C1}"/>
                </c:ext>
              </c:extLst>
            </c:dLbl>
            <c:dLbl>
              <c:idx val="52"/>
              <c:layout>
                <c:manualLayout>
                  <c:x val="-0.17680034497628283"/>
                  <c:y val="-2.5821596244131457E-2"/>
                </c:manualLayout>
              </c:layout>
              <c:tx>
                <c:rich>
                  <a:bodyPr/>
                  <a:lstStyle/>
                  <a:p>
                    <a:r>
                      <a:rPr lang="en-US"/>
                      <a:t>(</a:t>
                    </a:r>
                    <a:fld id="{96CA1B37-E801-45B3-980A-0F1640CA317E}" type="XVALUE">
                      <a:rPr lang="en-US"/>
                      <a:pPr/>
                      <a:t>[X-WERT]</a:t>
                    </a:fld>
                    <a:r>
                      <a:rPr lang="en-US" baseline="0"/>
                      <a:t>|</a:t>
                    </a:r>
                    <a:fld id="{A27FCDCC-124D-4629-B6E1-48477654067C}" type="YVALUE">
                      <a:rPr lang="en-US" baseline="0"/>
                      <a:pPr/>
                      <a:t>[Y-WERT]</a:t>
                    </a:fld>
                    <a:r>
                      <a:rPr lang="en-US" baseline="0"/>
                      <a:t>)</a:t>
                    </a:r>
                  </a:p>
                </c:rich>
              </c:tx>
              <c:showLegendKey val="0"/>
              <c:showVal val="1"/>
              <c:showCatName val="1"/>
              <c:showSerName val="0"/>
              <c:showPercent val="0"/>
              <c:showBubbleSize val="0"/>
              <c:separator>|</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EA72-4288-93FF-BB4B1752D6C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1"/>
            <c:showSerName val="0"/>
            <c:showPercent val="0"/>
            <c:showBubbleSize val="0"/>
            <c:separator>|</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Tabelle2!$C$14:$C$71</c:f>
              <c:numCache>
                <c:formatCode>General</c:formatCode>
                <c:ptCount val="58"/>
                <c:pt idx="0">
                  <c:v>78.474999999999994</c:v>
                </c:pt>
                <c:pt idx="1">
                  <c:v>78.409217668219554</c:v>
                </c:pt>
                <c:pt idx="2">
                  <c:v>77.745772144585985</c:v>
                </c:pt>
                <c:pt idx="3">
                  <c:v>75.580245797723592</c:v>
                </c:pt>
                <c:pt idx="4">
                  <c:v>67.245133269710948</c:v>
                </c:pt>
                <c:pt idx="5">
                  <c:v>54.474999999999994</c:v>
                </c:pt>
                <c:pt idx="6">
                  <c:v>38.810112528012652</c:v>
                </c:pt>
                <c:pt idx="7">
                  <c:v>22.139887471987336</c:v>
                </c:pt>
                <c:pt idx="8">
                  <c:v>6.4749999999999908</c:v>
                </c:pt>
                <c:pt idx="9">
                  <c:v>-6.2951332697109521</c:v>
                </c:pt>
                <c:pt idx="10">
                  <c:v>-14.630245797723603</c:v>
                </c:pt>
                <c:pt idx="11">
                  <c:v>-17.524999999999999</c:v>
                </c:pt>
                <c:pt idx="12">
                  <c:v>-14.630245797723596</c:v>
                </c:pt>
                <c:pt idx="13">
                  <c:v>-6.2951332697109308</c:v>
                </c:pt>
                <c:pt idx="14">
                  <c:v>6.4750000000000192</c:v>
                </c:pt>
                <c:pt idx="15">
                  <c:v>22.139887471987343</c:v>
                </c:pt>
                <c:pt idx="16">
                  <c:v>38.810112528012638</c:v>
                </c:pt>
                <c:pt idx="17">
                  <c:v>54.474999999999966</c:v>
                </c:pt>
                <c:pt idx="18">
                  <c:v>67.245133269710919</c:v>
                </c:pt>
                <c:pt idx="19">
                  <c:v>75.580245797723578</c:v>
                </c:pt>
                <c:pt idx="20">
                  <c:v>77.74577214458597</c:v>
                </c:pt>
                <c:pt idx="21">
                  <c:v>78.409217668219554</c:v>
                </c:pt>
                <c:pt idx="22">
                  <c:v>78.474999999999994</c:v>
                </c:pt>
                <c:pt idx="24">
                  <c:v>24.52</c:v>
                </c:pt>
                <c:pt idx="25">
                  <c:v>24.452847202974116</c:v>
                </c:pt>
                <c:pt idx="26">
                  <c:v>23.775579897598195</c:v>
                </c:pt>
                <c:pt idx="27">
                  <c:v>21.564938418509509</c:v>
                </c:pt>
                <c:pt idx="28">
                  <c:v>13.056177712829925</c:v>
                </c:pt>
                <c:pt idx="29">
                  <c:v>1.9999999999992468E-2</c:v>
                </c:pt>
                <c:pt idx="30">
                  <c:v>-15.971239294320419</c:v>
                </c:pt>
                <c:pt idx="31">
                  <c:v>-32.988760705679596</c:v>
                </c:pt>
                <c:pt idx="32">
                  <c:v>-48.980000000000011</c:v>
                </c:pt>
                <c:pt idx="33">
                  <c:v>-62.016177712829929</c:v>
                </c:pt>
                <c:pt idx="34">
                  <c:v>-70.524938418509507</c:v>
                </c:pt>
                <c:pt idx="35">
                  <c:v>-73.48</c:v>
                </c:pt>
                <c:pt idx="36">
                  <c:v>-70.524938418509507</c:v>
                </c:pt>
                <c:pt idx="37">
                  <c:v>-62.016177712829915</c:v>
                </c:pt>
                <c:pt idx="38">
                  <c:v>-48.979999999999983</c:v>
                </c:pt>
                <c:pt idx="39">
                  <c:v>-32.988760705679589</c:v>
                </c:pt>
                <c:pt idx="40">
                  <c:v>-15.971239294320432</c:v>
                </c:pt>
                <c:pt idx="41">
                  <c:v>1.9999999999967599E-2</c:v>
                </c:pt>
                <c:pt idx="42">
                  <c:v>13.056177712829882</c:v>
                </c:pt>
                <c:pt idx="43">
                  <c:v>21.564938418509488</c:v>
                </c:pt>
                <c:pt idx="44">
                  <c:v>23.775579897598181</c:v>
                </c:pt>
                <c:pt idx="45">
                  <c:v>24.452847202974116</c:v>
                </c:pt>
                <c:pt idx="46">
                  <c:v>24.52</c:v>
                </c:pt>
                <c:pt idx="48">
                  <c:v>30.475000000000001</c:v>
                </c:pt>
                <c:pt idx="49">
                  <c:v>-24.48</c:v>
                </c:pt>
                <c:pt idx="51" formatCode="0.00">
                  <c:v>5.4214280508027137</c:v>
                </c:pt>
                <c:pt idx="52" formatCode="0.00">
                  <c:v>2.3360197121496409</c:v>
                </c:pt>
                <c:pt idx="55">
                  <c:v>-74</c:v>
                </c:pt>
                <c:pt idx="57">
                  <c:v>78</c:v>
                </c:pt>
              </c:numCache>
            </c:numRef>
          </c:xVal>
          <c:yVal>
            <c:numRef>
              <c:f>Tabelle2!$F$14:$F$71</c:f>
              <c:numCache>
                <c:formatCode>General</c:formatCode>
                <c:ptCount val="58"/>
                <c:pt idx="51" formatCode="0.00">
                  <c:v>90.291869129878961</c:v>
                </c:pt>
                <c:pt idx="52" formatCode="0.00">
                  <c:v>10.462012608843452</c:v>
                </c:pt>
              </c:numCache>
            </c:numRef>
          </c:yVal>
          <c:smooth val="0"/>
          <c:extLst>
            <c:ext xmlns:c16="http://schemas.microsoft.com/office/drawing/2014/chart" uri="{C3380CC4-5D6E-409C-BE32-E72D297353CC}">
              <c16:uniqueId val="{00000004-9917-409E-9DB5-6ED97D14EA1B}"/>
            </c:ext>
          </c:extLst>
        </c:ser>
        <c:dLbls>
          <c:showLegendKey val="0"/>
          <c:showVal val="0"/>
          <c:showCatName val="0"/>
          <c:showSerName val="0"/>
          <c:showPercent val="0"/>
          <c:showBubbleSize val="0"/>
        </c:dLbls>
        <c:axId val="1390106704"/>
        <c:axId val="1390102384"/>
      </c:scatterChart>
      <c:valAx>
        <c:axId val="139010670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390102384"/>
        <c:crosses val="autoZero"/>
        <c:crossBetween val="midCat"/>
      </c:valAx>
      <c:valAx>
        <c:axId val="13901023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39010670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1"/>
              </a:solidFill>
              <a:round/>
            </a:ln>
            <a:effectLst/>
          </c:spPr>
          <c:marker>
            <c:symbol val="circle"/>
            <c:size val="6"/>
            <c:spPr>
              <a:solidFill>
                <a:schemeClr val="accent2"/>
              </a:solidFill>
              <a:ln w="3175">
                <a:solidFill>
                  <a:schemeClr val="tx1"/>
                </a:solidFill>
              </a:ln>
              <a:effectLst/>
            </c:spPr>
          </c:marker>
          <c:dPt>
            <c:idx val="3"/>
            <c:marker>
              <c:symbol val="circle"/>
              <c:size val="6"/>
              <c:spPr>
                <a:solidFill>
                  <a:schemeClr val="accent2"/>
                </a:solidFill>
                <a:ln w="3175">
                  <a:solidFill>
                    <a:schemeClr val="tx1"/>
                  </a:solidFill>
                </a:ln>
                <a:effectLst/>
              </c:spPr>
            </c:marker>
            <c:bubble3D val="0"/>
            <c:spPr>
              <a:ln w="19050" cap="rnd">
                <a:solidFill>
                  <a:schemeClr val="accent1"/>
                </a:solidFill>
                <a:prstDash val="sysDash"/>
                <a:round/>
              </a:ln>
              <a:effectLst/>
            </c:spPr>
            <c:extLst>
              <c:ext xmlns:c16="http://schemas.microsoft.com/office/drawing/2014/chart" uri="{C3380CC4-5D6E-409C-BE32-E72D297353CC}">
                <c16:uniqueId val="{00000001-2550-472F-9607-9B01B713D903}"/>
              </c:ext>
            </c:extLst>
          </c:dPt>
          <c:dLbls>
            <c:dLbl>
              <c:idx val="2"/>
              <c:layout>
                <c:manualLayout>
                  <c:x val="6.5947242206235018E-2"/>
                  <c:y val="-3.0084235860409144E-2"/>
                </c:manualLayout>
              </c:layout>
              <c:tx>
                <c:rich>
                  <a:bodyPr/>
                  <a:lstStyle/>
                  <a:p>
                    <a:r>
                      <a:rPr lang="en-US"/>
                      <a:t>(</a:t>
                    </a:r>
                    <a:fld id="{848F46A4-3A3A-46DA-A8C8-9554C005645C}" type="XVALUE">
                      <a:rPr lang="en-US"/>
                      <a:pPr/>
                      <a:t>[X-WERT]</a:t>
                    </a:fld>
                    <a:r>
                      <a:rPr lang="en-US" baseline="0"/>
                      <a:t>|</a:t>
                    </a:r>
                    <a:fld id="{9A3E14DF-3B8B-4C4C-A3F8-0513E4410372}" type="YVALUE">
                      <a:rPr lang="en-US" baseline="0"/>
                      <a:pPr/>
                      <a:t>[Y-WERT]</a:t>
                    </a:fld>
                    <a:r>
                      <a:rPr lang="en-US" baseline="0"/>
                      <a:t>)</a:t>
                    </a:r>
                  </a:p>
                </c:rich>
              </c:tx>
              <c:showLegendKey val="0"/>
              <c:showVal val="1"/>
              <c:showCatName val="1"/>
              <c:showSerName val="0"/>
              <c:showPercent val="0"/>
              <c:showBubbleSize val="0"/>
              <c:separator>|</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2-2550-472F-9607-9B01B713D903}"/>
                </c:ext>
              </c:extLst>
            </c:dLbl>
            <c:dLbl>
              <c:idx val="3"/>
              <c:delete val="1"/>
              <c:extLst>
                <c:ext xmlns:c15="http://schemas.microsoft.com/office/drawing/2012/chart" uri="{CE6537A1-D6FC-4f65-9D91-7224C49458BB}"/>
                <c:ext xmlns:c16="http://schemas.microsoft.com/office/drawing/2014/chart" uri="{C3380CC4-5D6E-409C-BE32-E72D297353CC}">
                  <c16:uniqueId val="{00000001-2550-472F-9607-9B01B713D90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Tabelle11!$B$13:$B$21</c:f>
              <c:numCache>
                <c:formatCode>General</c:formatCode>
                <c:ptCount val="9"/>
                <c:pt idx="0">
                  <c:v>77.099999999999994</c:v>
                </c:pt>
                <c:pt idx="1">
                  <c:v>-0.89999999999999858</c:v>
                </c:pt>
                <c:pt idx="2" formatCode="0.00">
                  <c:v>26.200000000000003</c:v>
                </c:pt>
                <c:pt idx="3" formatCode="0.0000">
                  <c:v>50</c:v>
                </c:pt>
                <c:pt idx="5" formatCode="0.0">
                  <c:v>-0.89999999999999858</c:v>
                </c:pt>
                <c:pt idx="7" formatCode="0.0">
                  <c:v>77.099999999999994</c:v>
                </c:pt>
              </c:numCache>
            </c:numRef>
          </c:xVal>
          <c:yVal>
            <c:numRef>
              <c:f>Tabelle11!$C$13:$C$21</c:f>
              <c:numCache>
                <c:formatCode>General</c:formatCode>
                <c:ptCount val="9"/>
                <c:pt idx="2" formatCode="0.00">
                  <c:v>-38.399999999999991</c:v>
                </c:pt>
                <c:pt idx="3" formatCode="0.0000">
                  <c:v>33</c:v>
                </c:pt>
              </c:numCache>
            </c:numRef>
          </c:yVal>
          <c:smooth val="0"/>
          <c:extLst>
            <c:ext xmlns:c16="http://schemas.microsoft.com/office/drawing/2014/chart" uri="{C3380CC4-5D6E-409C-BE32-E72D297353CC}">
              <c16:uniqueId val="{00000003-2550-472F-9607-9B01B713D903}"/>
            </c:ext>
          </c:extLst>
        </c:ser>
        <c:ser>
          <c:idx val="1"/>
          <c:order val="1"/>
          <c:spPr>
            <a:ln w="19050" cap="rnd">
              <a:solidFill>
                <a:schemeClr val="accent1">
                  <a:lumMod val="60000"/>
                  <a:lumOff val="40000"/>
                </a:schemeClr>
              </a:solidFill>
              <a:round/>
            </a:ln>
            <a:effectLst/>
          </c:spPr>
          <c:marker>
            <c:symbol val="none"/>
          </c:marker>
          <c:xVal>
            <c:numRef>
              <c:f>Tabelle11!$B$13:$B$21</c:f>
              <c:numCache>
                <c:formatCode>General</c:formatCode>
                <c:ptCount val="9"/>
                <c:pt idx="0">
                  <c:v>77.099999999999994</c:v>
                </c:pt>
                <c:pt idx="1">
                  <c:v>-0.89999999999999858</c:v>
                </c:pt>
                <c:pt idx="2" formatCode="0.00">
                  <c:v>26.200000000000003</c:v>
                </c:pt>
                <c:pt idx="3" formatCode="0.0000">
                  <c:v>50</c:v>
                </c:pt>
                <c:pt idx="5" formatCode="0.0">
                  <c:v>-0.89999999999999858</c:v>
                </c:pt>
                <c:pt idx="7" formatCode="0.0">
                  <c:v>77.099999999999994</c:v>
                </c:pt>
              </c:numCache>
            </c:numRef>
          </c:xVal>
          <c:yVal>
            <c:numRef>
              <c:f>Tabelle11!$D$13:$D$21</c:f>
              <c:numCache>
                <c:formatCode>General</c:formatCode>
                <c:ptCount val="9"/>
                <c:pt idx="0">
                  <c:v>-15.699999999999996</c:v>
                </c:pt>
                <c:pt idx="1">
                  <c:v>10.300000000000004</c:v>
                </c:pt>
                <c:pt idx="5" formatCode="0.0">
                  <c:v>-41.699999999999996</c:v>
                </c:pt>
                <c:pt idx="7" formatCode="0.0">
                  <c:v>36.300000000000004</c:v>
                </c:pt>
              </c:numCache>
            </c:numRef>
          </c:yVal>
          <c:smooth val="0"/>
          <c:extLst>
            <c:ext xmlns:c16="http://schemas.microsoft.com/office/drawing/2014/chart" uri="{C3380CC4-5D6E-409C-BE32-E72D297353CC}">
              <c16:uniqueId val="{00000004-2550-472F-9607-9B01B713D903}"/>
            </c:ext>
          </c:extLst>
        </c:ser>
        <c:dLbls>
          <c:showLegendKey val="0"/>
          <c:showVal val="0"/>
          <c:showCatName val="0"/>
          <c:showSerName val="0"/>
          <c:showPercent val="0"/>
          <c:showBubbleSize val="0"/>
        </c:dLbls>
        <c:axId val="1646655119"/>
        <c:axId val="1646655599"/>
      </c:scatterChart>
      <c:valAx>
        <c:axId val="164665511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46655599"/>
        <c:crosses val="autoZero"/>
        <c:crossBetween val="midCat"/>
      </c:valAx>
      <c:valAx>
        <c:axId val="164665559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46655119"/>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1"/>
              </a:solidFill>
              <a:round/>
            </a:ln>
            <a:effectLst/>
          </c:spPr>
          <c:marker>
            <c:symbol val="circle"/>
            <c:size val="6"/>
            <c:spPr>
              <a:solidFill>
                <a:schemeClr val="accent2"/>
              </a:solidFill>
              <a:ln w="317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Tabelle12!$B$16:$B$26</c:f>
              <c:numCache>
                <c:formatCode>General</c:formatCode>
                <c:ptCount val="11"/>
                <c:pt idx="0">
                  <c:v>61.533333333333339</c:v>
                </c:pt>
                <c:pt idx="1">
                  <c:v>-5.1333333333333329</c:v>
                </c:pt>
                <c:pt idx="2">
                  <c:v>50</c:v>
                </c:pt>
                <c:pt idx="3">
                  <c:v>-50</c:v>
                </c:pt>
                <c:pt idx="4" formatCode="0.0000">
                  <c:v>-109.4</c:v>
                </c:pt>
                <c:pt idx="5">
                  <c:v>90.6</c:v>
                </c:pt>
                <c:pt idx="7" formatCode="0.0000">
                  <c:v>-100</c:v>
                </c:pt>
                <c:pt idx="9">
                  <c:v>100</c:v>
                </c:pt>
              </c:numCache>
            </c:numRef>
          </c:xVal>
          <c:yVal>
            <c:numRef>
              <c:f>Tabelle12!$C$16:$C$26</c:f>
              <c:numCache>
                <c:formatCode>General</c:formatCode>
                <c:ptCount val="11"/>
              </c:numCache>
            </c:numRef>
          </c:yVal>
          <c:smooth val="0"/>
          <c:extLst>
            <c:ext xmlns:c16="http://schemas.microsoft.com/office/drawing/2014/chart" uri="{C3380CC4-5D6E-409C-BE32-E72D297353CC}">
              <c16:uniqueId val="{00000001-BF51-4EC9-8365-750FAA04A084}"/>
            </c:ext>
          </c:extLst>
        </c:ser>
        <c:ser>
          <c:idx val="1"/>
          <c:order val="1"/>
          <c:spPr>
            <a:ln w="19050" cap="rnd">
              <a:solidFill>
                <a:schemeClr val="accent1">
                  <a:lumMod val="60000"/>
                  <a:lumOff val="40000"/>
                </a:schemeClr>
              </a:solidFill>
              <a:round/>
            </a:ln>
            <a:effectLst/>
          </c:spPr>
          <c:marker>
            <c:symbol val="none"/>
          </c:marker>
          <c:xVal>
            <c:numRef>
              <c:f>Tabelle12!$B$16:$B$26</c:f>
              <c:numCache>
                <c:formatCode>General</c:formatCode>
                <c:ptCount val="11"/>
                <c:pt idx="0">
                  <c:v>61.533333333333339</c:v>
                </c:pt>
                <c:pt idx="1">
                  <c:v>-5.1333333333333329</c:v>
                </c:pt>
                <c:pt idx="2">
                  <c:v>50</c:v>
                </c:pt>
                <c:pt idx="3">
                  <c:v>-50</c:v>
                </c:pt>
                <c:pt idx="4" formatCode="0.0000">
                  <c:v>-109.4</c:v>
                </c:pt>
                <c:pt idx="5">
                  <c:v>90.6</c:v>
                </c:pt>
                <c:pt idx="7" formatCode="0.0000">
                  <c:v>-100</c:v>
                </c:pt>
                <c:pt idx="9">
                  <c:v>100</c:v>
                </c:pt>
              </c:numCache>
            </c:numRef>
          </c:xVal>
          <c:yVal>
            <c:numRef>
              <c:f>Tabelle12!$D$16:$D$26</c:f>
              <c:numCache>
                <c:formatCode>General</c:formatCode>
                <c:ptCount val="11"/>
                <c:pt idx="0">
                  <c:v>134.6</c:v>
                </c:pt>
                <c:pt idx="1">
                  <c:v>-65.400000000000006</c:v>
                </c:pt>
                <c:pt idx="4">
                  <c:v>49.133333333333333</c:v>
                </c:pt>
                <c:pt idx="5">
                  <c:v>-17.533333333333339</c:v>
                </c:pt>
                <c:pt idx="7" formatCode="0.0000">
                  <c:v>-56</c:v>
                </c:pt>
                <c:pt idx="9">
                  <c:v>144</c:v>
                </c:pt>
              </c:numCache>
            </c:numRef>
          </c:yVal>
          <c:smooth val="0"/>
          <c:extLst>
            <c:ext xmlns:c16="http://schemas.microsoft.com/office/drawing/2014/chart" uri="{C3380CC4-5D6E-409C-BE32-E72D297353CC}">
              <c16:uniqueId val="{00000002-BF51-4EC9-8365-750FAA04A084}"/>
            </c:ext>
          </c:extLst>
        </c:ser>
        <c:ser>
          <c:idx val="2"/>
          <c:order val="2"/>
          <c:spPr>
            <a:ln w="19050" cap="rnd">
              <a:solidFill>
                <a:schemeClr val="bg1">
                  <a:lumMod val="65000"/>
                </a:schemeClr>
              </a:solidFill>
              <a:prstDash val="sysDot"/>
              <a:round/>
            </a:ln>
            <a:effectLst/>
          </c:spPr>
          <c:marker>
            <c:symbol val="none"/>
          </c:marker>
          <c:xVal>
            <c:numRef>
              <c:f>Tabelle12!$B$16:$B$26</c:f>
              <c:numCache>
                <c:formatCode>General</c:formatCode>
                <c:ptCount val="11"/>
                <c:pt idx="0">
                  <c:v>61.533333333333339</c:v>
                </c:pt>
                <c:pt idx="1">
                  <c:v>-5.1333333333333329</c:v>
                </c:pt>
                <c:pt idx="2">
                  <c:v>50</c:v>
                </c:pt>
                <c:pt idx="3">
                  <c:v>-50</c:v>
                </c:pt>
                <c:pt idx="4" formatCode="0.0000">
                  <c:v>-109.4</c:v>
                </c:pt>
                <c:pt idx="5">
                  <c:v>90.6</c:v>
                </c:pt>
                <c:pt idx="7" formatCode="0.0000">
                  <c:v>-100</c:v>
                </c:pt>
                <c:pt idx="9">
                  <c:v>100</c:v>
                </c:pt>
              </c:numCache>
            </c:numRef>
          </c:xVal>
          <c:yVal>
            <c:numRef>
              <c:f>Tabelle12!$E$16:$E$26</c:f>
              <c:numCache>
                <c:formatCode>General</c:formatCode>
                <c:ptCount val="11"/>
                <c:pt idx="2">
                  <c:v>-56</c:v>
                </c:pt>
                <c:pt idx="3">
                  <c:v>144</c:v>
                </c:pt>
              </c:numCache>
            </c:numRef>
          </c:yVal>
          <c:smooth val="0"/>
          <c:extLst>
            <c:ext xmlns:c16="http://schemas.microsoft.com/office/drawing/2014/chart" uri="{C3380CC4-5D6E-409C-BE32-E72D297353CC}">
              <c16:uniqueId val="{00000003-BF51-4EC9-8365-750FAA04A084}"/>
            </c:ext>
          </c:extLst>
        </c:ser>
        <c:dLbls>
          <c:showLegendKey val="0"/>
          <c:showVal val="0"/>
          <c:showCatName val="0"/>
          <c:showSerName val="0"/>
          <c:showPercent val="0"/>
          <c:showBubbleSize val="0"/>
        </c:dLbls>
        <c:axId val="1646655119"/>
        <c:axId val="1646655599"/>
      </c:scatterChart>
      <c:valAx>
        <c:axId val="164665511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46655599"/>
        <c:crosses val="autoZero"/>
        <c:crossBetween val="midCat"/>
      </c:valAx>
      <c:valAx>
        <c:axId val="164665559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46655119"/>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spPr>
            <a:ln w="19050" cap="rnd">
              <a:solidFill>
                <a:schemeClr val="accent1"/>
              </a:solidFill>
              <a:round/>
            </a:ln>
            <a:effectLst/>
          </c:spPr>
          <c:marker>
            <c:symbol val="none"/>
          </c:marker>
          <c:xVal>
            <c:numRef>
              <c:f>Tabelle13!$C$20:$C$88</c:f>
              <c:numCache>
                <c:formatCode>General</c:formatCode>
                <c:ptCount val="69"/>
                <c:pt idx="0">
                  <c:v>103.2341</c:v>
                </c:pt>
                <c:pt idx="1">
                  <c:v>103.20394976460062</c:v>
                </c:pt>
                <c:pt idx="2">
                  <c:v>102.89987056626858</c:v>
                </c:pt>
                <c:pt idx="3">
                  <c:v>101.90733765728999</c:v>
                </c:pt>
                <c:pt idx="4">
                  <c:v>98.087077748617517</c:v>
                </c:pt>
                <c:pt idx="5">
                  <c:v>92.234099999999998</c:v>
                </c:pt>
                <c:pt idx="6">
                  <c:v>85.054359908672467</c:v>
                </c:pt>
                <c:pt idx="7">
                  <c:v>77.413840091327529</c:v>
                </c:pt>
                <c:pt idx="8">
                  <c:v>70.234099999999998</c:v>
                </c:pt>
                <c:pt idx="9">
                  <c:v>64.381122251382479</c:v>
                </c:pt>
                <c:pt idx="10">
                  <c:v>60.56086234271001</c:v>
                </c:pt>
                <c:pt idx="11">
                  <c:v>59.234099999999998</c:v>
                </c:pt>
                <c:pt idx="12">
                  <c:v>60.56086234271001</c:v>
                </c:pt>
                <c:pt idx="13">
                  <c:v>64.381122251382493</c:v>
                </c:pt>
                <c:pt idx="14">
                  <c:v>70.234100000000012</c:v>
                </c:pt>
                <c:pt idx="15">
                  <c:v>77.413840091327529</c:v>
                </c:pt>
                <c:pt idx="16">
                  <c:v>85.054359908672453</c:v>
                </c:pt>
                <c:pt idx="17">
                  <c:v>92.234099999999984</c:v>
                </c:pt>
                <c:pt idx="18">
                  <c:v>98.087077748617503</c:v>
                </c:pt>
                <c:pt idx="19">
                  <c:v>101.90733765728997</c:v>
                </c:pt>
                <c:pt idx="20">
                  <c:v>102.89987056626856</c:v>
                </c:pt>
                <c:pt idx="21">
                  <c:v>103.20394976460062</c:v>
                </c:pt>
                <c:pt idx="22">
                  <c:v>103.2341</c:v>
                </c:pt>
                <c:pt idx="24">
                  <c:v>89.474999999999994</c:v>
                </c:pt>
                <c:pt idx="25">
                  <c:v>89.394142550519859</c:v>
                </c:pt>
                <c:pt idx="26">
                  <c:v>88.578657427720273</c:v>
                </c:pt>
                <c:pt idx="27">
                  <c:v>85.916864626368593</c:v>
                </c:pt>
                <c:pt idx="28">
                  <c:v>75.671622144019707</c:v>
                </c:pt>
                <c:pt idx="29">
                  <c:v>59.974999999999994</c:v>
                </c:pt>
                <c:pt idx="30">
                  <c:v>40.720242482348887</c:v>
                </c:pt>
                <c:pt idx="31">
                  <c:v>20.229757517651102</c:v>
                </c:pt>
                <c:pt idx="32">
                  <c:v>0.97499999999998721</c:v>
                </c:pt>
                <c:pt idx="33">
                  <c:v>-14.721622144019712</c:v>
                </c:pt>
                <c:pt idx="34">
                  <c:v>-24.966864626368597</c:v>
                </c:pt>
                <c:pt idx="35">
                  <c:v>-28.524999999999999</c:v>
                </c:pt>
                <c:pt idx="36">
                  <c:v>-24.96686462636859</c:v>
                </c:pt>
                <c:pt idx="37">
                  <c:v>-14.72162214401969</c:v>
                </c:pt>
                <c:pt idx="38">
                  <c:v>0.97500000000002274</c:v>
                </c:pt>
                <c:pt idx="39">
                  <c:v>20.229757517651112</c:v>
                </c:pt>
                <c:pt idx="40">
                  <c:v>40.720242482348866</c:v>
                </c:pt>
                <c:pt idx="41">
                  <c:v>59.974999999999966</c:v>
                </c:pt>
                <c:pt idx="42">
                  <c:v>75.671622144019665</c:v>
                </c:pt>
                <c:pt idx="43">
                  <c:v>85.916864626368564</c:v>
                </c:pt>
                <c:pt idx="44">
                  <c:v>88.578657427720259</c:v>
                </c:pt>
                <c:pt idx="45">
                  <c:v>89.394142550519859</c:v>
                </c:pt>
                <c:pt idx="46">
                  <c:v>89.474999999999994</c:v>
                </c:pt>
                <c:pt idx="48" formatCode="0.0000">
                  <c:v>81.234099999999998</c:v>
                </c:pt>
                <c:pt idx="50" formatCode="0.0000">
                  <c:v>30.475000000000001</c:v>
                </c:pt>
                <c:pt idx="52" formatCode="0.00">
                  <c:v>102.95477716376925</c:v>
                </c:pt>
                <c:pt idx="53" formatCode="0.00">
                  <c:v>88.725906939199362</c:v>
                </c:pt>
                <c:pt idx="55" formatCode="0.00">
                  <c:v>68.310984528370824</c:v>
                </c:pt>
                <c:pt idx="56" formatCode="0.00">
                  <c:v>-4.1824460375509744</c:v>
                </c:pt>
                <c:pt idx="58" formatCode="0.00">
                  <c:v>81.895118844225223</c:v>
                </c:pt>
                <c:pt idx="59" formatCode="0.00">
                  <c:v>28.70226764503234</c:v>
                </c:pt>
                <c:pt idx="61" formatCode="0.00">
                  <c:v>61.31355420811677</c:v>
                </c:pt>
                <c:pt idx="62" formatCode="0.00">
                  <c:v>83.898281896414119</c:v>
                </c:pt>
                <c:pt idx="66">
                  <c:v>-29</c:v>
                </c:pt>
                <c:pt idx="68">
                  <c:v>134</c:v>
                </c:pt>
              </c:numCache>
            </c:numRef>
          </c:xVal>
          <c:yVal>
            <c:numRef>
              <c:f>Tabelle13!$D$20:$D$88</c:f>
              <c:numCache>
                <c:formatCode>General</c:formatCode>
                <c:ptCount val="69"/>
                <c:pt idx="0">
                  <c:v>-33.2134</c:v>
                </c:pt>
                <c:pt idx="1">
                  <c:v>-32.062008962655234</c:v>
                </c:pt>
                <c:pt idx="2">
                  <c:v>-29.393140091327531</c:v>
                </c:pt>
                <c:pt idx="3">
                  <c:v>-25.688956846835289</c:v>
                </c:pt>
                <c:pt idx="4">
                  <c:v>-19.072072586896134</c:v>
                </c:pt>
                <c:pt idx="5">
                  <c:v>-14.160841116742347</c:v>
                </c:pt>
                <c:pt idx="6">
                  <c:v>-11.547629433731423</c:v>
                </c:pt>
                <c:pt idx="7">
                  <c:v>-11.547629433731423</c:v>
                </c:pt>
                <c:pt idx="8">
                  <c:v>-14.160841116742354</c:v>
                </c:pt>
                <c:pt idx="9">
                  <c:v>-19.072072586896141</c:v>
                </c:pt>
                <c:pt idx="10">
                  <c:v>-25.688956846835293</c:v>
                </c:pt>
                <c:pt idx="11">
                  <c:v>-33.213400000000007</c:v>
                </c:pt>
                <c:pt idx="12">
                  <c:v>-40.737843153164718</c:v>
                </c:pt>
                <c:pt idx="13">
                  <c:v>-47.354727413103873</c:v>
                </c:pt>
                <c:pt idx="14">
                  <c:v>-52.265958883257653</c:v>
                </c:pt>
                <c:pt idx="15">
                  <c:v>-54.879170566268577</c:v>
                </c:pt>
                <c:pt idx="16">
                  <c:v>-54.879170566268577</c:v>
                </c:pt>
                <c:pt idx="17">
                  <c:v>-52.26595888325766</c:v>
                </c:pt>
                <c:pt idx="18">
                  <c:v>-47.354727413103888</c:v>
                </c:pt>
                <c:pt idx="19">
                  <c:v>-40.737843153164746</c:v>
                </c:pt>
                <c:pt idx="20">
                  <c:v>-37.033659908672504</c:v>
                </c:pt>
                <c:pt idx="21">
                  <c:v>-34.364791037344794</c:v>
                </c:pt>
                <c:pt idx="22">
                  <c:v>-33.213400000000028</c:v>
                </c:pt>
                <c:pt idx="24">
                  <c:v>49.348999999999997</c:v>
                </c:pt>
                <c:pt idx="25">
                  <c:v>52.436821418333686</c:v>
                </c:pt>
                <c:pt idx="26">
                  <c:v>59.594242482348889</c:v>
                </c:pt>
                <c:pt idx="27">
                  <c:v>69.528188456214451</c:v>
                </c:pt>
                <c:pt idx="28">
                  <c:v>87.273468971505821</c:v>
                </c:pt>
                <c:pt idx="29">
                  <c:v>100.44449882328189</c:v>
                </c:pt>
                <c:pt idx="30">
                  <c:v>107.45265742772028</c:v>
                </c:pt>
                <c:pt idx="31">
                  <c:v>107.45265742772027</c:v>
                </c:pt>
                <c:pt idx="32">
                  <c:v>100.44449882328186</c:v>
                </c:pt>
                <c:pt idx="33">
                  <c:v>87.273468971505807</c:v>
                </c:pt>
                <c:pt idx="34">
                  <c:v>69.528188456214437</c:v>
                </c:pt>
                <c:pt idx="35">
                  <c:v>49.348999999999975</c:v>
                </c:pt>
                <c:pt idx="36">
                  <c:v>29.169811543785524</c:v>
                </c:pt>
                <c:pt idx="37">
                  <c:v>11.424531028494158</c:v>
                </c:pt>
                <c:pt idx="38">
                  <c:v>-1.7464988232818968</c:v>
                </c:pt>
                <c:pt idx="39">
                  <c:v>-8.7546574277202751</c:v>
                </c:pt>
                <c:pt idx="40">
                  <c:v>-8.7546574277202822</c:v>
                </c:pt>
                <c:pt idx="41">
                  <c:v>-1.7464988232819039</c:v>
                </c:pt>
                <c:pt idx="42">
                  <c:v>11.424531028494123</c:v>
                </c:pt>
                <c:pt idx="43">
                  <c:v>29.16981154378545</c:v>
                </c:pt>
                <c:pt idx="44">
                  <c:v>39.103757517651005</c:v>
                </c:pt>
                <c:pt idx="45">
                  <c:v>46.261178581666229</c:v>
                </c:pt>
                <c:pt idx="46">
                  <c:v>49.348999999999933</c:v>
                </c:pt>
                <c:pt idx="66">
                  <c:v>-55</c:v>
                </c:pt>
                <c:pt idx="68">
                  <c:v>108</c:v>
                </c:pt>
              </c:numCache>
            </c:numRef>
          </c:yVal>
          <c:smooth val="1"/>
          <c:extLst>
            <c:ext xmlns:c16="http://schemas.microsoft.com/office/drawing/2014/chart" uri="{C3380CC4-5D6E-409C-BE32-E72D297353CC}">
              <c16:uniqueId val="{00000000-11C4-44E6-A74B-34F2B0E920BD}"/>
            </c:ext>
          </c:extLst>
        </c:ser>
        <c:ser>
          <c:idx val="1"/>
          <c:order val="1"/>
          <c:spPr>
            <a:ln w="9525" cap="rnd">
              <a:solidFill>
                <a:schemeClr val="tx1"/>
              </a:solidFill>
              <a:prstDash val="lgDashDot"/>
              <a:round/>
            </a:ln>
            <a:effectLst/>
          </c:spPr>
          <c:marker>
            <c:symbol val="plus"/>
            <c:size val="40"/>
            <c:spPr>
              <a:noFill/>
              <a:ln w="9525">
                <a:solidFill>
                  <a:schemeClr val="tx1"/>
                </a:solidFill>
                <a:prstDash val="dashDot"/>
              </a:ln>
              <a:effectLst/>
            </c:spPr>
          </c:marker>
          <c:xVal>
            <c:numRef>
              <c:f>Tabelle13!$C$20:$C$88</c:f>
              <c:numCache>
                <c:formatCode>General</c:formatCode>
                <c:ptCount val="69"/>
                <c:pt idx="0">
                  <c:v>103.2341</c:v>
                </c:pt>
                <c:pt idx="1">
                  <c:v>103.20394976460062</c:v>
                </c:pt>
                <c:pt idx="2">
                  <c:v>102.89987056626858</c:v>
                </c:pt>
                <c:pt idx="3">
                  <c:v>101.90733765728999</c:v>
                </c:pt>
                <c:pt idx="4">
                  <c:v>98.087077748617517</c:v>
                </c:pt>
                <c:pt idx="5">
                  <c:v>92.234099999999998</c:v>
                </c:pt>
                <c:pt idx="6">
                  <c:v>85.054359908672467</c:v>
                </c:pt>
                <c:pt idx="7">
                  <c:v>77.413840091327529</c:v>
                </c:pt>
                <c:pt idx="8">
                  <c:v>70.234099999999998</c:v>
                </c:pt>
                <c:pt idx="9">
                  <c:v>64.381122251382479</c:v>
                </c:pt>
                <c:pt idx="10">
                  <c:v>60.56086234271001</c:v>
                </c:pt>
                <c:pt idx="11">
                  <c:v>59.234099999999998</c:v>
                </c:pt>
                <c:pt idx="12">
                  <c:v>60.56086234271001</c:v>
                </c:pt>
                <c:pt idx="13">
                  <c:v>64.381122251382493</c:v>
                </c:pt>
                <c:pt idx="14">
                  <c:v>70.234100000000012</c:v>
                </c:pt>
                <c:pt idx="15">
                  <c:v>77.413840091327529</c:v>
                </c:pt>
                <c:pt idx="16">
                  <c:v>85.054359908672453</c:v>
                </c:pt>
                <c:pt idx="17">
                  <c:v>92.234099999999984</c:v>
                </c:pt>
                <c:pt idx="18">
                  <c:v>98.087077748617503</c:v>
                </c:pt>
                <c:pt idx="19">
                  <c:v>101.90733765728997</c:v>
                </c:pt>
                <c:pt idx="20">
                  <c:v>102.89987056626856</c:v>
                </c:pt>
                <c:pt idx="21">
                  <c:v>103.20394976460062</c:v>
                </c:pt>
                <c:pt idx="22">
                  <c:v>103.2341</c:v>
                </c:pt>
                <c:pt idx="24">
                  <c:v>89.474999999999994</c:v>
                </c:pt>
                <c:pt idx="25">
                  <c:v>89.394142550519859</c:v>
                </c:pt>
                <c:pt idx="26">
                  <c:v>88.578657427720273</c:v>
                </c:pt>
                <c:pt idx="27">
                  <c:v>85.916864626368593</c:v>
                </c:pt>
                <c:pt idx="28">
                  <c:v>75.671622144019707</c:v>
                </c:pt>
                <c:pt idx="29">
                  <c:v>59.974999999999994</c:v>
                </c:pt>
                <c:pt idx="30">
                  <c:v>40.720242482348887</c:v>
                </c:pt>
                <c:pt idx="31">
                  <c:v>20.229757517651102</c:v>
                </c:pt>
                <c:pt idx="32">
                  <c:v>0.97499999999998721</c:v>
                </c:pt>
                <c:pt idx="33">
                  <c:v>-14.721622144019712</c:v>
                </c:pt>
                <c:pt idx="34">
                  <c:v>-24.966864626368597</c:v>
                </c:pt>
                <c:pt idx="35">
                  <c:v>-28.524999999999999</c:v>
                </c:pt>
                <c:pt idx="36">
                  <c:v>-24.96686462636859</c:v>
                </c:pt>
                <c:pt idx="37">
                  <c:v>-14.72162214401969</c:v>
                </c:pt>
                <c:pt idx="38">
                  <c:v>0.97500000000002274</c:v>
                </c:pt>
                <c:pt idx="39">
                  <c:v>20.229757517651112</c:v>
                </c:pt>
                <c:pt idx="40">
                  <c:v>40.720242482348866</c:v>
                </c:pt>
                <c:pt idx="41">
                  <c:v>59.974999999999966</c:v>
                </c:pt>
                <c:pt idx="42">
                  <c:v>75.671622144019665</c:v>
                </c:pt>
                <c:pt idx="43">
                  <c:v>85.916864626368564</c:v>
                </c:pt>
                <c:pt idx="44">
                  <c:v>88.578657427720259</c:v>
                </c:pt>
                <c:pt idx="45">
                  <c:v>89.394142550519859</c:v>
                </c:pt>
                <c:pt idx="46">
                  <c:v>89.474999999999994</c:v>
                </c:pt>
                <c:pt idx="48" formatCode="0.0000">
                  <c:v>81.234099999999998</c:v>
                </c:pt>
                <c:pt idx="50" formatCode="0.0000">
                  <c:v>30.475000000000001</c:v>
                </c:pt>
                <c:pt idx="52" formatCode="0.00">
                  <c:v>102.95477716376925</c:v>
                </c:pt>
                <c:pt idx="53" formatCode="0.00">
                  <c:v>88.725906939199362</c:v>
                </c:pt>
                <c:pt idx="55" formatCode="0.00">
                  <c:v>68.310984528370824</c:v>
                </c:pt>
                <c:pt idx="56" formatCode="0.00">
                  <c:v>-4.1824460375509744</c:v>
                </c:pt>
                <c:pt idx="58" formatCode="0.00">
                  <c:v>81.895118844225223</c:v>
                </c:pt>
                <c:pt idx="59" formatCode="0.00">
                  <c:v>28.70226764503234</c:v>
                </c:pt>
                <c:pt idx="61" formatCode="0.00">
                  <c:v>61.31355420811677</c:v>
                </c:pt>
                <c:pt idx="62" formatCode="0.00">
                  <c:v>83.898281896414119</c:v>
                </c:pt>
                <c:pt idx="66">
                  <c:v>-29</c:v>
                </c:pt>
                <c:pt idx="68">
                  <c:v>134</c:v>
                </c:pt>
              </c:numCache>
            </c:numRef>
          </c:xVal>
          <c:yVal>
            <c:numRef>
              <c:f>Tabelle13!$E$20:$E$88</c:f>
              <c:numCache>
                <c:formatCode>General</c:formatCode>
                <c:ptCount val="69"/>
                <c:pt idx="48" formatCode="0.0000">
                  <c:v>-33.2134</c:v>
                </c:pt>
                <c:pt idx="50" formatCode="0.0000">
                  <c:v>49.348999999999997</c:v>
                </c:pt>
              </c:numCache>
            </c:numRef>
          </c:yVal>
          <c:smooth val="1"/>
          <c:extLst>
            <c:ext xmlns:c16="http://schemas.microsoft.com/office/drawing/2014/chart" uri="{C3380CC4-5D6E-409C-BE32-E72D297353CC}">
              <c16:uniqueId val="{00000001-11C4-44E6-A74B-34F2B0E920BD}"/>
            </c:ext>
          </c:extLst>
        </c:ser>
        <c:ser>
          <c:idx val="2"/>
          <c:order val="2"/>
          <c:spPr>
            <a:ln w="19050" cap="rnd">
              <a:solidFill>
                <a:schemeClr val="accent3"/>
              </a:solidFill>
              <a:prstDash val="sysDash"/>
              <a:round/>
              <a:tailEnd type="none" w="med" len="lg"/>
            </a:ln>
            <a:effectLst/>
          </c:spPr>
          <c:marker>
            <c:symbol val="circle"/>
            <c:size val="5"/>
            <c:spPr>
              <a:solidFill>
                <a:schemeClr val="accent4"/>
              </a:solidFill>
              <a:ln w="12700">
                <a:solidFill>
                  <a:schemeClr val="tx1"/>
                </a:solidFill>
              </a:ln>
              <a:effectLst/>
            </c:spPr>
          </c:marker>
          <c:dPt>
            <c:idx val="30"/>
            <c:marker>
              <c:symbol val="none"/>
            </c:marker>
            <c:bubble3D val="0"/>
            <c:extLst>
              <c:ext xmlns:c16="http://schemas.microsoft.com/office/drawing/2014/chart" uri="{C3380CC4-5D6E-409C-BE32-E72D297353CC}">
                <c16:uniqueId val="{00000000-0418-4669-BB21-3F9F3C1C49F2}"/>
              </c:ext>
            </c:extLst>
          </c:dPt>
          <c:dLbls>
            <c:dLbl>
              <c:idx val="25"/>
              <c:delete val="1"/>
              <c:extLst>
                <c:ext xmlns:c15="http://schemas.microsoft.com/office/drawing/2012/chart" uri="{CE6537A1-D6FC-4f65-9D91-7224C49458BB}"/>
                <c:ext xmlns:c16="http://schemas.microsoft.com/office/drawing/2014/chart" uri="{C3380CC4-5D6E-409C-BE32-E72D297353CC}">
                  <c16:uniqueId val="{00000001-0418-4669-BB21-3F9F3C1C49F2}"/>
                </c:ext>
              </c:extLst>
            </c:dLbl>
            <c:dLbl>
              <c:idx val="29"/>
              <c:layout>
                <c:manualLayout>
                  <c:x val="-0.16601983613626564"/>
                  <c:y val="5.3913849004168596E-2"/>
                </c:manualLayout>
              </c:layout>
              <c:tx>
                <c:rich>
                  <a:bodyPr/>
                  <a:lstStyle/>
                  <a:p>
                    <a:r>
                      <a:rPr lang="en-US"/>
                      <a:t>(</a:t>
                    </a:r>
                    <a:fld id="{BB6160A5-55CC-440C-A49A-C7D33A89E69A}" type="XVALUE">
                      <a:rPr lang="en-US"/>
                      <a:pPr/>
                      <a:t>[X-WERT]</a:t>
                    </a:fld>
                    <a:r>
                      <a:rPr lang="en-US" baseline="0"/>
                      <a:t>|</a:t>
                    </a:r>
                    <a:fld id="{2851A0AB-1134-4176-A2B5-DAE621E7C9CC}" type="YVALUE">
                      <a:rPr lang="en-US" baseline="0"/>
                      <a:pPr/>
                      <a:t>[Y-WERT]</a:t>
                    </a:fld>
                    <a:r>
                      <a:rPr lang="en-US" baseline="0"/>
                      <a:t>)</a:t>
                    </a:r>
                  </a:p>
                </c:rich>
              </c:tx>
              <c:showLegendKey val="0"/>
              <c:showVal val="1"/>
              <c:showCatName val="1"/>
              <c:showSerName val="0"/>
              <c:showPercent val="0"/>
              <c:showBubbleSize val="0"/>
              <c:separator>|</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2-0418-4669-BB21-3F9F3C1C49F2}"/>
                </c:ext>
              </c:extLst>
            </c:dLbl>
            <c:dLbl>
              <c:idx val="30"/>
              <c:delete val="1"/>
              <c:extLst>
                <c:ext xmlns:c15="http://schemas.microsoft.com/office/drawing/2012/chart" uri="{CE6537A1-D6FC-4f65-9D91-7224C49458BB}"/>
                <c:ext xmlns:c16="http://schemas.microsoft.com/office/drawing/2014/chart" uri="{C3380CC4-5D6E-409C-BE32-E72D297353CC}">
                  <c16:uniqueId val="{00000000-0418-4669-BB21-3F9F3C1C49F2}"/>
                </c:ext>
              </c:extLst>
            </c:dLbl>
            <c:dLbl>
              <c:idx val="31"/>
              <c:layout>
                <c:manualLayout>
                  <c:x val="3.6653730056058646E-2"/>
                  <c:y val="-5.414406532516769E-2"/>
                </c:manualLayout>
              </c:layout>
              <c:tx>
                <c:rich>
                  <a:bodyPr/>
                  <a:lstStyle/>
                  <a:p>
                    <a:r>
                      <a:rPr lang="en-US"/>
                      <a:t>(</a:t>
                    </a:r>
                    <a:fld id="{96CA1B37-E801-45B3-980A-0F1640CA317E}" type="XVALUE">
                      <a:rPr lang="en-US"/>
                      <a:pPr/>
                      <a:t>[X-WERT]</a:t>
                    </a:fld>
                    <a:r>
                      <a:rPr lang="en-US" baseline="0"/>
                      <a:t>|</a:t>
                    </a:r>
                    <a:fld id="{A27FCDCC-124D-4629-B6E1-48477654067C}" type="YVALUE">
                      <a:rPr lang="en-US" baseline="0"/>
                      <a:pPr/>
                      <a:t>[Y-WERT]</a:t>
                    </a:fld>
                    <a:r>
                      <a:rPr lang="en-US" baseline="0"/>
                      <a:t>)</a:t>
                    </a:r>
                  </a:p>
                </c:rich>
              </c:tx>
              <c:showLegendKey val="0"/>
              <c:showVal val="1"/>
              <c:showCatName val="1"/>
              <c:showSerName val="0"/>
              <c:showPercent val="0"/>
              <c:showBubbleSize val="0"/>
              <c:separator>|</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11C4-44E6-A74B-34F2B0E920B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1"/>
            <c:showSerName val="0"/>
            <c:showPercent val="0"/>
            <c:showBubbleSize val="0"/>
            <c:separator>|</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Tabelle13!$C$20:$C$88</c:f>
              <c:numCache>
                <c:formatCode>General</c:formatCode>
                <c:ptCount val="69"/>
                <c:pt idx="0">
                  <c:v>103.2341</c:v>
                </c:pt>
                <c:pt idx="1">
                  <c:v>103.20394976460062</c:v>
                </c:pt>
                <c:pt idx="2">
                  <c:v>102.89987056626858</c:v>
                </c:pt>
                <c:pt idx="3">
                  <c:v>101.90733765728999</c:v>
                </c:pt>
                <c:pt idx="4">
                  <c:v>98.087077748617517</c:v>
                </c:pt>
                <c:pt idx="5">
                  <c:v>92.234099999999998</c:v>
                </c:pt>
                <c:pt idx="6">
                  <c:v>85.054359908672467</c:v>
                </c:pt>
                <c:pt idx="7">
                  <c:v>77.413840091327529</c:v>
                </c:pt>
                <c:pt idx="8">
                  <c:v>70.234099999999998</c:v>
                </c:pt>
                <c:pt idx="9">
                  <c:v>64.381122251382479</c:v>
                </c:pt>
                <c:pt idx="10">
                  <c:v>60.56086234271001</c:v>
                </c:pt>
                <c:pt idx="11">
                  <c:v>59.234099999999998</c:v>
                </c:pt>
                <c:pt idx="12">
                  <c:v>60.56086234271001</c:v>
                </c:pt>
                <c:pt idx="13">
                  <c:v>64.381122251382493</c:v>
                </c:pt>
                <c:pt idx="14">
                  <c:v>70.234100000000012</c:v>
                </c:pt>
                <c:pt idx="15">
                  <c:v>77.413840091327529</c:v>
                </c:pt>
                <c:pt idx="16">
                  <c:v>85.054359908672453</c:v>
                </c:pt>
                <c:pt idx="17">
                  <c:v>92.234099999999984</c:v>
                </c:pt>
                <c:pt idx="18">
                  <c:v>98.087077748617503</c:v>
                </c:pt>
                <c:pt idx="19">
                  <c:v>101.90733765728997</c:v>
                </c:pt>
                <c:pt idx="20">
                  <c:v>102.89987056626856</c:v>
                </c:pt>
                <c:pt idx="21">
                  <c:v>103.20394976460062</c:v>
                </c:pt>
                <c:pt idx="22">
                  <c:v>103.2341</c:v>
                </c:pt>
                <c:pt idx="24">
                  <c:v>89.474999999999994</c:v>
                </c:pt>
                <c:pt idx="25">
                  <c:v>89.394142550519859</c:v>
                </c:pt>
                <c:pt idx="26">
                  <c:v>88.578657427720273</c:v>
                </c:pt>
                <c:pt idx="27">
                  <c:v>85.916864626368593</c:v>
                </c:pt>
                <c:pt idx="28">
                  <c:v>75.671622144019707</c:v>
                </c:pt>
                <c:pt idx="29">
                  <c:v>59.974999999999994</c:v>
                </c:pt>
                <c:pt idx="30">
                  <c:v>40.720242482348887</c:v>
                </c:pt>
                <c:pt idx="31">
                  <c:v>20.229757517651102</c:v>
                </c:pt>
                <c:pt idx="32">
                  <c:v>0.97499999999998721</c:v>
                </c:pt>
                <c:pt idx="33">
                  <c:v>-14.721622144019712</c:v>
                </c:pt>
                <c:pt idx="34">
                  <c:v>-24.966864626368597</c:v>
                </c:pt>
                <c:pt idx="35">
                  <c:v>-28.524999999999999</c:v>
                </c:pt>
                <c:pt idx="36">
                  <c:v>-24.96686462636859</c:v>
                </c:pt>
                <c:pt idx="37">
                  <c:v>-14.72162214401969</c:v>
                </c:pt>
                <c:pt idx="38">
                  <c:v>0.97500000000002274</c:v>
                </c:pt>
                <c:pt idx="39">
                  <c:v>20.229757517651112</c:v>
                </c:pt>
                <c:pt idx="40">
                  <c:v>40.720242482348866</c:v>
                </c:pt>
                <c:pt idx="41">
                  <c:v>59.974999999999966</c:v>
                </c:pt>
                <c:pt idx="42">
                  <c:v>75.671622144019665</c:v>
                </c:pt>
                <c:pt idx="43">
                  <c:v>85.916864626368564</c:v>
                </c:pt>
                <c:pt idx="44">
                  <c:v>88.578657427720259</c:v>
                </c:pt>
                <c:pt idx="45">
                  <c:v>89.394142550519859</c:v>
                </c:pt>
                <c:pt idx="46">
                  <c:v>89.474999999999994</c:v>
                </c:pt>
                <c:pt idx="48" formatCode="0.0000">
                  <c:v>81.234099999999998</c:v>
                </c:pt>
                <c:pt idx="50" formatCode="0.0000">
                  <c:v>30.475000000000001</c:v>
                </c:pt>
                <c:pt idx="52" formatCode="0.00">
                  <c:v>102.95477716376925</c:v>
                </c:pt>
                <c:pt idx="53" formatCode="0.00">
                  <c:v>88.725906939199362</c:v>
                </c:pt>
                <c:pt idx="55" formatCode="0.00">
                  <c:v>68.310984528370824</c:v>
                </c:pt>
                <c:pt idx="56" formatCode="0.00">
                  <c:v>-4.1824460375509744</c:v>
                </c:pt>
                <c:pt idx="58" formatCode="0.00">
                  <c:v>81.895118844225223</c:v>
                </c:pt>
                <c:pt idx="59" formatCode="0.00">
                  <c:v>28.70226764503234</c:v>
                </c:pt>
                <c:pt idx="61" formatCode="0.00">
                  <c:v>61.31355420811677</c:v>
                </c:pt>
                <c:pt idx="62" formatCode="0.00">
                  <c:v>83.898281896414119</c:v>
                </c:pt>
                <c:pt idx="66">
                  <c:v>-29</c:v>
                </c:pt>
                <c:pt idx="68">
                  <c:v>134</c:v>
                </c:pt>
              </c:numCache>
            </c:numRef>
          </c:xVal>
          <c:yVal>
            <c:numRef>
              <c:f>Tabelle13!$F$20:$F$88</c:f>
              <c:numCache>
                <c:formatCode>General</c:formatCode>
                <c:ptCount val="69"/>
                <c:pt idx="52" formatCode="0.00">
                  <c:v>-29.718806526173179</c:v>
                </c:pt>
                <c:pt idx="53" formatCode="0.00">
                  <c:v>58.720864316171927</c:v>
                </c:pt>
                <c:pt idx="55" formatCode="0.00">
                  <c:v>-51.017699663478439</c:v>
                </c:pt>
                <c:pt idx="56" formatCode="0.00">
                  <c:v>1.6011054479441782</c:v>
                </c:pt>
                <c:pt idx="58" formatCode="0.00">
                  <c:v>-11.223332831217199</c:v>
                </c:pt>
                <c:pt idx="59" formatCode="0.00">
                  <c:v>-9.624361952644783</c:v>
                </c:pt>
                <c:pt idx="61" formatCode="0.00">
                  <c:v>-23.876813077923845</c:v>
                </c:pt>
                <c:pt idx="62" formatCode="0.00">
                  <c:v>24.309971436250311</c:v>
                </c:pt>
              </c:numCache>
            </c:numRef>
          </c:yVal>
          <c:smooth val="0"/>
          <c:extLst>
            <c:ext xmlns:c16="http://schemas.microsoft.com/office/drawing/2014/chart" uri="{C3380CC4-5D6E-409C-BE32-E72D297353CC}">
              <c16:uniqueId val="{00000006-11C4-44E6-A74B-34F2B0E920BD}"/>
            </c:ext>
          </c:extLst>
        </c:ser>
        <c:dLbls>
          <c:showLegendKey val="0"/>
          <c:showVal val="0"/>
          <c:showCatName val="0"/>
          <c:showSerName val="0"/>
          <c:showPercent val="0"/>
          <c:showBubbleSize val="0"/>
        </c:dLbls>
        <c:axId val="1390106704"/>
        <c:axId val="1390102384"/>
      </c:scatterChart>
      <c:valAx>
        <c:axId val="139010670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390102384"/>
        <c:crosses val="autoZero"/>
        <c:crossBetween val="midCat"/>
      </c:valAx>
      <c:valAx>
        <c:axId val="13901023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39010670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1"/>
              </a:solidFill>
              <a:round/>
            </a:ln>
            <a:effectLst/>
          </c:spPr>
          <c:marker>
            <c:symbol val="circle"/>
            <c:size val="6"/>
            <c:spPr>
              <a:solidFill>
                <a:schemeClr val="accent2"/>
              </a:solidFill>
              <a:ln w="3175">
                <a:solidFill>
                  <a:schemeClr val="tx1"/>
                </a:solidFill>
              </a:ln>
              <a:effectLst/>
            </c:spPr>
          </c:marker>
          <c:dLbls>
            <c:dLbl>
              <c:idx val="2"/>
              <c:layout>
                <c:manualLayout>
                  <c:x val="4.4964028776978415E-2"/>
                  <c:y val="5.3999905417228253E-2"/>
                </c:manualLayout>
              </c:layout>
              <c:tx>
                <c:rich>
                  <a:bodyPr/>
                  <a:lstStyle/>
                  <a:p>
                    <a:r>
                      <a:rPr lang="en-US"/>
                      <a:t>(</a:t>
                    </a:r>
                    <a:fld id="{848F46A4-3A3A-46DA-A8C8-9554C005645C}" type="XVALUE">
                      <a:rPr lang="en-US"/>
                      <a:pPr/>
                      <a:t>[X-WERT]</a:t>
                    </a:fld>
                    <a:r>
                      <a:rPr lang="en-US" baseline="0"/>
                      <a:t>|</a:t>
                    </a:r>
                    <a:fld id="{9A3E14DF-3B8B-4C4C-A3F8-0513E4410372}" type="YVALUE">
                      <a:rPr lang="en-US" baseline="0"/>
                      <a:pPr/>
                      <a:t>[Y-WERT]</a:t>
                    </a:fld>
                    <a:r>
                      <a:rPr lang="en-US" baseline="0"/>
                      <a:t>)</a:t>
                    </a:r>
                  </a:p>
                </c:rich>
              </c:tx>
              <c:showLegendKey val="0"/>
              <c:showVal val="1"/>
              <c:showCatName val="1"/>
              <c:showSerName val="0"/>
              <c:showPercent val="0"/>
              <c:showBubbleSize val="0"/>
              <c:separator>|</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0-7D74-4A09-B43C-0E3986A695D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Tabelle3!$B$13:$B$22</c:f>
              <c:numCache>
                <c:formatCode>General</c:formatCode>
                <c:ptCount val="10"/>
                <c:pt idx="0">
                  <c:v>120.29331470548914</c:v>
                </c:pt>
                <c:pt idx="1">
                  <c:v>88.115740797656201</c:v>
                </c:pt>
                <c:pt idx="2" formatCode="0.00">
                  <c:v>104.20452775157267</c:v>
                </c:pt>
                <c:pt idx="3">
                  <c:v>4.2045277515726696</c:v>
                </c:pt>
                <c:pt idx="4">
                  <c:v>204.20452775157267</c:v>
                </c:pt>
                <c:pt idx="6" formatCode="0.0000">
                  <c:v>4.2045277515726696</c:v>
                </c:pt>
                <c:pt idx="8">
                  <c:v>204.20452775157267</c:v>
                </c:pt>
              </c:numCache>
            </c:numRef>
          </c:xVal>
          <c:yVal>
            <c:numRef>
              <c:f>Tabelle3!$C$13:$C$22</c:f>
              <c:numCache>
                <c:formatCode>General</c:formatCode>
                <c:ptCount val="10"/>
                <c:pt idx="2" formatCode="0.00">
                  <c:v>-37.486642543786679</c:v>
                </c:pt>
              </c:numCache>
            </c:numRef>
          </c:yVal>
          <c:smooth val="0"/>
          <c:extLst>
            <c:ext xmlns:c16="http://schemas.microsoft.com/office/drawing/2014/chart" uri="{C3380CC4-5D6E-409C-BE32-E72D297353CC}">
              <c16:uniqueId val="{00000001-7D74-4A09-B43C-0E3986A695D0}"/>
            </c:ext>
          </c:extLst>
        </c:ser>
        <c:ser>
          <c:idx val="1"/>
          <c:order val="1"/>
          <c:spPr>
            <a:ln w="19050" cap="rnd">
              <a:solidFill>
                <a:schemeClr val="accent1">
                  <a:lumMod val="60000"/>
                  <a:lumOff val="40000"/>
                </a:schemeClr>
              </a:solidFill>
              <a:round/>
              <a:tailEnd type="none"/>
            </a:ln>
            <a:effectLst/>
          </c:spPr>
          <c:marker>
            <c:symbol val="none"/>
          </c:marker>
          <c:xVal>
            <c:numRef>
              <c:f>Tabelle3!$B$13:$B$22</c:f>
              <c:numCache>
                <c:formatCode>General</c:formatCode>
                <c:ptCount val="10"/>
                <c:pt idx="0">
                  <c:v>120.29331470548914</c:v>
                </c:pt>
                <c:pt idx="1">
                  <c:v>88.115740797656201</c:v>
                </c:pt>
                <c:pt idx="2" formatCode="0.00">
                  <c:v>104.20452775157267</c:v>
                </c:pt>
                <c:pt idx="3">
                  <c:v>4.2045277515726696</c:v>
                </c:pt>
                <c:pt idx="4">
                  <c:v>204.20452775157267</c:v>
                </c:pt>
                <c:pt idx="6" formatCode="0.0000">
                  <c:v>4.2045277515726696</c:v>
                </c:pt>
                <c:pt idx="8">
                  <c:v>204.20452775157267</c:v>
                </c:pt>
              </c:numCache>
            </c:numRef>
          </c:xVal>
          <c:yVal>
            <c:numRef>
              <c:f>Tabelle3!$D$13:$D$22</c:f>
              <c:numCache>
                <c:formatCode>General</c:formatCode>
                <c:ptCount val="10"/>
                <c:pt idx="0">
                  <c:v>-137.48664254378667</c:v>
                </c:pt>
                <c:pt idx="1">
                  <c:v>62.513357456213321</c:v>
                </c:pt>
                <c:pt idx="3">
                  <c:v>-75.184389560707501</c:v>
                </c:pt>
                <c:pt idx="4">
                  <c:v>0.21110447313414227</c:v>
                </c:pt>
                <c:pt idx="6" formatCode="0.0000">
                  <c:v>-137.48664254378667</c:v>
                </c:pt>
                <c:pt idx="8">
                  <c:v>62.513357456213328</c:v>
                </c:pt>
              </c:numCache>
            </c:numRef>
          </c:yVal>
          <c:smooth val="0"/>
          <c:extLst>
            <c:ext xmlns:c16="http://schemas.microsoft.com/office/drawing/2014/chart" uri="{C3380CC4-5D6E-409C-BE32-E72D297353CC}">
              <c16:uniqueId val="{00000002-7D74-4A09-B43C-0E3986A695D0}"/>
            </c:ext>
          </c:extLst>
        </c:ser>
        <c:dLbls>
          <c:showLegendKey val="0"/>
          <c:showVal val="0"/>
          <c:showCatName val="0"/>
          <c:showSerName val="0"/>
          <c:showPercent val="0"/>
          <c:showBubbleSize val="0"/>
        </c:dLbls>
        <c:axId val="1646655119"/>
        <c:axId val="1646655599"/>
      </c:scatterChart>
      <c:valAx>
        <c:axId val="164665511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46655599"/>
        <c:crosses val="autoZero"/>
        <c:crossBetween val="midCat"/>
      </c:valAx>
      <c:valAx>
        <c:axId val="164665559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46655119"/>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1"/>
              </a:solidFill>
              <a:round/>
            </a:ln>
            <a:effectLst/>
          </c:spPr>
          <c:marker>
            <c:symbol val="circle"/>
            <c:size val="6"/>
            <c:spPr>
              <a:solidFill>
                <a:schemeClr val="accent2"/>
              </a:solidFill>
              <a:ln w="3175">
                <a:solidFill>
                  <a:schemeClr val="tx1"/>
                </a:solidFill>
              </a:ln>
              <a:effectLst/>
            </c:spPr>
          </c:marker>
          <c:dPt>
            <c:idx val="3"/>
            <c:marker>
              <c:symbol val="circle"/>
              <c:size val="6"/>
              <c:spPr>
                <a:solidFill>
                  <a:schemeClr val="accent2"/>
                </a:solidFill>
                <a:ln w="3175">
                  <a:solidFill>
                    <a:schemeClr val="tx1"/>
                  </a:solidFill>
                </a:ln>
                <a:effectLst/>
              </c:spPr>
            </c:marker>
            <c:bubble3D val="0"/>
            <c:spPr>
              <a:ln w="19050" cap="rnd">
                <a:solidFill>
                  <a:schemeClr val="accent1"/>
                </a:solidFill>
                <a:prstDash val="sysDash"/>
                <a:round/>
              </a:ln>
              <a:effectLst/>
            </c:spPr>
            <c:extLst>
              <c:ext xmlns:c16="http://schemas.microsoft.com/office/drawing/2014/chart" uri="{C3380CC4-5D6E-409C-BE32-E72D297353CC}">
                <c16:uniqueId val="{00000001-A78C-4694-9F29-AAAA996D76BE}"/>
              </c:ext>
            </c:extLst>
          </c:dPt>
          <c:dLbls>
            <c:dLbl>
              <c:idx val="2"/>
              <c:layout>
                <c:manualLayout>
                  <c:x val="6.5947242206235018E-2"/>
                  <c:y val="-3.0084235860409144E-2"/>
                </c:manualLayout>
              </c:layout>
              <c:tx>
                <c:rich>
                  <a:bodyPr/>
                  <a:lstStyle/>
                  <a:p>
                    <a:r>
                      <a:rPr lang="en-US"/>
                      <a:t>(</a:t>
                    </a:r>
                    <a:fld id="{848F46A4-3A3A-46DA-A8C8-9554C005645C}" type="XVALUE">
                      <a:rPr lang="en-US"/>
                      <a:pPr/>
                      <a:t>[X-WERT]</a:t>
                    </a:fld>
                    <a:r>
                      <a:rPr lang="en-US" baseline="0"/>
                      <a:t>|</a:t>
                    </a:r>
                    <a:fld id="{9A3E14DF-3B8B-4C4C-A3F8-0513E4410372}" type="YVALUE">
                      <a:rPr lang="en-US" baseline="0"/>
                      <a:pPr/>
                      <a:t>[Y-WERT]</a:t>
                    </a:fld>
                    <a:r>
                      <a:rPr lang="en-US" baseline="0"/>
                      <a:t>)</a:t>
                    </a:r>
                  </a:p>
                </c:rich>
              </c:tx>
              <c:showLegendKey val="0"/>
              <c:showVal val="1"/>
              <c:showCatName val="1"/>
              <c:showSerName val="0"/>
              <c:showPercent val="0"/>
              <c:showBubbleSize val="0"/>
              <c:separator>|</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2-A78C-4694-9F29-AAAA996D76BE}"/>
                </c:ext>
              </c:extLst>
            </c:dLbl>
            <c:dLbl>
              <c:idx val="3"/>
              <c:delete val="1"/>
              <c:extLst>
                <c:ext xmlns:c15="http://schemas.microsoft.com/office/drawing/2012/chart" uri="{CE6537A1-D6FC-4f65-9D91-7224C49458BB}"/>
                <c:ext xmlns:c16="http://schemas.microsoft.com/office/drawing/2014/chart" uri="{C3380CC4-5D6E-409C-BE32-E72D297353CC}">
                  <c16:uniqueId val="{00000001-A78C-4694-9F29-AAAA996D76B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Tabelle4!$B$13:$B$21</c:f>
              <c:numCache>
                <c:formatCode>General</c:formatCode>
                <c:ptCount val="9"/>
                <c:pt idx="0">
                  <c:v>80</c:v>
                </c:pt>
                <c:pt idx="1">
                  <c:v>-120</c:v>
                </c:pt>
                <c:pt idx="2" formatCode="0.00">
                  <c:v>-20</c:v>
                </c:pt>
                <c:pt idx="3" formatCode="0.0000">
                  <c:v>50</c:v>
                </c:pt>
                <c:pt idx="5" formatCode="0.0000">
                  <c:v>-120</c:v>
                </c:pt>
                <c:pt idx="7">
                  <c:v>80</c:v>
                </c:pt>
              </c:numCache>
            </c:numRef>
          </c:xVal>
          <c:yVal>
            <c:numRef>
              <c:f>Tabelle4!$C$13:$C$21</c:f>
              <c:numCache>
                <c:formatCode>General</c:formatCode>
                <c:ptCount val="9"/>
                <c:pt idx="2" formatCode="0.00">
                  <c:v>30</c:v>
                </c:pt>
                <c:pt idx="3" formatCode="0.0000">
                  <c:v>100</c:v>
                </c:pt>
              </c:numCache>
            </c:numRef>
          </c:yVal>
          <c:smooth val="0"/>
          <c:extLst>
            <c:ext xmlns:c16="http://schemas.microsoft.com/office/drawing/2014/chart" uri="{C3380CC4-5D6E-409C-BE32-E72D297353CC}">
              <c16:uniqueId val="{00000003-A78C-4694-9F29-AAAA996D76BE}"/>
            </c:ext>
          </c:extLst>
        </c:ser>
        <c:ser>
          <c:idx val="1"/>
          <c:order val="1"/>
          <c:spPr>
            <a:ln w="19050" cap="rnd">
              <a:solidFill>
                <a:schemeClr val="accent1">
                  <a:lumMod val="60000"/>
                  <a:lumOff val="40000"/>
                </a:schemeClr>
              </a:solidFill>
              <a:round/>
            </a:ln>
            <a:effectLst/>
          </c:spPr>
          <c:marker>
            <c:symbol val="none"/>
          </c:marker>
          <c:xVal>
            <c:numRef>
              <c:f>Tabelle4!$B$13:$B$21</c:f>
              <c:numCache>
                <c:formatCode>General</c:formatCode>
                <c:ptCount val="9"/>
                <c:pt idx="0">
                  <c:v>80</c:v>
                </c:pt>
                <c:pt idx="1">
                  <c:v>-120</c:v>
                </c:pt>
                <c:pt idx="2" formatCode="0.00">
                  <c:v>-20</c:v>
                </c:pt>
                <c:pt idx="3" formatCode="0.0000">
                  <c:v>50</c:v>
                </c:pt>
                <c:pt idx="5" formatCode="0.0000">
                  <c:v>-120</c:v>
                </c:pt>
                <c:pt idx="7">
                  <c:v>80</c:v>
                </c:pt>
              </c:numCache>
            </c:numRef>
          </c:xVal>
          <c:yVal>
            <c:numRef>
              <c:f>Tabelle4!$D$13:$D$21</c:f>
              <c:numCache>
                <c:formatCode>General</c:formatCode>
                <c:ptCount val="9"/>
                <c:pt idx="0">
                  <c:v>-70</c:v>
                </c:pt>
                <c:pt idx="1">
                  <c:v>130</c:v>
                </c:pt>
                <c:pt idx="5" formatCode="0.0000">
                  <c:v>-70</c:v>
                </c:pt>
                <c:pt idx="7">
                  <c:v>130</c:v>
                </c:pt>
              </c:numCache>
            </c:numRef>
          </c:yVal>
          <c:smooth val="0"/>
          <c:extLst>
            <c:ext xmlns:c16="http://schemas.microsoft.com/office/drawing/2014/chart" uri="{C3380CC4-5D6E-409C-BE32-E72D297353CC}">
              <c16:uniqueId val="{00000004-A78C-4694-9F29-AAAA996D76BE}"/>
            </c:ext>
          </c:extLst>
        </c:ser>
        <c:dLbls>
          <c:showLegendKey val="0"/>
          <c:showVal val="0"/>
          <c:showCatName val="0"/>
          <c:showSerName val="0"/>
          <c:showPercent val="0"/>
          <c:showBubbleSize val="0"/>
        </c:dLbls>
        <c:axId val="1646655119"/>
        <c:axId val="1646655599"/>
      </c:scatterChart>
      <c:valAx>
        <c:axId val="164665511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46655599"/>
        <c:crosses val="autoZero"/>
        <c:crossBetween val="midCat"/>
      </c:valAx>
      <c:valAx>
        <c:axId val="164665559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46655119"/>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noFill/>
              <a:round/>
            </a:ln>
            <a:effectLst/>
          </c:spPr>
          <c:marker>
            <c:symbol val="circle"/>
            <c:size val="6"/>
            <c:spPr>
              <a:solidFill>
                <a:schemeClr val="accent2"/>
              </a:solidFill>
              <a:ln w="3175">
                <a:solidFill>
                  <a:schemeClr val="tx1"/>
                </a:solidFill>
              </a:ln>
              <a:effectLst/>
            </c:spPr>
          </c:marker>
          <c:dPt>
            <c:idx val="4"/>
            <c:marker>
              <c:symbol val="circle"/>
              <c:size val="6"/>
              <c:spPr>
                <a:solidFill>
                  <a:schemeClr val="accent2"/>
                </a:solidFill>
                <a:ln w="3175">
                  <a:solidFill>
                    <a:schemeClr val="tx1"/>
                  </a:solidFill>
                </a:ln>
                <a:effectLst/>
              </c:spPr>
            </c:marker>
            <c:bubble3D val="0"/>
            <c:spPr>
              <a:ln w="19050" cap="rnd">
                <a:noFill/>
                <a:prstDash val="sysDash"/>
                <a:round/>
              </a:ln>
              <a:effectLst/>
            </c:spPr>
            <c:extLst>
              <c:ext xmlns:c16="http://schemas.microsoft.com/office/drawing/2014/chart" uri="{C3380CC4-5D6E-409C-BE32-E72D297353CC}">
                <c16:uniqueId val="{00000001-D98A-47A1-BC99-B1F52FCBABC5}"/>
              </c:ext>
            </c:extLst>
          </c:dPt>
          <c:dPt>
            <c:idx val="28"/>
            <c:marker>
              <c:symbol val="plus"/>
              <c:size val="20"/>
              <c:spPr>
                <a:noFill/>
                <a:ln w="3175">
                  <a:solidFill>
                    <a:schemeClr val="tx1"/>
                  </a:solidFill>
                  <a:prstDash val="dashDot"/>
                </a:ln>
                <a:effectLst/>
              </c:spPr>
            </c:marker>
            <c:bubble3D val="0"/>
            <c:extLst>
              <c:ext xmlns:c16="http://schemas.microsoft.com/office/drawing/2014/chart" uri="{C3380CC4-5D6E-409C-BE32-E72D297353CC}">
                <c16:uniqueId val="{00000002-D98A-47A1-BC99-B1F52FCBABC5}"/>
              </c:ext>
            </c:extLst>
          </c:dPt>
          <c:dLbls>
            <c:dLbl>
              <c:idx val="3"/>
              <c:layout>
                <c:manualLayout>
                  <c:x val="-0.19409937888198764"/>
                  <c:y val="-6.8306010928961797E-2"/>
                </c:manualLayout>
              </c:layout>
              <c:tx>
                <c:rich>
                  <a:bodyPr/>
                  <a:lstStyle/>
                  <a:p>
                    <a:r>
                      <a:rPr lang="en-US"/>
                      <a:t>(</a:t>
                    </a:r>
                    <a:fld id="{94CC2A92-C9EF-4820-B60C-40E947DCDDBC}" type="XVALUE">
                      <a:rPr lang="en-US"/>
                      <a:pPr/>
                      <a:t>[X-WERT]</a:t>
                    </a:fld>
                    <a:r>
                      <a:rPr lang="en-US" baseline="0"/>
                      <a:t>|</a:t>
                    </a:r>
                    <a:fld id="{B2AE15AC-8528-4338-99F1-73C91A0A5357}" type="YVALUE">
                      <a:rPr lang="en-US" baseline="0"/>
                      <a:pPr/>
                      <a:t>[Y-WERT]</a:t>
                    </a:fld>
                    <a:r>
                      <a:rPr lang="en-US" baseline="0"/>
                      <a:t>)</a:t>
                    </a:r>
                  </a:p>
                </c:rich>
              </c:tx>
              <c:showLegendKey val="0"/>
              <c:showVal val="1"/>
              <c:showCatName val="1"/>
              <c:showSerName val="0"/>
              <c:showPercent val="0"/>
              <c:showBubbleSize val="0"/>
              <c:separator>|</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D98A-47A1-BC99-B1F52FCBABC5}"/>
                </c:ext>
              </c:extLst>
            </c:dLbl>
            <c:dLbl>
              <c:idx val="4"/>
              <c:layout>
                <c:manualLayout>
                  <c:x val="-0.21739130434782608"/>
                  <c:y val="1.6393442622950821E-2"/>
                </c:manualLayout>
              </c:layout>
              <c:tx>
                <c:rich>
                  <a:bodyPr/>
                  <a:lstStyle/>
                  <a:p>
                    <a:r>
                      <a:rPr lang="en-US"/>
                      <a:t>(</a:t>
                    </a:r>
                    <a:fld id="{2D57E234-0F5E-48E0-B7A2-57B4D493EEB4}" type="XVALUE">
                      <a:rPr lang="en-US"/>
                      <a:pPr/>
                      <a:t>[X-WERT]</a:t>
                    </a:fld>
                    <a:r>
                      <a:rPr lang="en-US" baseline="0"/>
                      <a:t>|</a:t>
                    </a:r>
                    <a:fld id="{B745E3B0-9F1C-4B07-9443-74C94B1BA5DF}" type="YVALUE">
                      <a:rPr lang="en-US" baseline="0"/>
                      <a:pPr/>
                      <a:t>[Y-WERT]</a:t>
                    </a:fld>
                    <a:r>
                      <a:rPr lang="en-US" baseline="0"/>
                      <a:t>)</a:t>
                    </a:r>
                  </a:p>
                </c:rich>
              </c:tx>
              <c:showLegendKey val="0"/>
              <c:showVal val="1"/>
              <c:showCatName val="1"/>
              <c:showSerName val="0"/>
              <c:showPercent val="0"/>
              <c:showBubbleSize val="0"/>
              <c:separator>|</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D98A-47A1-BC99-B1F52FCBABC5}"/>
                </c:ext>
              </c:extLst>
            </c:dLbl>
            <c:dLbl>
              <c:idx val="28"/>
              <c:delete val="1"/>
              <c:extLst>
                <c:ext xmlns:c15="http://schemas.microsoft.com/office/drawing/2012/chart" uri="{CE6537A1-D6FC-4f65-9D91-7224C49458BB}"/>
                <c:ext xmlns:c16="http://schemas.microsoft.com/office/drawing/2014/chart" uri="{C3380CC4-5D6E-409C-BE32-E72D297353CC}">
                  <c16:uniqueId val="{00000002-D98A-47A1-BC99-B1F52FCBABC5}"/>
                </c:ext>
              </c:extLst>
            </c:dLbl>
            <c:spPr>
              <a:noFill/>
              <a:ln>
                <a:noFill/>
              </a:ln>
              <a:effectLst/>
            </c:spPr>
            <c:txPr>
              <a:bodyPr rot="0" spcFirstLastPara="1" vertOverflow="overflow" horzOverflow="overflow"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Tabelle5!$C$13:$C$45</c:f>
              <c:numCache>
                <c:formatCode>General</c:formatCode>
                <c:ptCount val="33"/>
                <c:pt idx="0">
                  <c:v>50.638842941176485</c:v>
                </c:pt>
                <c:pt idx="1">
                  <c:v>6.238842941176479</c:v>
                </c:pt>
                <c:pt idx="2">
                  <c:v>-38.161157058823527</c:v>
                </c:pt>
                <c:pt idx="3" formatCode="0.00">
                  <c:v>26.832481577819241</c:v>
                </c:pt>
                <c:pt idx="4" formatCode="0.00">
                  <c:v>-14.354795695466287</c:v>
                </c:pt>
                <c:pt idx="5">
                  <c:v>79.474999999999994</c:v>
                </c:pt>
                <c:pt idx="6">
                  <c:v>79.445150523935695</c:v>
                </c:pt>
                <c:pt idx="7">
                  <c:v>78.871728689161756</c:v>
                </c:pt>
                <c:pt idx="8">
                  <c:v>76.519938418509511</c:v>
                </c:pt>
                <c:pt idx="9">
                  <c:v>68.01117771282992</c:v>
                </c:pt>
                <c:pt idx="10">
                  <c:v>54.975000000000009</c:v>
                </c:pt>
                <c:pt idx="11">
                  <c:v>38.983760705679593</c:v>
                </c:pt>
                <c:pt idx="12">
                  <c:v>21.966239294320417</c:v>
                </c:pt>
                <c:pt idx="13">
                  <c:v>5.9750000000000121</c:v>
                </c:pt>
                <c:pt idx="14">
                  <c:v>-7.0611777128299167</c:v>
                </c:pt>
                <c:pt idx="15">
                  <c:v>-15.569938418509508</c:v>
                </c:pt>
                <c:pt idx="16">
                  <c:v>-18.524999999999999</c:v>
                </c:pt>
                <c:pt idx="17">
                  <c:v>-15.569938418509508</c:v>
                </c:pt>
                <c:pt idx="18">
                  <c:v>-7.0611777128299238</c:v>
                </c:pt>
                <c:pt idx="19">
                  <c:v>5.9749999999999801</c:v>
                </c:pt>
                <c:pt idx="20">
                  <c:v>21.966239294320374</c:v>
                </c:pt>
                <c:pt idx="21">
                  <c:v>38.983760705679529</c:v>
                </c:pt>
                <c:pt idx="22">
                  <c:v>54.97499999999993</c:v>
                </c:pt>
                <c:pt idx="23">
                  <c:v>68.011177712829863</c:v>
                </c:pt>
                <c:pt idx="24">
                  <c:v>76.519938418509469</c:v>
                </c:pt>
                <c:pt idx="25">
                  <c:v>78.871728689161728</c:v>
                </c:pt>
                <c:pt idx="26">
                  <c:v>79.445150523935695</c:v>
                </c:pt>
                <c:pt idx="27">
                  <c:v>79.474999999999994</c:v>
                </c:pt>
                <c:pt idx="28" formatCode="0.00">
                  <c:v>30.475000000000001</c:v>
                </c:pt>
                <c:pt idx="29" formatCode="0.0000">
                  <c:v>-67.761157058823528</c:v>
                </c:pt>
                <c:pt idx="31">
                  <c:v>80.238842941176472</c:v>
                </c:pt>
              </c:numCache>
            </c:numRef>
          </c:xVal>
          <c:yVal>
            <c:numRef>
              <c:f>Tabelle5!$D$13:$D$45</c:f>
              <c:numCache>
                <c:formatCode>General</c:formatCode>
                <c:ptCount val="33"/>
                <c:pt idx="3" formatCode="0.00">
                  <c:v>98.213169296365393</c:v>
                </c:pt>
                <c:pt idx="4" formatCode="0.00">
                  <c:v>29.567707174222846</c:v>
                </c:pt>
                <c:pt idx="28" formatCode="0.00">
                  <c:v>49.348744000000003</c:v>
                </c:pt>
              </c:numCache>
            </c:numRef>
          </c:yVal>
          <c:smooth val="0"/>
          <c:extLst>
            <c:ext xmlns:c16="http://schemas.microsoft.com/office/drawing/2014/chart" uri="{C3380CC4-5D6E-409C-BE32-E72D297353CC}">
              <c16:uniqueId val="{00000004-D98A-47A1-BC99-B1F52FCBABC5}"/>
            </c:ext>
          </c:extLst>
        </c:ser>
        <c:ser>
          <c:idx val="1"/>
          <c:order val="1"/>
          <c:spPr>
            <a:ln w="19050" cap="rnd">
              <a:solidFill>
                <a:schemeClr val="accent1">
                  <a:lumMod val="60000"/>
                  <a:lumOff val="40000"/>
                </a:schemeClr>
              </a:solidFill>
              <a:round/>
            </a:ln>
            <a:effectLst/>
          </c:spPr>
          <c:marker>
            <c:symbol val="none"/>
          </c:marker>
          <c:xVal>
            <c:numRef>
              <c:f>Tabelle5!$C$13:$C$45</c:f>
              <c:numCache>
                <c:formatCode>General</c:formatCode>
                <c:ptCount val="33"/>
                <c:pt idx="0">
                  <c:v>50.638842941176485</c:v>
                </c:pt>
                <c:pt idx="1">
                  <c:v>6.238842941176479</c:v>
                </c:pt>
                <c:pt idx="2">
                  <c:v>-38.161157058823527</c:v>
                </c:pt>
                <c:pt idx="3" formatCode="0.00">
                  <c:v>26.832481577819241</c:v>
                </c:pt>
                <c:pt idx="4" formatCode="0.00">
                  <c:v>-14.354795695466287</c:v>
                </c:pt>
                <c:pt idx="5">
                  <c:v>79.474999999999994</c:v>
                </c:pt>
                <c:pt idx="6">
                  <c:v>79.445150523935695</c:v>
                </c:pt>
                <c:pt idx="7">
                  <c:v>78.871728689161756</c:v>
                </c:pt>
                <c:pt idx="8">
                  <c:v>76.519938418509511</c:v>
                </c:pt>
                <c:pt idx="9">
                  <c:v>68.01117771282992</c:v>
                </c:pt>
                <c:pt idx="10">
                  <c:v>54.975000000000009</c:v>
                </c:pt>
                <c:pt idx="11">
                  <c:v>38.983760705679593</c:v>
                </c:pt>
                <c:pt idx="12">
                  <c:v>21.966239294320417</c:v>
                </c:pt>
                <c:pt idx="13">
                  <c:v>5.9750000000000121</c:v>
                </c:pt>
                <c:pt idx="14">
                  <c:v>-7.0611777128299167</c:v>
                </c:pt>
                <c:pt idx="15">
                  <c:v>-15.569938418509508</c:v>
                </c:pt>
                <c:pt idx="16">
                  <c:v>-18.524999999999999</c:v>
                </c:pt>
                <c:pt idx="17">
                  <c:v>-15.569938418509508</c:v>
                </c:pt>
                <c:pt idx="18">
                  <c:v>-7.0611777128299238</c:v>
                </c:pt>
                <c:pt idx="19">
                  <c:v>5.9749999999999801</c:v>
                </c:pt>
                <c:pt idx="20">
                  <c:v>21.966239294320374</c:v>
                </c:pt>
                <c:pt idx="21">
                  <c:v>38.983760705679529</c:v>
                </c:pt>
                <c:pt idx="22">
                  <c:v>54.97499999999993</c:v>
                </c:pt>
                <c:pt idx="23">
                  <c:v>68.011177712829863</c:v>
                </c:pt>
                <c:pt idx="24">
                  <c:v>76.519938418509469</c:v>
                </c:pt>
                <c:pt idx="25">
                  <c:v>78.871728689161728</c:v>
                </c:pt>
                <c:pt idx="26">
                  <c:v>79.445150523935695</c:v>
                </c:pt>
                <c:pt idx="27">
                  <c:v>79.474999999999994</c:v>
                </c:pt>
                <c:pt idx="28" formatCode="0.00">
                  <c:v>30.475000000000001</c:v>
                </c:pt>
                <c:pt idx="29" formatCode="0.0000">
                  <c:v>-67.761157058823528</c:v>
                </c:pt>
                <c:pt idx="31">
                  <c:v>80.238842941176472</c:v>
                </c:pt>
              </c:numCache>
            </c:numRef>
          </c:xVal>
          <c:yVal>
            <c:numRef>
              <c:f>Tabelle5!$E$13:$E$45</c:f>
              <c:numCache>
                <c:formatCode>General</c:formatCode>
                <c:ptCount val="33"/>
                <c:pt idx="0">
                  <c:v>137.89043823529411</c:v>
                </c:pt>
                <c:pt idx="1">
                  <c:v>63.89043823529412</c:v>
                </c:pt>
                <c:pt idx="2">
                  <c:v>-10.10956176470588</c:v>
                </c:pt>
                <c:pt idx="5">
                  <c:v>49.348744000000003</c:v>
                </c:pt>
                <c:pt idx="6">
                  <c:v>51.058819338422552</c:v>
                </c:pt>
                <c:pt idx="7">
                  <c:v>57.014032786971313</c:v>
                </c:pt>
                <c:pt idx="8">
                  <c:v>66.107731022957779</c:v>
                </c:pt>
                <c:pt idx="9">
                  <c:v>80.845336874640424</c:v>
                </c:pt>
                <c:pt idx="10">
                  <c:v>91.783988785437487</c:v>
                </c:pt>
                <c:pt idx="11">
                  <c:v>97.604323897598192</c:v>
                </c:pt>
                <c:pt idx="12">
                  <c:v>97.604323897598192</c:v>
                </c:pt>
                <c:pt idx="13">
                  <c:v>91.783988785437501</c:v>
                </c:pt>
                <c:pt idx="14">
                  <c:v>80.845336874640438</c:v>
                </c:pt>
                <c:pt idx="15">
                  <c:v>66.107731022957779</c:v>
                </c:pt>
                <c:pt idx="16">
                  <c:v>49.348744000000011</c:v>
                </c:pt>
                <c:pt idx="17">
                  <c:v>32.589756977042242</c:v>
                </c:pt>
                <c:pt idx="18">
                  <c:v>17.85215112535958</c:v>
                </c:pt>
                <c:pt idx="19">
                  <c:v>6.9134992145625205</c:v>
                </c:pt>
                <c:pt idx="20">
                  <c:v>1.0931641024018148</c:v>
                </c:pt>
                <c:pt idx="21">
                  <c:v>1.0931641024018006</c:v>
                </c:pt>
                <c:pt idx="22">
                  <c:v>6.9134992145624707</c:v>
                </c:pt>
                <c:pt idx="23">
                  <c:v>17.852151125359498</c:v>
                </c:pt>
                <c:pt idx="24">
                  <c:v>32.589756977042121</c:v>
                </c:pt>
                <c:pt idx="25">
                  <c:v>41.683455213028552</c:v>
                </c:pt>
                <c:pt idx="26">
                  <c:v>47.638668661577334</c:v>
                </c:pt>
                <c:pt idx="27">
                  <c:v>49.348743999999861</c:v>
                </c:pt>
                <c:pt idx="29" formatCode="0.0000">
                  <c:v>-10.10956176470588</c:v>
                </c:pt>
                <c:pt idx="31">
                  <c:v>137.89043823529411</c:v>
                </c:pt>
              </c:numCache>
            </c:numRef>
          </c:yVal>
          <c:smooth val="1"/>
          <c:extLst>
            <c:ext xmlns:c16="http://schemas.microsoft.com/office/drawing/2014/chart" uri="{C3380CC4-5D6E-409C-BE32-E72D297353CC}">
              <c16:uniqueId val="{00000005-D98A-47A1-BC99-B1F52FCBABC5}"/>
            </c:ext>
          </c:extLst>
        </c:ser>
        <c:dLbls>
          <c:showLegendKey val="0"/>
          <c:showVal val="0"/>
          <c:showCatName val="0"/>
          <c:showSerName val="0"/>
          <c:showPercent val="0"/>
          <c:showBubbleSize val="0"/>
        </c:dLbls>
        <c:axId val="1646655119"/>
        <c:axId val="1646655599"/>
      </c:scatterChart>
      <c:valAx>
        <c:axId val="164665511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46655599"/>
        <c:crosses val="autoZero"/>
        <c:crossBetween val="midCat"/>
      </c:valAx>
      <c:valAx>
        <c:axId val="164665559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46655119"/>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spPr>
            <a:ln w="19050" cap="rnd">
              <a:solidFill>
                <a:schemeClr val="accent1"/>
              </a:solidFill>
              <a:round/>
            </a:ln>
            <a:effectLst/>
          </c:spPr>
          <c:marker>
            <c:symbol val="circle"/>
            <c:size val="7"/>
            <c:spPr>
              <a:solidFill>
                <a:schemeClr val="accent2"/>
              </a:solidFill>
              <a:ln w="9525">
                <a:solidFill>
                  <a:schemeClr val="tx1"/>
                </a:solidFill>
              </a:ln>
              <a:effectLst/>
            </c:spPr>
          </c:marker>
          <c:dPt>
            <c:idx val="6"/>
            <c:marker>
              <c:symbol val="plus"/>
              <c:size val="50"/>
              <c:spPr>
                <a:noFill/>
                <a:ln w="9525">
                  <a:solidFill>
                    <a:schemeClr val="tx1"/>
                  </a:solidFill>
                  <a:prstDash val="dashDot"/>
                </a:ln>
                <a:effectLst/>
              </c:spPr>
            </c:marker>
            <c:bubble3D val="0"/>
            <c:extLst>
              <c:ext xmlns:c16="http://schemas.microsoft.com/office/drawing/2014/chart" uri="{C3380CC4-5D6E-409C-BE32-E72D297353CC}">
                <c16:uniqueId val="{00000000-9E99-45F9-99FF-FB56EC025311}"/>
              </c:ext>
            </c:extLst>
          </c:dPt>
          <c:xVal>
            <c:numRef>
              <c:f>Tabelle6!$C$13:$C$43</c:f>
              <c:numCache>
                <c:formatCode>0.0</c:formatCode>
                <c:ptCount val="31"/>
                <c:pt idx="0">
                  <c:v>44</c:v>
                </c:pt>
                <c:pt idx="2">
                  <c:v>-33</c:v>
                </c:pt>
                <c:pt idx="4">
                  <c:v>11</c:v>
                </c:pt>
                <c:pt idx="6">
                  <c:v>3.6666666666666665</c:v>
                </c:pt>
                <c:pt idx="8">
                  <c:v>44.661246254162812</c:v>
                </c:pt>
                <c:pt idx="9">
                  <c:v>44.655002581129935</c:v>
                </c:pt>
                <c:pt idx="10">
                  <c:v>44.262289823649077</c:v>
                </c:pt>
                <c:pt idx="11">
                  <c:v>42.188970597257416</c:v>
                </c:pt>
                <c:pt idx="12">
                  <c:v>35.070336557666778</c:v>
                </c:pt>
                <c:pt idx="13">
                  <c:v>24.163956460414738</c:v>
                </c:pt>
                <c:pt idx="14">
                  <c:v>10.785300706257308</c:v>
                </c:pt>
                <c:pt idx="15">
                  <c:v>-3.4519673729239879</c:v>
                </c:pt>
                <c:pt idx="16">
                  <c:v>-16.830623127081417</c:v>
                </c:pt>
                <c:pt idx="17">
                  <c:v>-27.737003224333453</c:v>
                </c:pt>
                <c:pt idx="18">
                  <c:v>-34.855637263924095</c:v>
                </c:pt>
                <c:pt idx="19">
                  <c:v>-37.327912920829483</c:v>
                </c:pt>
                <c:pt idx="20">
                  <c:v>-34.855637263924088</c:v>
                </c:pt>
                <c:pt idx="21">
                  <c:v>-27.737003224333431</c:v>
                </c:pt>
                <c:pt idx="22">
                  <c:v>-16.830623127081392</c:v>
                </c:pt>
                <c:pt idx="23">
                  <c:v>-3.4519673729239799</c:v>
                </c:pt>
                <c:pt idx="24">
                  <c:v>10.785300706257297</c:v>
                </c:pt>
                <c:pt idx="25">
                  <c:v>24.163956460414713</c:v>
                </c:pt>
                <c:pt idx="26">
                  <c:v>35.070336557666742</c:v>
                </c:pt>
                <c:pt idx="27">
                  <c:v>42.188970597257402</c:v>
                </c:pt>
                <c:pt idx="28">
                  <c:v>44.26228982364907</c:v>
                </c:pt>
                <c:pt idx="29">
                  <c:v>44.655002581129935</c:v>
                </c:pt>
                <c:pt idx="30">
                  <c:v>44.661246254162812</c:v>
                </c:pt>
              </c:numCache>
            </c:numRef>
          </c:xVal>
          <c:yVal>
            <c:numRef>
              <c:f>Tabelle6!$D$13:$D$43</c:f>
              <c:numCache>
                <c:formatCode>0.0</c:formatCode>
                <c:ptCount val="31"/>
                <c:pt idx="0">
                  <c:v>44</c:v>
                </c:pt>
                <c:pt idx="2">
                  <c:v>33</c:v>
                </c:pt>
                <c:pt idx="4">
                  <c:v>11</c:v>
                </c:pt>
                <c:pt idx="6">
                  <c:v>51.333333333333336</c:v>
                </c:pt>
              </c:numCache>
            </c:numRef>
          </c:yVal>
          <c:smooth val="1"/>
          <c:extLst>
            <c:ext xmlns:c16="http://schemas.microsoft.com/office/drawing/2014/chart" uri="{C3380CC4-5D6E-409C-BE32-E72D297353CC}">
              <c16:uniqueId val="{00000001-9E99-45F9-99FF-FB56EC025311}"/>
            </c:ext>
          </c:extLst>
        </c:ser>
        <c:ser>
          <c:idx val="1"/>
          <c:order val="1"/>
          <c:spPr>
            <a:ln w="25400" cap="rnd">
              <a:solidFill>
                <a:schemeClr val="accent1"/>
              </a:solidFill>
              <a:round/>
            </a:ln>
            <a:effectLst/>
          </c:spPr>
          <c:marker>
            <c:symbol val="none"/>
          </c:marker>
          <c:xVal>
            <c:numRef>
              <c:f>Tabelle6!$C$13:$C$43</c:f>
              <c:numCache>
                <c:formatCode>0.0</c:formatCode>
                <c:ptCount val="31"/>
                <c:pt idx="0">
                  <c:v>44</c:v>
                </c:pt>
                <c:pt idx="2">
                  <c:v>-33</c:v>
                </c:pt>
                <c:pt idx="4">
                  <c:v>11</c:v>
                </c:pt>
                <c:pt idx="6">
                  <c:v>3.6666666666666665</c:v>
                </c:pt>
                <c:pt idx="8">
                  <c:v>44.661246254162812</c:v>
                </c:pt>
                <c:pt idx="9">
                  <c:v>44.655002581129935</c:v>
                </c:pt>
                <c:pt idx="10">
                  <c:v>44.262289823649077</c:v>
                </c:pt>
                <c:pt idx="11">
                  <c:v>42.188970597257416</c:v>
                </c:pt>
                <c:pt idx="12">
                  <c:v>35.070336557666778</c:v>
                </c:pt>
                <c:pt idx="13">
                  <c:v>24.163956460414738</c:v>
                </c:pt>
                <c:pt idx="14">
                  <c:v>10.785300706257308</c:v>
                </c:pt>
                <c:pt idx="15">
                  <c:v>-3.4519673729239879</c:v>
                </c:pt>
                <c:pt idx="16">
                  <c:v>-16.830623127081417</c:v>
                </c:pt>
                <c:pt idx="17">
                  <c:v>-27.737003224333453</c:v>
                </c:pt>
                <c:pt idx="18">
                  <c:v>-34.855637263924095</c:v>
                </c:pt>
                <c:pt idx="19">
                  <c:v>-37.327912920829483</c:v>
                </c:pt>
                <c:pt idx="20">
                  <c:v>-34.855637263924088</c:v>
                </c:pt>
                <c:pt idx="21">
                  <c:v>-27.737003224333431</c:v>
                </c:pt>
                <c:pt idx="22">
                  <c:v>-16.830623127081392</c:v>
                </c:pt>
                <c:pt idx="23">
                  <c:v>-3.4519673729239799</c:v>
                </c:pt>
                <c:pt idx="24">
                  <c:v>10.785300706257297</c:v>
                </c:pt>
                <c:pt idx="25">
                  <c:v>24.163956460414713</c:v>
                </c:pt>
                <c:pt idx="26">
                  <c:v>35.070336557666742</c:v>
                </c:pt>
                <c:pt idx="27">
                  <c:v>42.188970597257402</c:v>
                </c:pt>
                <c:pt idx="28">
                  <c:v>44.26228982364907</c:v>
                </c:pt>
                <c:pt idx="29">
                  <c:v>44.655002581129935</c:v>
                </c:pt>
                <c:pt idx="30">
                  <c:v>44.661246254162812</c:v>
                </c:pt>
              </c:numCache>
            </c:numRef>
          </c:xVal>
          <c:yVal>
            <c:numRef>
              <c:f>Tabelle6!$E$13:$E$43</c:f>
              <c:numCache>
                <c:formatCode>0.0</c:formatCode>
                <c:ptCount val="31"/>
                <c:pt idx="8">
                  <c:v>51.333333333333336</c:v>
                </c:pt>
                <c:pt idx="9">
                  <c:v>52.048787398019883</c:v>
                </c:pt>
                <c:pt idx="10">
                  <c:v>57.038676097079374</c:v>
                </c:pt>
                <c:pt idx="11">
                  <c:v>65.354305319424299</c:v>
                </c:pt>
                <c:pt idx="12">
                  <c:v>77.684141156484586</c:v>
                </c:pt>
                <c:pt idx="13">
                  <c:v>86.835680673567992</c:v>
                </c:pt>
                <c:pt idx="14">
                  <c:v>91.705113142575556</c:v>
                </c:pt>
                <c:pt idx="15">
                  <c:v>91.705113142575556</c:v>
                </c:pt>
                <c:pt idx="16">
                  <c:v>86.835680673567992</c:v>
                </c:pt>
                <c:pt idx="17">
                  <c:v>77.684141156484571</c:v>
                </c:pt>
                <c:pt idx="18">
                  <c:v>65.354305319424299</c:v>
                </c:pt>
                <c:pt idx="19">
                  <c:v>51.333333333333321</c:v>
                </c:pt>
                <c:pt idx="20">
                  <c:v>37.312361347242359</c:v>
                </c:pt>
                <c:pt idx="21">
                  <c:v>24.982525510182079</c:v>
                </c:pt>
                <c:pt idx="22">
                  <c:v>15.830985993098672</c:v>
                </c:pt>
                <c:pt idx="23">
                  <c:v>10.961553524091123</c:v>
                </c:pt>
                <c:pt idx="24">
                  <c:v>10.961553524091123</c:v>
                </c:pt>
                <c:pt idx="25">
                  <c:v>15.830985993098665</c:v>
                </c:pt>
                <c:pt idx="26">
                  <c:v>24.98252551018205</c:v>
                </c:pt>
                <c:pt idx="27">
                  <c:v>37.312361347242309</c:v>
                </c:pt>
                <c:pt idx="28">
                  <c:v>45.62799056958724</c:v>
                </c:pt>
                <c:pt idx="29">
                  <c:v>50.617879268646746</c:v>
                </c:pt>
                <c:pt idx="30">
                  <c:v>51.333333333333286</c:v>
                </c:pt>
              </c:numCache>
            </c:numRef>
          </c:yVal>
          <c:smooth val="1"/>
          <c:extLst>
            <c:ext xmlns:c16="http://schemas.microsoft.com/office/drawing/2014/chart" uri="{C3380CC4-5D6E-409C-BE32-E72D297353CC}">
              <c16:uniqueId val="{00000002-9E99-45F9-99FF-FB56EC025311}"/>
            </c:ext>
          </c:extLst>
        </c:ser>
        <c:dLbls>
          <c:showLegendKey val="0"/>
          <c:showVal val="0"/>
          <c:showCatName val="0"/>
          <c:showSerName val="0"/>
          <c:showPercent val="0"/>
          <c:showBubbleSize val="0"/>
        </c:dLbls>
        <c:axId val="1950685503"/>
        <c:axId val="1950693183"/>
      </c:scatterChart>
      <c:valAx>
        <c:axId val="1950685503"/>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950693183"/>
        <c:crosses val="autoZero"/>
        <c:crossBetween val="midCat"/>
      </c:valAx>
      <c:valAx>
        <c:axId val="1950693183"/>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950685503"/>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spPr>
            <a:ln w="19050" cap="rnd">
              <a:solidFill>
                <a:schemeClr val="accent1"/>
              </a:solidFill>
              <a:round/>
            </a:ln>
            <a:effectLst/>
          </c:spPr>
          <c:marker>
            <c:symbol val="none"/>
          </c:marker>
          <c:xVal>
            <c:numRef>
              <c:f>Tabelle7!$C$14:$C$56</c:f>
              <c:numCache>
                <c:formatCode>General</c:formatCode>
                <c:ptCount val="43"/>
                <c:pt idx="0">
                  <c:v>75.474999999999994</c:v>
                </c:pt>
                <c:pt idx="1">
                  <c:v>75.413329063955814</c:v>
                </c:pt>
                <c:pt idx="2">
                  <c:v>74.791348885549354</c:v>
                </c:pt>
                <c:pt idx="3">
                  <c:v>72.761167935365876</c:v>
                </c:pt>
                <c:pt idx="4">
                  <c:v>64.946999940354004</c:v>
                </c:pt>
                <c:pt idx="5">
                  <c:v>52.974999999999994</c:v>
                </c:pt>
                <c:pt idx="6">
                  <c:v>38.289167995011859</c:v>
                </c:pt>
                <c:pt idx="7">
                  <c:v>22.66083200498813</c:v>
                </c:pt>
                <c:pt idx="8">
                  <c:v>7.9749999999999908</c:v>
                </c:pt>
                <c:pt idx="9">
                  <c:v>-3.9969999403540157</c:v>
                </c:pt>
                <c:pt idx="10">
                  <c:v>-11.81116793536588</c:v>
                </c:pt>
                <c:pt idx="11">
                  <c:v>-14.524999999999999</c:v>
                </c:pt>
                <c:pt idx="12">
                  <c:v>-11.811167935365873</c:v>
                </c:pt>
                <c:pt idx="13">
                  <c:v>-3.9969999403540015</c:v>
                </c:pt>
                <c:pt idx="14">
                  <c:v>7.9750000000000192</c:v>
                </c:pt>
                <c:pt idx="15">
                  <c:v>22.660832004988137</c:v>
                </c:pt>
                <c:pt idx="16">
                  <c:v>38.289167995011852</c:v>
                </c:pt>
                <c:pt idx="17">
                  <c:v>52.974999999999973</c:v>
                </c:pt>
                <c:pt idx="18">
                  <c:v>64.946999940353976</c:v>
                </c:pt>
                <c:pt idx="19">
                  <c:v>72.761167935365847</c:v>
                </c:pt>
                <c:pt idx="20">
                  <c:v>74.791348885549354</c:v>
                </c:pt>
                <c:pt idx="21">
                  <c:v>75.413329063955814</c:v>
                </c:pt>
                <c:pt idx="22">
                  <c:v>75.474999999999994</c:v>
                </c:pt>
                <c:pt idx="24">
                  <c:v>213.49144259274459</c:v>
                </c:pt>
                <c:pt idx="25">
                  <c:v>29.593824299568837</c:v>
                </c:pt>
                <c:pt idx="27">
                  <c:v>224.9038485503217</c:v>
                </c:pt>
                <c:pt idx="28">
                  <c:v>-24.055368309418153</c:v>
                </c:pt>
                <c:pt idx="31" formatCode="0.0000">
                  <c:v>181.23410000000001</c:v>
                </c:pt>
                <c:pt idx="33">
                  <c:v>30.475000000000001</c:v>
                </c:pt>
                <c:pt idx="35" formatCode="0.00">
                  <c:v>61.851166892313429</c:v>
                </c:pt>
                <c:pt idx="36" formatCode="0.00">
                  <c:v>30.475000000000001</c:v>
                </c:pt>
                <c:pt idx="37" formatCode="0.00">
                  <c:v>19.614380240903539</c:v>
                </c:pt>
                <c:pt idx="40">
                  <c:v>-25</c:v>
                </c:pt>
                <c:pt idx="42">
                  <c:v>224</c:v>
                </c:pt>
              </c:numCache>
            </c:numRef>
          </c:xVal>
          <c:yVal>
            <c:numRef>
              <c:f>Tabelle7!$D$14:$D$56</c:f>
              <c:numCache>
                <c:formatCode>General</c:formatCode>
                <c:ptCount val="43"/>
                <c:pt idx="0">
                  <c:v>49.348999999999997</c:v>
                </c:pt>
                <c:pt idx="1">
                  <c:v>51.70411803093247</c:v>
                </c:pt>
                <c:pt idx="2">
                  <c:v>57.163167995011861</c:v>
                </c:pt>
                <c:pt idx="3">
                  <c:v>64.739906449655095</c:v>
                </c:pt>
                <c:pt idx="4">
                  <c:v>78.274442435894272</c:v>
                </c:pt>
                <c:pt idx="5">
                  <c:v>88.32014317029973</c:v>
                </c:pt>
                <c:pt idx="6">
                  <c:v>93.665348885549363</c:v>
                </c:pt>
                <c:pt idx="7">
                  <c:v>93.665348885549349</c:v>
                </c:pt>
                <c:pt idx="8">
                  <c:v>88.32014317029973</c:v>
                </c:pt>
                <c:pt idx="9">
                  <c:v>78.274442435894258</c:v>
                </c:pt>
                <c:pt idx="10">
                  <c:v>64.739906449655081</c:v>
                </c:pt>
                <c:pt idx="11">
                  <c:v>49.348999999999982</c:v>
                </c:pt>
                <c:pt idx="12">
                  <c:v>33.958093550344891</c:v>
                </c:pt>
                <c:pt idx="13">
                  <c:v>20.423557564105714</c:v>
                </c:pt>
                <c:pt idx="14">
                  <c:v>10.377856829700249</c:v>
                </c:pt>
                <c:pt idx="15">
                  <c:v>5.032651114450637</c:v>
                </c:pt>
                <c:pt idx="16">
                  <c:v>5.0326511144506298</c:v>
                </c:pt>
                <c:pt idx="17">
                  <c:v>10.377856829700242</c:v>
                </c:pt>
                <c:pt idx="18">
                  <c:v>20.423557564105685</c:v>
                </c:pt>
                <c:pt idx="19">
                  <c:v>33.958093550344834</c:v>
                </c:pt>
                <c:pt idx="20">
                  <c:v>41.534832004988047</c:v>
                </c:pt>
                <c:pt idx="21">
                  <c:v>46.993881969067459</c:v>
                </c:pt>
                <c:pt idx="22">
                  <c:v>49.348999999999947</c:v>
                </c:pt>
                <c:pt idx="24">
                  <c:v>164.58956689231343</c:v>
                </c:pt>
                <c:pt idx="25">
                  <c:v>-14.284509485058024</c:v>
                </c:pt>
                <c:pt idx="27">
                  <c:v>144.07401975909647</c:v>
                </c:pt>
                <c:pt idx="28">
                  <c:v>82.158128791225224</c:v>
                </c:pt>
                <c:pt idx="40">
                  <c:v>-15</c:v>
                </c:pt>
                <c:pt idx="42">
                  <c:v>234</c:v>
                </c:pt>
              </c:numCache>
            </c:numRef>
          </c:yVal>
          <c:smooth val="1"/>
          <c:extLst>
            <c:ext xmlns:c16="http://schemas.microsoft.com/office/drawing/2014/chart" uri="{C3380CC4-5D6E-409C-BE32-E72D297353CC}">
              <c16:uniqueId val="{00000000-91B1-40A1-B386-FEC8539111BC}"/>
            </c:ext>
          </c:extLst>
        </c:ser>
        <c:ser>
          <c:idx val="1"/>
          <c:order val="1"/>
          <c:spPr>
            <a:ln w="9525" cap="rnd">
              <a:solidFill>
                <a:schemeClr val="tx1"/>
              </a:solidFill>
              <a:prstDash val="lgDashDot"/>
              <a:round/>
            </a:ln>
            <a:effectLst/>
          </c:spPr>
          <c:marker>
            <c:symbol val="plus"/>
            <c:size val="40"/>
            <c:spPr>
              <a:noFill/>
              <a:ln w="9525">
                <a:solidFill>
                  <a:schemeClr val="tx1"/>
                </a:solidFill>
                <a:prstDash val="dashDot"/>
              </a:ln>
              <a:effectLst/>
            </c:spPr>
          </c:marker>
          <c:xVal>
            <c:numRef>
              <c:f>Tabelle7!$C$14:$C$56</c:f>
              <c:numCache>
                <c:formatCode>General</c:formatCode>
                <c:ptCount val="43"/>
                <c:pt idx="0">
                  <c:v>75.474999999999994</c:v>
                </c:pt>
                <c:pt idx="1">
                  <c:v>75.413329063955814</c:v>
                </c:pt>
                <c:pt idx="2">
                  <c:v>74.791348885549354</c:v>
                </c:pt>
                <c:pt idx="3">
                  <c:v>72.761167935365876</c:v>
                </c:pt>
                <c:pt idx="4">
                  <c:v>64.946999940354004</c:v>
                </c:pt>
                <c:pt idx="5">
                  <c:v>52.974999999999994</c:v>
                </c:pt>
                <c:pt idx="6">
                  <c:v>38.289167995011859</c:v>
                </c:pt>
                <c:pt idx="7">
                  <c:v>22.66083200498813</c:v>
                </c:pt>
                <c:pt idx="8">
                  <c:v>7.9749999999999908</c:v>
                </c:pt>
                <c:pt idx="9">
                  <c:v>-3.9969999403540157</c:v>
                </c:pt>
                <c:pt idx="10">
                  <c:v>-11.81116793536588</c:v>
                </c:pt>
                <c:pt idx="11">
                  <c:v>-14.524999999999999</c:v>
                </c:pt>
                <c:pt idx="12">
                  <c:v>-11.811167935365873</c:v>
                </c:pt>
                <c:pt idx="13">
                  <c:v>-3.9969999403540015</c:v>
                </c:pt>
                <c:pt idx="14">
                  <c:v>7.9750000000000192</c:v>
                </c:pt>
                <c:pt idx="15">
                  <c:v>22.660832004988137</c:v>
                </c:pt>
                <c:pt idx="16">
                  <c:v>38.289167995011852</c:v>
                </c:pt>
                <c:pt idx="17">
                  <c:v>52.974999999999973</c:v>
                </c:pt>
                <c:pt idx="18">
                  <c:v>64.946999940353976</c:v>
                </c:pt>
                <c:pt idx="19">
                  <c:v>72.761167935365847</c:v>
                </c:pt>
                <c:pt idx="20">
                  <c:v>74.791348885549354</c:v>
                </c:pt>
                <c:pt idx="21">
                  <c:v>75.413329063955814</c:v>
                </c:pt>
                <c:pt idx="22">
                  <c:v>75.474999999999994</c:v>
                </c:pt>
                <c:pt idx="24">
                  <c:v>213.49144259274459</c:v>
                </c:pt>
                <c:pt idx="25">
                  <c:v>29.593824299568837</c:v>
                </c:pt>
                <c:pt idx="27">
                  <c:v>224.9038485503217</c:v>
                </c:pt>
                <c:pt idx="28">
                  <c:v>-24.055368309418153</c:v>
                </c:pt>
                <c:pt idx="31" formatCode="0.0000">
                  <c:v>181.23410000000001</c:v>
                </c:pt>
                <c:pt idx="33">
                  <c:v>30.475000000000001</c:v>
                </c:pt>
                <c:pt idx="35" formatCode="0.00">
                  <c:v>61.851166892313429</c:v>
                </c:pt>
                <c:pt idx="36" formatCode="0.00">
                  <c:v>30.475000000000001</c:v>
                </c:pt>
                <c:pt idx="37" formatCode="0.00">
                  <c:v>19.614380240903539</c:v>
                </c:pt>
                <c:pt idx="40">
                  <c:v>-25</c:v>
                </c:pt>
                <c:pt idx="42">
                  <c:v>224</c:v>
                </c:pt>
              </c:numCache>
            </c:numRef>
          </c:xVal>
          <c:yVal>
            <c:numRef>
              <c:f>Tabelle7!$E$14:$E$56</c:f>
              <c:numCache>
                <c:formatCode>General</c:formatCode>
                <c:ptCount val="43"/>
                <c:pt idx="33">
                  <c:v>49.348999999999997</c:v>
                </c:pt>
              </c:numCache>
            </c:numRef>
          </c:yVal>
          <c:smooth val="1"/>
          <c:extLst>
            <c:ext xmlns:c16="http://schemas.microsoft.com/office/drawing/2014/chart" uri="{C3380CC4-5D6E-409C-BE32-E72D297353CC}">
              <c16:uniqueId val="{00000001-91B1-40A1-B386-FEC8539111BC}"/>
            </c:ext>
          </c:extLst>
        </c:ser>
        <c:ser>
          <c:idx val="2"/>
          <c:order val="2"/>
          <c:spPr>
            <a:ln w="19050" cap="rnd">
              <a:solidFill>
                <a:schemeClr val="accent3"/>
              </a:solidFill>
              <a:prstDash val="sysDash"/>
              <a:round/>
            </a:ln>
            <a:effectLst/>
          </c:spPr>
          <c:marker>
            <c:symbol val="circle"/>
            <c:size val="5"/>
            <c:spPr>
              <a:solidFill>
                <a:schemeClr val="accent4"/>
              </a:solidFill>
              <a:ln w="12700">
                <a:solidFill>
                  <a:schemeClr val="tx1"/>
                </a:solidFill>
              </a:ln>
              <a:effectLst/>
            </c:spPr>
          </c:marker>
          <c:dPt>
            <c:idx val="36"/>
            <c:marker>
              <c:symbol val="none"/>
            </c:marker>
            <c:bubble3D val="0"/>
            <c:extLst>
              <c:ext xmlns:c16="http://schemas.microsoft.com/office/drawing/2014/chart" uri="{C3380CC4-5D6E-409C-BE32-E72D297353CC}">
                <c16:uniqueId val="{00000002-91B1-40A1-B386-FEC8539111BC}"/>
              </c:ext>
            </c:extLst>
          </c:dPt>
          <c:dLbls>
            <c:dLbl>
              <c:idx val="31"/>
              <c:delete val="1"/>
              <c:extLst>
                <c:ext xmlns:c15="http://schemas.microsoft.com/office/drawing/2012/chart" uri="{CE6537A1-D6FC-4f65-9D91-7224C49458BB}"/>
                <c:ext xmlns:c16="http://schemas.microsoft.com/office/drawing/2014/chart" uri="{C3380CC4-5D6E-409C-BE32-E72D297353CC}">
                  <c16:uniqueId val="{00000003-91B1-40A1-B386-FEC8539111BC}"/>
                </c:ext>
              </c:extLst>
            </c:dLbl>
            <c:dLbl>
              <c:idx val="35"/>
              <c:layout>
                <c:manualLayout>
                  <c:x val="-0.16601983613626564"/>
                  <c:y val="5.3913849004168596E-2"/>
                </c:manualLayout>
              </c:layout>
              <c:tx>
                <c:rich>
                  <a:bodyPr/>
                  <a:lstStyle/>
                  <a:p>
                    <a:r>
                      <a:rPr lang="en-US"/>
                      <a:t>(</a:t>
                    </a:r>
                    <a:fld id="{BB6160A5-55CC-440C-A49A-C7D33A89E69A}" type="XVALUE">
                      <a:rPr lang="en-US"/>
                      <a:pPr/>
                      <a:t>[X-WERT]</a:t>
                    </a:fld>
                    <a:r>
                      <a:rPr lang="en-US" baseline="0"/>
                      <a:t>|</a:t>
                    </a:r>
                    <a:fld id="{2851A0AB-1134-4176-A2B5-DAE621E7C9CC}" type="YVALUE">
                      <a:rPr lang="en-US" baseline="0"/>
                      <a:pPr/>
                      <a:t>[Y-WERT]</a:t>
                    </a:fld>
                    <a:r>
                      <a:rPr lang="en-US" baseline="0"/>
                      <a:t>)</a:t>
                    </a:r>
                  </a:p>
                </c:rich>
              </c:tx>
              <c:showLegendKey val="0"/>
              <c:showVal val="1"/>
              <c:showCatName val="1"/>
              <c:showSerName val="0"/>
              <c:showPercent val="0"/>
              <c:showBubbleSize val="0"/>
              <c:separator>|</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4-91B1-40A1-B386-FEC8539111BC}"/>
                </c:ext>
              </c:extLst>
            </c:dLbl>
            <c:dLbl>
              <c:idx val="36"/>
              <c:delete val="1"/>
              <c:extLst>
                <c:ext xmlns:c15="http://schemas.microsoft.com/office/drawing/2012/chart" uri="{CE6537A1-D6FC-4f65-9D91-7224C49458BB}"/>
                <c:ext xmlns:c16="http://schemas.microsoft.com/office/drawing/2014/chart" uri="{C3380CC4-5D6E-409C-BE32-E72D297353CC}">
                  <c16:uniqueId val="{00000002-91B1-40A1-B386-FEC8539111BC}"/>
                </c:ext>
              </c:extLst>
            </c:dLbl>
            <c:dLbl>
              <c:idx val="37"/>
              <c:layout>
                <c:manualLayout>
                  <c:x val="3.6653730056058646E-2"/>
                  <c:y val="-5.414406532516769E-2"/>
                </c:manualLayout>
              </c:layout>
              <c:tx>
                <c:rich>
                  <a:bodyPr/>
                  <a:lstStyle/>
                  <a:p>
                    <a:r>
                      <a:rPr lang="en-US"/>
                      <a:t>(</a:t>
                    </a:r>
                    <a:fld id="{96CA1B37-E801-45B3-980A-0F1640CA317E}" type="XVALUE">
                      <a:rPr lang="en-US"/>
                      <a:pPr/>
                      <a:t>[X-WERT]</a:t>
                    </a:fld>
                    <a:r>
                      <a:rPr lang="en-US" baseline="0"/>
                      <a:t>|</a:t>
                    </a:r>
                    <a:fld id="{A27FCDCC-124D-4629-B6E1-48477654067C}" type="YVALUE">
                      <a:rPr lang="en-US" baseline="0"/>
                      <a:pPr/>
                      <a:t>[Y-WERT]</a:t>
                    </a:fld>
                    <a:r>
                      <a:rPr lang="en-US" baseline="0"/>
                      <a:t>)</a:t>
                    </a:r>
                  </a:p>
                </c:rich>
              </c:tx>
              <c:showLegendKey val="0"/>
              <c:showVal val="1"/>
              <c:showCatName val="1"/>
              <c:showSerName val="0"/>
              <c:showPercent val="0"/>
              <c:showBubbleSize val="0"/>
              <c:separator>|</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91B1-40A1-B386-FEC8539111B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1"/>
            <c:showSerName val="0"/>
            <c:showPercent val="0"/>
            <c:showBubbleSize val="0"/>
            <c:separator>|</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Tabelle7!$C$14:$C$56</c:f>
              <c:numCache>
                <c:formatCode>General</c:formatCode>
                <c:ptCount val="43"/>
                <c:pt idx="0">
                  <c:v>75.474999999999994</c:v>
                </c:pt>
                <c:pt idx="1">
                  <c:v>75.413329063955814</c:v>
                </c:pt>
                <c:pt idx="2">
                  <c:v>74.791348885549354</c:v>
                </c:pt>
                <c:pt idx="3">
                  <c:v>72.761167935365876</c:v>
                </c:pt>
                <c:pt idx="4">
                  <c:v>64.946999940354004</c:v>
                </c:pt>
                <c:pt idx="5">
                  <c:v>52.974999999999994</c:v>
                </c:pt>
                <c:pt idx="6">
                  <c:v>38.289167995011859</c:v>
                </c:pt>
                <c:pt idx="7">
                  <c:v>22.66083200498813</c:v>
                </c:pt>
                <c:pt idx="8">
                  <c:v>7.9749999999999908</c:v>
                </c:pt>
                <c:pt idx="9">
                  <c:v>-3.9969999403540157</c:v>
                </c:pt>
                <c:pt idx="10">
                  <c:v>-11.81116793536588</c:v>
                </c:pt>
                <c:pt idx="11">
                  <c:v>-14.524999999999999</c:v>
                </c:pt>
                <c:pt idx="12">
                  <c:v>-11.811167935365873</c:v>
                </c:pt>
                <c:pt idx="13">
                  <c:v>-3.9969999403540015</c:v>
                </c:pt>
                <c:pt idx="14">
                  <c:v>7.9750000000000192</c:v>
                </c:pt>
                <c:pt idx="15">
                  <c:v>22.660832004988137</c:v>
                </c:pt>
                <c:pt idx="16">
                  <c:v>38.289167995011852</c:v>
                </c:pt>
                <c:pt idx="17">
                  <c:v>52.974999999999973</c:v>
                </c:pt>
                <c:pt idx="18">
                  <c:v>64.946999940353976</c:v>
                </c:pt>
                <c:pt idx="19">
                  <c:v>72.761167935365847</c:v>
                </c:pt>
                <c:pt idx="20">
                  <c:v>74.791348885549354</c:v>
                </c:pt>
                <c:pt idx="21">
                  <c:v>75.413329063955814</c:v>
                </c:pt>
                <c:pt idx="22">
                  <c:v>75.474999999999994</c:v>
                </c:pt>
                <c:pt idx="24">
                  <c:v>213.49144259274459</c:v>
                </c:pt>
                <c:pt idx="25">
                  <c:v>29.593824299568837</c:v>
                </c:pt>
                <c:pt idx="27">
                  <c:v>224.9038485503217</c:v>
                </c:pt>
                <c:pt idx="28">
                  <c:v>-24.055368309418153</c:v>
                </c:pt>
                <c:pt idx="31" formatCode="0.0000">
                  <c:v>181.23410000000001</c:v>
                </c:pt>
                <c:pt idx="33">
                  <c:v>30.475000000000001</c:v>
                </c:pt>
                <c:pt idx="35" formatCode="0.00">
                  <c:v>61.851166892313429</c:v>
                </c:pt>
                <c:pt idx="36" formatCode="0.00">
                  <c:v>30.475000000000001</c:v>
                </c:pt>
                <c:pt idx="37" formatCode="0.00">
                  <c:v>19.614380240903539</c:v>
                </c:pt>
                <c:pt idx="40">
                  <c:v>-25</c:v>
                </c:pt>
                <c:pt idx="42">
                  <c:v>224</c:v>
                </c:pt>
              </c:numCache>
            </c:numRef>
          </c:xVal>
          <c:yVal>
            <c:numRef>
              <c:f>Tabelle7!$F$14:$F$56</c:f>
              <c:numCache>
                <c:formatCode>General</c:formatCode>
                <c:ptCount val="43"/>
                <c:pt idx="31" formatCode="0.0000">
                  <c:v>133.21340000000001</c:v>
                </c:pt>
                <c:pt idx="35" formatCode="0.00">
                  <c:v>17.091657407255404</c:v>
                </c:pt>
                <c:pt idx="36" formatCode="0.00">
                  <c:v>49.348999999999997</c:v>
                </c:pt>
                <c:pt idx="37" formatCode="0.00">
                  <c:v>93.018748550321689</c:v>
                </c:pt>
              </c:numCache>
            </c:numRef>
          </c:yVal>
          <c:smooth val="0"/>
          <c:extLst>
            <c:ext xmlns:c16="http://schemas.microsoft.com/office/drawing/2014/chart" uri="{C3380CC4-5D6E-409C-BE32-E72D297353CC}">
              <c16:uniqueId val="{00000006-91B1-40A1-B386-FEC8539111BC}"/>
            </c:ext>
          </c:extLst>
        </c:ser>
        <c:dLbls>
          <c:showLegendKey val="0"/>
          <c:showVal val="0"/>
          <c:showCatName val="0"/>
          <c:showSerName val="0"/>
          <c:showPercent val="0"/>
          <c:showBubbleSize val="0"/>
        </c:dLbls>
        <c:axId val="1390106704"/>
        <c:axId val="1390102384"/>
      </c:scatterChart>
      <c:valAx>
        <c:axId val="139010670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390102384"/>
        <c:crosses val="autoZero"/>
        <c:crossBetween val="midCat"/>
      </c:valAx>
      <c:valAx>
        <c:axId val="13901023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39010670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spPr>
            <a:ln w="19050" cap="rnd">
              <a:solidFill>
                <a:schemeClr val="tx1"/>
              </a:solidFill>
              <a:prstDash val="dashDot"/>
              <a:round/>
            </a:ln>
            <a:effectLst/>
          </c:spPr>
          <c:marker>
            <c:symbol val="circle"/>
            <c:size val="6"/>
            <c:spPr>
              <a:solidFill>
                <a:schemeClr val="accent2"/>
              </a:solidFill>
              <a:ln w="3175">
                <a:solidFill>
                  <a:schemeClr val="tx1"/>
                </a:solidFill>
              </a:ln>
              <a:effectLst/>
            </c:spPr>
          </c:marker>
          <c:dPt>
            <c:idx val="20"/>
            <c:marker>
              <c:symbol val="none"/>
            </c:marker>
            <c:bubble3D val="0"/>
            <c:extLst>
              <c:ext xmlns:c16="http://schemas.microsoft.com/office/drawing/2014/chart" uri="{C3380CC4-5D6E-409C-BE32-E72D297353CC}">
                <c16:uniqueId val="{00000000-5871-40F2-80DB-156926389D47}"/>
              </c:ext>
            </c:extLst>
          </c:dPt>
          <c:dPt>
            <c:idx val="22"/>
            <c:marker>
              <c:symbol val="none"/>
            </c:marker>
            <c:bubble3D val="0"/>
            <c:extLst>
              <c:ext xmlns:c16="http://schemas.microsoft.com/office/drawing/2014/chart" uri="{C3380CC4-5D6E-409C-BE32-E72D297353CC}">
                <c16:uniqueId val="{00000001-5871-40F2-80DB-156926389D47}"/>
              </c:ext>
            </c:extLst>
          </c:dPt>
          <c:xVal>
            <c:numRef>
              <c:f>Tabelle8!$C$13:$C$36</c:f>
              <c:numCache>
                <c:formatCode>General</c:formatCode>
                <c:ptCount val="24"/>
                <c:pt idx="0">
                  <c:v>1.2940315329303971</c:v>
                </c:pt>
                <c:pt idx="1">
                  <c:v>55</c:v>
                </c:pt>
                <c:pt idx="2">
                  <c:v>91.964884732001593</c:v>
                </c:pt>
                <c:pt idx="6">
                  <c:v>1.2940315329303971</c:v>
                </c:pt>
                <c:pt idx="7">
                  <c:v>1.9692825308075541</c:v>
                </c:pt>
                <c:pt idx="8">
                  <c:v>11.626926669714088</c:v>
                </c:pt>
                <c:pt idx="9">
                  <c:v>28.631143040339968</c:v>
                </c:pt>
                <c:pt idx="10">
                  <c:v>50.10174137211569</c:v>
                </c:pt>
                <c:pt idx="11">
                  <c:v>72.402011388564659</c:v>
                </c:pt>
                <c:pt idx="12">
                  <c:v>91.754712237623707</c:v>
                </c:pt>
                <c:pt idx="13">
                  <c:v>104.88186512392826</c:v>
                </c:pt>
                <c:pt idx="14">
                  <c:v>109.55998046117045</c:v>
                </c:pt>
                <c:pt idx="15">
                  <c:v>104.99667464370509</c:v>
                </c:pt>
                <c:pt idx="16">
                  <c:v>91.964884732001607</c:v>
                </c:pt>
                <c:pt idx="20" formatCode="0">
                  <c:v>-26.840249951667246</c:v>
                </c:pt>
                <c:pt idx="22" formatCode="0">
                  <c:v>136.84024995166726</c:v>
                </c:pt>
              </c:numCache>
            </c:numRef>
          </c:xVal>
          <c:yVal>
            <c:numRef>
              <c:f>Tabelle8!$D$13:$D$36</c:f>
              <c:numCache>
                <c:formatCode>General</c:formatCode>
                <c:ptCount val="24"/>
                <c:pt idx="0">
                  <c:v>-0.38330960296045102</c:v>
                </c:pt>
                <c:pt idx="1">
                  <c:v>-10</c:v>
                </c:pt>
                <c:pt idx="2">
                  <c:v>30.129902565645757</c:v>
                </c:pt>
                <c:pt idx="20" formatCode="0">
                  <c:v>-91.840249951667246</c:v>
                </c:pt>
                <c:pt idx="22" formatCode="0">
                  <c:v>71.840249951667246</c:v>
                </c:pt>
              </c:numCache>
            </c:numRef>
          </c:yVal>
          <c:smooth val="0"/>
          <c:extLst>
            <c:ext xmlns:c16="http://schemas.microsoft.com/office/drawing/2014/chart" uri="{C3380CC4-5D6E-409C-BE32-E72D297353CC}">
              <c16:uniqueId val="{00000000-2E62-43E3-8A3B-807766357B1E}"/>
            </c:ext>
          </c:extLst>
        </c:ser>
        <c:ser>
          <c:idx val="1"/>
          <c:order val="1"/>
          <c:spPr>
            <a:ln w="9525" cap="rnd">
              <a:solidFill>
                <a:schemeClr val="tx1"/>
              </a:solidFill>
              <a:prstDash val="sysDash"/>
              <a:round/>
              <a:tailEnd type="triangle" w="sm" len="lg"/>
            </a:ln>
            <a:effectLst/>
          </c:spPr>
          <c:marker>
            <c:symbol val="none"/>
          </c:marker>
          <c:xVal>
            <c:numRef>
              <c:f>Tabelle8!$C$13:$C$36</c:f>
              <c:numCache>
                <c:formatCode>General</c:formatCode>
                <c:ptCount val="24"/>
                <c:pt idx="0">
                  <c:v>1.2940315329303971</c:v>
                </c:pt>
                <c:pt idx="1">
                  <c:v>55</c:v>
                </c:pt>
                <c:pt idx="2">
                  <c:v>91.964884732001593</c:v>
                </c:pt>
                <c:pt idx="6">
                  <c:v>1.2940315329303971</c:v>
                </c:pt>
                <c:pt idx="7">
                  <c:v>1.9692825308075541</c:v>
                </c:pt>
                <c:pt idx="8">
                  <c:v>11.626926669714088</c:v>
                </c:pt>
                <c:pt idx="9">
                  <c:v>28.631143040339968</c:v>
                </c:pt>
                <c:pt idx="10">
                  <c:v>50.10174137211569</c:v>
                </c:pt>
                <c:pt idx="11">
                  <c:v>72.402011388564659</c:v>
                </c:pt>
                <c:pt idx="12">
                  <c:v>91.754712237623707</c:v>
                </c:pt>
                <c:pt idx="13">
                  <c:v>104.88186512392826</c:v>
                </c:pt>
                <c:pt idx="14">
                  <c:v>109.55998046117045</c:v>
                </c:pt>
                <c:pt idx="15">
                  <c:v>104.99667464370509</c:v>
                </c:pt>
                <c:pt idx="16">
                  <c:v>91.964884732001607</c:v>
                </c:pt>
                <c:pt idx="20" formatCode="0">
                  <c:v>-26.840249951667246</c:v>
                </c:pt>
                <c:pt idx="22" formatCode="0">
                  <c:v>136.84024995166726</c:v>
                </c:pt>
              </c:numCache>
            </c:numRef>
          </c:xVal>
          <c:yVal>
            <c:numRef>
              <c:f>Tabelle8!$E$13:$E$36</c:f>
              <c:numCache>
                <c:formatCode>General</c:formatCode>
                <c:ptCount val="24"/>
                <c:pt idx="6">
                  <c:v>-0.38330960296045191</c:v>
                </c:pt>
                <c:pt idx="7">
                  <c:v>-22.827891014546186</c:v>
                </c:pt>
                <c:pt idx="8">
                  <c:v>-43.099672099040923</c:v>
                </c:pt>
                <c:pt idx="9">
                  <c:v>-57.764999380502204</c:v>
                </c:pt>
                <c:pt idx="10">
                  <c:v>-64.339845837035128</c:v>
                </c:pt>
                <c:pt idx="11">
                  <c:v>-61.710557749947476</c:v>
                </c:pt>
                <c:pt idx="12">
                  <c:v>-50.322486425168051</c:v>
                </c:pt>
                <c:pt idx="13">
                  <c:v>-32.1045541673343</c:v>
                </c:pt>
                <c:pt idx="14">
                  <c:v>-10.142531593288584</c:v>
                </c:pt>
                <c:pt idx="15">
                  <c:v>11.843633116995036</c:v>
                </c:pt>
                <c:pt idx="16">
                  <c:v>30.129902565645757</c:v>
                </c:pt>
              </c:numCache>
            </c:numRef>
          </c:yVal>
          <c:smooth val="1"/>
          <c:extLst>
            <c:ext xmlns:c16="http://schemas.microsoft.com/office/drawing/2014/chart" uri="{C3380CC4-5D6E-409C-BE32-E72D297353CC}">
              <c16:uniqueId val="{00000001-2E62-43E3-8A3B-807766357B1E}"/>
            </c:ext>
          </c:extLst>
        </c:ser>
        <c:dLbls>
          <c:showLegendKey val="0"/>
          <c:showVal val="0"/>
          <c:showCatName val="0"/>
          <c:showSerName val="0"/>
          <c:showPercent val="0"/>
          <c:showBubbleSize val="0"/>
        </c:dLbls>
        <c:axId val="89705279"/>
        <c:axId val="89698559"/>
      </c:scatterChart>
      <c:valAx>
        <c:axId val="8970527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89698559"/>
        <c:crosses val="autoZero"/>
        <c:crossBetween val="midCat"/>
      </c:valAx>
      <c:valAx>
        <c:axId val="8969855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89705279"/>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1"/>
              </a:solidFill>
              <a:round/>
            </a:ln>
            <a:effectLst/>
          </c:spPr>
          <c:marker>
            <c:symbol val="none"/>
          </c:marker>
          <c:xVal>
            <c:numRef>
              <c:f>Tabelle9!$B$16:$B$37</c:f>
              <c:numCache>
                <c:formatCode>General</c:formatCode>
                <c:ptCount val="22"/>
                <c:pt idx="0">
                  <c:v>54.588884903259661</c:v>
                </c:pt>
                <c:pt idx="1">
                  <c:v>10.291034085257571</c:v>
                </c:pt>
                <c:pt idx="3">
                  <c:v>0</c:v>
                </c:pt>
                <c:pt idx="4">
                  <c:v>10.291034085257571</c:v>
                </c:pt>
                <c:pt idx="6">
                  <c:v>-30.949556608271017</c:v>
                </c:pt>
                <c:pt idx="7">
                  <c:v>16.72237951902548</c:v>
                </c:pt>
                <c:pt idx="9">
                  <c:v>-42.024439712912717</c:v>
                </c:pt>
                <c:pt idx="10">
                  <c:v>16.72237951902548</c:v>
                </c:pt>
                <c:pt idx="12" formatCode="0.00">
                  <c:v>10</c:v>
                </c:pt>
                <c:pt idx="13" formatCode="0.0000">
                  <c:v>10</c:v>
                </c:pt>
                <c:pt idx="14" formatCode="0.0000">
                  <c:v>32.439959494258616</c:v>
                </c:pt>
                <c:pt idx="16" formatCode="0.00">
                  <c:v>10</c:v>
                </c:pt>
                <c:pt idx="17" formatCode="0.0000">
                  <c:v>-7.1135885446227682</c:v>
                </c:pt>
                <c:pt idx="19" formatCode="0">
                  <c:v>-42.024439712912717</c:v>
                </c:pt>
                <c:pt idx="21" formatCode="0">
                  <c:v>54.588884903259661</c:v>
                </c:pt>
              </c:numCache>
            </c:numRef>
          </c:xVal>
          <c:yVal>
            <c:numRef>
              <c:f>Tabelle9!$C$16:$C$37</c:f>
              <c:numCache>
                <c:formatCode>General</c:formatCode>
                <c:ptCount val="22"/>
                <c:pt idx="0">
                  <c:v>3.1172903500025146</c:v>
                </c:pt>
                <c:pt idx="1">
                  <c:v>-24.116886944456589</c:v>
                </c:pt>
                <c:pt idx="3">
                  <c:v>-30.443781853482946</c:v>
                </c:pt>
                <c:pt idx="4">
                  <c:v>-24.116886944456589</c:v>
                </c:pt>
                <c:pt idx="6">
                  <c:v>-2.894997342589118</c:v>
                </c:pt>
                <c:pt idx="7">
                  <c:v>-23.664843415079961</c:v>
                </c:pt>
                <c:pt idx="9">
                  <c:v>1.9301395417198037</c:v>
                </c:pt>
                <c:pt idx="10">
                  <c:v>-23.664843415079961</c:v>
                </c:pt>
              </c:numCache>
            </c:numRef>
          </c:yVal>
          <c:smooth val="0"/>
          <c:extLst>
            <c:ext xmlns:c16="http://schemas.microsoft.com/office/drawing/2014/chart" uri="{C3380CC4-5D6E-409C-BE32-E72D297353CC}">
              <c16:uniqueId val="{00000000-659F-4C20-AEA0-4E7E505DE24B}"/>
            </c:ext>
          </c:extLst>
        </c:ser>
        <c:ser>
          <c:idx val="1"/>
          <c:order val="1"/>
          <c:spPr>
            <a:ln w="19050" cap="rnd">
              <a:solidFill>
                <a:schemeClr val="accent2"/>
              </a:solidFill>
              <a:round/>
            </a:ln>
            <a:effectLst/>
          </c:spPr>
          <c:marker>
            <c:symbol val="circle"/>
            <c:size val="5"/>
            <c:spPr>
              <a:solidFill>
                <a:schemeClr val="accent2"/>
              </a:solidFill>
              <a:ln w="6350">
                <a:solidFill>
                  <a:schemeClr val="tx1"/>
                </a:solidFill>
              </a:ln>
              <a:effectLst/>
            </c:spPr>
          </c:marker>
          <c:xVal>
            <c:numRef>
              <c:f>Tabelle9!$B$16:$B$37</c:f>
              <c:numCache>
                <c:formatCode>General</c:formatCode>
                <c:ptCount val="22"/>
                <c:pt idx="0">
                  <c:v>54.588884903259661</c:v>
                </c:pt>
                <c:pt idx="1">
                  <c:v>10.291034085257571</c:v>
                </c:pt>
                <c:pt idx="3">
                  <c:v>0</c:v>
                </c:pt>
                <c:pt idx="4">
                  <c:v>10.291034085257571</c:v>
                </c:pt>
                <c:pt idx="6">
                  <c:v>-30.949556608271017</c:v>
                </c:pt>
                <c:pt idx="7">
                  <c:v>16.72237951902548</c:v>
                </c:pt>
                <c:pt idx="9">
                  <c:v>-42.024439712912717</c:v>
                </c:pt>
                <c:pt idx="10">
                  <c:v>16.72237951902548</c:v>
                </c:pt>
                <c:pt idx="12" formatCode="0.00">
                  <c:v>10</c:v>
                </c:pt>
                <c:pt idx="13" formatCode="0.0000">
                  <c:v>10</c:v>
                </c:pt>
                <c:pt idx="14" formatCode="0.0000">
                  <c:v>32.439959494258616</c:v>
                </c:pt>
                <c:pt idx="16" formatCode="0.00">
                  <c:v>10</c:v>
                </c:pt>
                <c:pt idx="17" formatCode="0.0000">
                  <c:v>-7.1135885446227682</c:v>
                </c:pt>
                <c:pt idx="19" formatCode="0">
                  <c:v>-42.024439712912717</c:v>
                </c:pt>
                <c:pt idx="21" formatCode="0">
                  <c:v>54.588884903259661</c:v>
                </c:pt>
              </c:numCache>
            </c:numRef>
          </c:xVal>
          <c:yVal>
            <c:numRef>
              <c:f>Tabelle9!$D$16:$D$37</c:f>
              <c:numCache>
                <c:formatCode>0.00</c:formatCode>
                <c:ptCount val="22"/>
                <c:pt idx="12">
                  <c:v>26</c:v>
                </c:pt>
              </c:numCache>
            </c:numRef>
          </c:yVal>
          <c:smooth val="0"/>
          <c:extLst>
            <c:ext xmlns:c16="http://schemas.microsoft.com/office/drawing/2014/chart" uri="{C3380CC4-5D6E-409C-BE32-E72D297353CC}">
              <c16:uniqueId val="{00000001-659F-4C20-AEA0-4E7E505DE24B}"/>
            </c:ext>
          </c:extLst>
        </c:ser>
        <c:ser>
          <c:idx val="2"/>
          <c:order val="2"/>
          <c:spPr>
            <a:ln w="19050" cap="rnd">
              <a:solidFill>
                <a:schemeClr val="accent3"/>
              </a:solidFill>
              <a:prstDash val="sysDot"/>
              <a:round/>
            </a:ln>
            <a:effectLst/>
          </c:spPr>
          <c:marker>
            <c:symbol val="none"/>
          </c:marker>
          <c:xVal>
            <c:numRef>
              <c:f>Tabelle9!$B$16:$B$37</c:f>
              <c:numCache>
                <c:formatCode>General</c:formatCode>
                <c:ptCount val="22"/>
                <c:pt idx="0">
                  <c:v>54.588884903259661</c:v>
                </c:pt>
                <c:pt idx="1">
                  <c:v>10.291034085257571</c:v>
                </c:pt>
                <c:pt idx="3">
                  <c:v>0</c:v>
                </c:pt>
                <c:pt idx="4">
                  <c:v>10.291034085257571</c:v>
                </c:pt>
                <c:pt idx="6">
                  <c:v>-30.949556608271017</c:v>
                </c:pt>
                <c:pt idx="7">
                  <c:v>16.72237951902548</c:v>
                </c:pt>
                <c:pt idx="9">
                  <c:v>-42.024439712912717</c:v>
                </c:pt>
                <c:pt idx="10">
                  <c:v>16.72237951902548</c:v>
                </c:pt>
                <c:pt idx="12" formatCode="0.00">
                  <c:v>10</c:v>
                </c:pt>
                <c:pt idx="13" formatCode="0.0000">
                  <c:v>10</c:v>
                </c:pt>
                <c:pt idx="14" formatCode="0.0000">
                  <c:v>32.439959494258616</c:v>
                </c:pt>
                <c:pt idx="16" formatCode="0.00">
                  <c:v>10</c:v>
                </c:pt>
                <c:pt idx="17" formatCode="0.0000">
                  <c:v>-7.1135885446227682</c:v>
                </c:pt>
                <c:pt idx="19" formatCode="0">
                  <c:v>-42.024439712912717</c:v>
                </c:pt>
                <c:pt idx="21" formatCode="0">
                  <c:v>54.588884903259661</c:v>
                </c:pt>
              </c:numCache>
            </c:numRef>
          </c:xVal>
          <c:yVal>
            <c:numRef>
              <c:f>Tabelle9!$E$16:$E$37</c:f>
              <c:numCache>
                <c:formatCode>General</c:formatCode>
                <c:ptCount val="22"/>
                <c:pt idx="13" formatCode="0.0000">
                  <c:v>26</c:v>
                </c:pt>
                <c:pt idx="14">
                  <c:v>-10.499798297227038</c:v>
                </c:pt>
                <c:pt idx="16" formatCode="0.00">
                  <c:v>26</c:v>
                </c:pt>
                <c:pt idx="17">
                  <c:v>-13.279920378834539</c:v>
                </c:pt>
                <c:pt idx="19" formatCode="0">
                  <c:v>-30.443781853482946</c:v>
                </c:pt>
                <c:pt idx="21" formatCode="0">
                  <c:v>66.169542762689431</c:v>
                </c:pt>
              </c:numCache>
            </c:numRef>
          </c:yVal>
          <c:smooth val="0"/>
          <c:extLst>
            <c:ext xmlns:c16="http://schemas.microsoft.com/office/drawing/2014/chart" uri="{C3380CC4-5D6E-409C-BE32-E72D297353CC}">
              <c16:uniqueId val="{00000002-659F-4C20-AEA0-4E7E505DE24B}"/>
            </c:ext>
          </c:extLst>
        </c:ser>
        <c:dLbls>
          <c:showLegendKey val="0"/>
          <c:showVal val="0"/>
          <c:showCatName val="0"/>
          <c:showSerName val="0"/>
          <c:showPercent val="0"/>
          <c:showBubbleSize val="0"/>
        </c:dLbls>
        <c:axId val="771052224"/>
        <c:axId val="762401536"/>
      </c:scatterChart>
      <c:valAx>
        <c:axId val="7710522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62401536"/>
        <c:crosses val="autoZero"/>
        <c:crossBetween val="midCat"/>
      </c:valAx>
      <c:valAx>
        <c:axId val="7624015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7105222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solidFill>
                <a:schemeClr val="accent1"/>
              </a:solidFill>
              <a:round/>
            </a:ln>
            <a:effectLst/>
          </c:spPr>
          <c:marker>
            <c:symbol val="circle"/>
            <c:size val="6"/>
            <c:spPr>
              <a:solidFill>
                <a:schemeClr val="accent2"/>
              </a:solidFill>
              <a:ln w="3175">
                <a:solidFill>
                  <a:schemeClr val="tx1"/>
                </a:solidFill>
              </a:ln>
              <a:effectLst/>
            </c:spPr>
          </c:marker>
          <c:dLbls>
            <c:dLbl>
              <c:idx val="1"/>
              <c:layout>
                <c:manualLayout>
                  <c:x val="6.5947242206235018E-2"/>
                  <c:y val="-3.0084235860409144E-2"/>
                </c:manualLayout>
              </c:layout>
              <c:tx>
                <c:rich>
                  <a:bodyPr/>
                  <a:lstStyle/>
                  <a:p>
                    <a:r>
                      <a:rPr lang="en-US"/>
                      <a:t>(</a:t>
                    </a:r>
                    <a:fld id="{848F46A4-3A3A-46DA-A8C8-9554C005645C}" type="XVALUE">
                      <a:rPr lang="en-US"/>
                      <a:pPr/>
                      <a:t>[X-WERT]</a:t>
                    </a:fld>
                    <a:r>
                      <a:rPr lang="en-US" baseline="0"/>
                      <a:t>|</a:t>
                    </a:r>
                    <a:fld id="{9A3E14DF-3B8B-4C4C-A3F8-0513E4410372}" type="YVALUE">
                      <a:rPr lang="en-US" baseline="0"/>
                      <a:pPr/>
                      <a:t>[Y-WERT]</a:t>
                    </a:fld>
                    <a:r>
                      <a:rPr lang="en-US" baseline="0"/>
                      <a:t>)</a:t>
                    </a:r>
                  </a:p>
                </c:rich>
              </c:tx>
              <c:showLegendKey val="0"/>
              <c:showVal val="1"/>
              <c:showCatName val="1"/>
              <c:showSerName val="0"/>
              <c:showPercent val="0"/>
              <c:showBubbleSize val="0"/>
              <c:separator>|</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0-D002-4B6C-967B-A6D062084CE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1"/>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Tabelle10!$B$14:$B$28</c:f>
              <c:numCache>
                <c:formatCode>General</c:formatCode>
                <c:ptCount val="15"/>
                <c:pt idx="0">
                  <c:v>170.85925743796687</c:v>
                </c:pt>
                <c:pt idx="1">
                  <c:v>-29.140742562033125</c:v>
                </c:pt>
                <c:pt idx="2" formatCode="0.00">
                  <c:v>70.859257437966875</c:v>
                </c:pt>
                <c:pt idx="3">
                  <c:v>120.85925743796687</c:v>
                </c:pt>
                <c:pt idx="4">
                  <c:v>20.859257437966875</c:v>
                </c:pt>
                <c:pt idx="5" formatCode="0.0000">
                  <c:v>170.85925743796687</c:v>
                </c:pt>
                <c:pt idx="6">
                  <c:v>-29.140742562033125</c:v>
                </c:pt>
                <c:pt idx="8">
                  <c:v>125.97612614451546</c:v>
                </c:pt>
                <c:pt idx="9">
                  <c:v>15.742388731418295</c:v>
                </c:pt>
                <c:pt idx="11" formatCode="0.0000">
                  <c:v>-29.140742562033125</c:v>
                </c:pt>
                <c:pt idx="13">
                  <c:v>170.85925743796687</c:v>
                </c:pt>
              </c:numCache>
            </c:numRef>
          </c:xVal>
          <c:yVal>
            <c:numRef>
              <c:f>Tabelle10!$C$14:$C$28</c:f>
              <c:numCache>
                <c:formatCode>General</c:formatCode>
                <c:ptCount val="15"/>
                <c:pt idx="2" formatCode="0.00">
                  <c:v>-25.702612116685088</c:v>
                </c:pt>
              </c:numCache>
            </c:numRef>
          </c:yVal>
          <c:smooth val="0"/>
          <c:extLst>
            <c:ext xmlns:c16="http://schemas.microsoft.com/office/drawing/2014/chart" uri="{C3380CC4-5D6E-409C-BE32-E72D297353CC}">
              <c16:uniqueId val="{00000001-AFC2-471C-A32C-C116E2CB4D13}"/>
            </c:ext>
          </c:extLst>
        </c:ser>
        <c:ser>
          <c:idx val="1"/>
          <c:order val="1"/>
          <c:spPr>
            <a:ln w="19050" cap="rnd">
              <a:solidFill>
                <a:schemeClr val="accent1">
                  <a:lumMod val="60000"/>
                  <a:lumOff val="40000"/>
                </a:schemeClr>
              </a:solidFill>
              <a:round/>
            </a:ln>
            <a:effectLst/>
          </c:spPr>
          <c:marker>
            <c:symbol val="none"/>
          </c:marker>
          <c:xVal>
            <c:numRef>
              <c:f>Tabelle10!$B$14:$B$28</c:f>
              <c:numCache>
                <c:formatCode>General</c:formatCode>
                <c:ptCount val="15"/>
                <c:pt idx="0">
                  <c:v>170.85925743796687</c:v>
                </c:pt>
                <c:pt idx="1">
                  <c:v>-29.140742562033125</c:v>
                </c:pt>
                <c:pt idx="2" formatCode="0.00">
                  <c:v>70.859257437966875</c:v>
                </c:pt>
                <c:pt idx="3">
                  <c:v>120.85925743796687</c:v>
                </c:pt>
                <c:pt idx="4">
                  <c:v>20.859257437966875</c:v>
                </c:pt>
                <c:pt idx="5" formatCode="0.0000">
                  <c:v>170.85925743796687</c:v>
                </c:pt>
                <c:pt idx="6">
                  <c:v>-29.140742562033125</c:v>
                </c:pt>
                <c:pt idx="8">
                  <c:v>125.97612614451546</c:v>
                </c:pt>
                <c:pt idx="9">
                  <c:v>15.742388731418295</c:v>
                </c:pt>
                <c:pt idx="11" formatCode="0.0000">
                  <c:v>-29.140742562033125</c:v>
                </c:pt>
                <c:pt idx="13">
                  <c:v>170.85925743796687</c:v>
                </c:pt>
              </c:numCache>
            </c:numRef>
          </c:xVal>
          <c:yVal>
            <c:numRef>
              <c:f>Tabelle10!$D$14:$D$28</c:f>
              <c:numCache>
                <c:formatCode>General</c:formatCode>
                <c:ptCount val="15"/>
                <c:pt idx="0">
                  <c:v>-35.702612116685088</c:v>
                </c:pt>
                <c:pt idx="1">
                  <c:v>-15.702612116685088</c:v>
                </c:pt>
                <c:pt idx="3">
                  <c:v>74.297387883314912</c:v>
                </c:pt>
                <c:pt idx="4">
                  <c:v>-125.70261211668509</c:v>
                </c:pt>
                <c:pt idx="11" formatCode="0.0000">
                  <c:v>-125.70261211668509</c:v>
                </c:pt>
                <c:pt idx="13">
                  <c:v>74.297387883314912</c:v>
                </c:pt>
              </c:numCache>
            </c:numRef>
          </c:yVal>
          <c:smooth val="0"/>
          <c:extLst>
            <c:ext xmlns:c16="http://schemas.microsoft.com/office/drawing/2014/chart" uri="{C3380CC4-5D6E-409C-BE32-E72D297353CC}">
              <c16:uniqueId val="{00000002-AFC2-471C-A32C-C116E2CB4D13}"/>
            </c:ext>
          </c:extLst>
        </c:ser>
        <c:ser>
          <c:idx val="2"/>
          <c:order val="2"/>
          <c:spPr>
            <a:ln w="19050" cap="rnd">
              <a:solidFill>
                <a:schemeClr val="bg1">
                  <a:lumMod val="65000"/>
                </a:schemeClr>
              </a:solidFill>
              <a:prstDash val="sysDot"/>
              <a:round/>
            </a:ln>
            <a:effectLst/>
          </c:spPr>
          <c:marker>
            <c:symbol val="none"/>
          </c:marker>
          <c:xVal>
            <c:numRef>
              <c:f>Tabelle10!$B$14:$B$28</c:f>
              <c:numCache>
                <c:formatCode>General</c:formatCode>
                <c:ptCount val="15"/>
                <c:pt idx="0">
                  <c:v>170.85925743796687</c:v>
                </c:pt>
                <c:pt idx="1">
                  <c:v>-29.140742562033125</c:v>
                </c:pt>
                <c:pt idx="2" formatCode="0.00">
                  <c:v>70.859257437966875</c:v>
                </c:pt>
                <c:pt idx="3">
                  <c:v>120.85925743796687</c:v>
                </c:pt>
                <c:pt idx="4">
                  <c:v>20.859257437966875</c:v>
                </c:pt>
                <c:pt idx="5" formatCode="0.0000">
                  <c:v>170.85925743796687</c:v>
                </c:pt>
                <c:pt idx="6">
                  <c:v>-29.140742562033125</c:v>
                </c:pt>
                <c:pt idx="8">
                  <c:v>125.97612614451546</c:v>
                </c:pt>
                <c:pt idx="9">
                  <c:v>15.742388731418295</c:v>
                </c:pt>
                <c:pt idx="11" formatCode="0.0000">
                  <c:v>-29.140742562033125</c:v>
                </c:pt>
                <c:pt idx="13">
                  <c:v>170.85925743796687</c:v>
                </c:pt>
              </c:numCache>
            </c:numRef>
          </c:xVal>
          <c:yVal>
            <c:numRef>
              <c:f>Tabelle10!$E$14:$E$28</c:f>
              <c:numCache>
                <c:formatCode>General</c:formatCode>
                <c:ptCount val="15"/>
                <c:pt idx="5">
                  <c:v>29.414256589863491</c:v>
                </c:pt>
                <c:pt idx="6">
                  <c:v>-80.819480823233675</c:v>
                </c:pt>
                <c:pt idx="8">
                  <c:v>-125.70261211668509</c:v>
                </c:pt>
                <c:pt idx="9">
                  <c:v>74.297387883314912</c:v>
                </c:pt>
              </c:numCache>
            </c:numRef>
          </c:yVal>
          <c:smooth val="0"/>
          <c:extLst>
            <c:ext xmlns:c16="http://schemas.microsoft.com/office/drawing/2014/chart" uri="{C3380CC4-5D6E-409C-BE32-E72D297353CC}">
              <c16:uniqueId val="{00000003-AFC2-471C-A32C-C116E2CB4D13}"/>
            </c:ext>
          </c:extLst>
        </c:ser>
        <c:dLbls>
          <c:showLegendKey val="0"/>
          <c:showVal val="0"/>
          <c:showCatName val="0"/>
          <c:showSerName val="0"/>
          <c:showPercent val="0"/>
          <c:showBubbleSize val="0"/>
        </c:dLbls>
        <c:axId val="1646655119"/>
        <c:axId val="1646655599"/>
      </c:scatterChart>
      <c:valAx>
        <c:axId val="164665511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46655599"/>
        <c:crosses val="autoZero"/>
        <c:crossBetween val="midCat"/>
      </c:valAx>
      <c:valAx>
        <c:axId val="164665559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46655119"/>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6</xdr:col>
      <xdr:colOff>30480</xdr:colOff>
      <xdr:row>10</xdr:row>
      <xdr:rowOff>0</xdr:rowOff>
    </xdr:from>
    <xdr:to>
      <xdr:col>13</xdr:col>
      <xdr:colOff>373380</xdr:colOff>
      <xdr:row>40</xdr:row>
      <xdr:rowOff>114300</xdr:rowOff>
    </xdr:to>
    <xdr:graphicFrame macro="">
      <xdr:nvGraphicFramePr>
        <xdr:cNvPr id="2" name="Diagramm 1">
          <a:extLst>
            <a:ext uri="{FF2B5EF4-FFF2-40B4-BE49-F238E27FC236}">
              <a16:creationId xmlns:a16="http://schemas.microsoft.com/office/drawing/2014/main" id="{30AE2E69-BA26-4D88-B8BB-D0646AD9390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15240</xdr:colOff>
      <xdr:row>10</xdr:row>
      <xdr:rowOff>0</xdr:rowOff>
    </xdr:from>
    <xdr:to>
      <xdr:col>9</xdr:col>
      <xdr:colOff>518160</xdr:colOff>
      <xdr:row>32</xdr:row>
      <xdr:rowOff>106680</xdr:rowOff>
    </xdr:to>
    <xdr:graphicFrame macro="">
      <xdr:nvGraphicFramePr>
        <xdr:cNvPr id="2" name="Diagramm 1">
          <a:extLst>
            <a:ext uri="{FF2B5EF4-FFF2-40B4-BE49-F238E27FC236}">
              <a16:creationId xmlns:a16="http://schemas.microsoft.com/office/drawing/2014/main" id="{31901E5C-4B33-49CF-BD90-B591B57EBC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30480</xdr:colOff>
      <xdr:row>9</xdr:row>
      <xdr:rowOff>175260</xdr:rowOff>
    </xdr:from>
    <xdr:to>
      <xdr:col>10</xdr:col>
      <xdr:colOff>304800</xdr:colOff>
      <xdr:row>30</xdr:row>
      <xdr:rowOff>129540</xdr:rowOff>
    </xdr:to>
    <xdr:graphicFrame macro="">
      <xdr:nvGraphicFramePr>
        <xdr:cNvPr id="2" name="Diagramm 1">
          <a:extLst>
            <a:ext uri="{FF2B5EF4-FFF2-40B4-BE49-F238E27FC236}">
              <a16:creationId xmlns:a16="http://schemas.microsoft.com/office/drawing/2014/main" id="{D78EACC2-3B2E-41A6-928D-0BF616591C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30480</xdr:colOff>
      <xdr:row>15</xdr:row>
      <xdr:rowOff>175260</xdr:rowOff>
    </xdr:from>
    <xdr:to>
      <xdr:col>13</xdr:col>
      <xdr:colOff>373380</xdr:colOff>
      <xdr:row>47</xdr:row>
      <xdr:rowOff>99060</xdr:rowOff>
    </xdr:to>
    <xdr:graphicFrame macro="">
      <xdr:nvGraphicFramePr>
        <xdr:cNvPr id="2" name="Diagramm 1">
          <a:extLst>
            <a:ext uri="{FF2B5EF4-FFF2-40B4-BE49-F238E27FC236}">
              <a16:creationId xmlns:a16="http://schemas.microsoft.com/office/drawing/2014/main" id="{D1C6F30E-2FF2-4A3A-A28F-6D3609185B3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15240</xdr:colOff>
      <xdr:row>10</xdr:row>
      <xdr:rowOff>0</xdr:rowOff>
    </xdr:from>
    <xdr:to>
      <xdr:col>9</xdr:col>
      <xdr:colOff>289560</xdr:colOff>
      <xdr:row>32</xdr:row>
      <xdr:rowOff>144780</xdr:rowOff>
    </xdr:to>
    <xdr:graphicFrame macro="">
      <xdr:nvGraphicFramePr>
        <xdr:cNvPr id="2" name="Diagramm 1">
          <a:extLst>
            <a:ext uri="{FF2B5EF4-FFF2-40B4-BE49-F238E27FC236}">
              <a16:creationId xmlns:a16="http://schemas.microsoft.com/office/drawing/2014/main" id="{703F85D4-C58E-4803-AD12-41631C0AF5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15240</xdr:colOff>
      <xdr:row>10</xdr:row>
      <xdr:rowOff>0</xdr:rowOff>
    </xdr:from>
    <xdr:to>
      <xdr:col>9</xdr:col>
      <xdr:colOff>289560</xdr:colOff>
      <xdr:row>32</xdr:row>
      <xdr:rowOff>144780</xdr:rowOff>
    </xdr:to>
    <xdr:graphicFrame macro="">
      <xdr:nvGraphicFramePr>
        <xdr:cNvPr id="2" name="Diagramm 1">
          <a:extLst>
            <a:ext uri="{FF2B5EF4-FFF2-40B4-BE49-F238E27FC236}">
              <a16:creationId xmlns:a16="http://schemas.microsoft.com/office/drawing/2014/main" id="{F2575F48-4B2E-40D7-B208-D46DE1F21F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15240</xdr:colOff>
      <xdr:row>9</xdr:row>
      <xdr:rowOff>182880</xdr:rowOff>
    </xdr:from>
    <xdr:to>
      <xdr:col>11</xdr:col>
      <xdr:colOff>647700</xdr:colOff>
      <xdr:row>35</xdr:row>
      <xdr:rowOff>167640</xdr:rowOff>
    </xdr:to>
    <xdr:graphicFrame macro="">
      <xdr:nvGraphicFramePr>
        <xdr:cNvPr id="2" name="Diagramm 1">
          <a:extLst>
            <a:ext uri="{FF2B5EF4-FFF2-40B4-BE49-F238E27FC236}">
              <a16:creationId xmlns:a16="http://schemas.microsoft.com/office/drawing/2014/main" id="{8840E148-DDEC-4C48-A5EB-C03959AD47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30480</xdr:colOff>
      <xdr:row>10</xdr:row>
      <xdr:rowOff>0</xdr:rowOff>
    </xdr:from>
    <xdr:to>
      <xdr:col>11</xdr:col>
      <xdr:colOff>617220</xdr:colOff>
      <xdr:row>35</xdr:row>
      <xdr:rowOff>106680</xdr:rowOff>
    </xdr:to>
    <xdr:graphicFrame macro="">
      <xdr:nvGraphicFramePr>
        <xdr:cNvPr id="2" name="Diagramm 1">
          <a:extLst>
            <a:ext uri="{FF2B5EF4-FFF2-40B4-BE49-F238E27FC236}">
              <a16:creationId xmlns:a16="http://schemas.microsoft.com/office/drawing/2014/main" id="{311516D1-071F-484B-BCC5-632E5E37E4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22860</xdr:colOff>
      <xdr:row>9</xdr:row>
      <xdr:rowOff>182880</xdr:rowOff>
    </xdr:from>
    <xdr:to>
      <xdr:col>13</xdr:col>
      <xdr:colOff>365760</xdr:colOff>
      <xdr:row>41</xdr:row>
      <xdr:rowOff>106680</xdr:rowOff>
    </xdr:to>
    <xdr:graphicFrame macro="">
      <xdr:nvGraphicFramePr>
        <xdr:cNvPr id="2" name="Diagramm 1">
          <a:extLst>
            <a:ext uri="{FF2B5EF4-FFF2-40B4-BE49-F238E27FC236}">
              <a16:creationId xmlns:a16="http://schemas.microsoft.com/office/drawing/2014/main" id="{DB5C1F5D-3368-4622-BA0B-DCC01E1A5A9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38100</xdr:colOff>
      <xdr:row>9</xdr:row>
      <xdr:rowOff>179070</xdr:rowOff>
    </xdr:from>
    <xdr:to>
      <xdr:col>11</xdr:col>
      <xdr:colOff>60960</xdr:colOff>
      <xdr:row>36</xdr:row>
      <xdr:rowOff>0</xdr:rowOff>
    </xdr:to>
    <xdr:graphicFrame macro="">
      <xdr:nvGraphicFramePr>
        <xdr:cNvPr id="2" name="Diagramm 1">
          <a:extLst>
            <a:ext uri="{FF2B5EF4-FFF2-40B4-BE49-F238E27FC236}">
              <a16:creationId xmlns:a16="http://schemas.microsoft.com/office/drawing/2014/main" id="{A5BF0339-CA74-29A6-8F62-D71E9A1E435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22860</xdr:colOff>
      <xdr:row>9</xdr:row>
      <xdr:rowOff>186690</xdr:rowOff>
    </xdr:from>
    <xdr:to>
      <xdr:col>10</xdr:col>
      <xdr:colOff>297180</xdr:colOff>
      <xdr:row>31</xdr:row>
      <xdr:rowOff>68580</xdr:rowOff>
    </xdr:to>
    <xdr:graphicFrame macro="">
      <xdr:nvGraphicFramePr>
        <xdr:cNvPr id="2" name="Diagramm 1">
          <a:extLst>
            <a:ext uri="{FF2B5EF4-FFF2-40B4-BE49-F238E27FC236}">
              <a16:creationId xmlns:a16="http://schemas.microsoft.com/office/drawing/2014/main" id="{3739C352-6250-579E-A00B-08163A6C9E6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30480</xdr:colOff>
      <xdr:row>10</xdr:row>
      <xdr:rowOff>175260</xdr:rowOff>
    </xdr:from>
    <xdr:to>
      <xdr:col>10</xdr:col>
      <xdr:colOff>304800</xdr:colOff>
      <xdr:row>32</xdr:row>
      <xdr:rowOff>99060</xdr:rowOff>
    </xdr:to>
    <xdr:graphicFrame macro="">
      <xdr:nvGraphicFramePr>
        <xdr:cNvPr id="2" name="Diagramm 1">
          <a:extLst>
            <a:ext uri="{FF2B5EF4-FFF2-40B4-BE49-F238E27FC236}">
              <a16:creationId xmlns:a16="http://schemas.microsoft.com/office/drawing/2014/main" id="{63B3ED0A-AFDE-4741-838B-F56DDACF5C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0E7F8-17DA-4503-BA13-5D7204545CE8}">
  <sheetPr codeName="Tabelle1"/>
  <dimension ref="B1:K96"/>
  <sheetViews>
    <sheetView tabSelected="1" workbookViewId="0">
      <pane ySplit="6" topLeftCell="A78" activePane="bottomLeft" state="frozen"/>
      <selection pane="bottomLeft" activeCell="B10" sqref="B10"/>
    </sheetView>
  </sheetViews>
  <sheetFormatPr baseColWidth="10" defaultRowHeight="14.4" x14ac:dyDescent="0.3"/>
  <cols>
    <col min="1" max="1" width="2.77734375" customWidth="1"/>
    <col min="2" max="2" width="33.33203125" customWidth="1"/>
    <col min="3" max="3" width="15.77734375" customWidth="1"/>
  </cols>
  <sheetData>
    <row r="1" spans="2:11" ht="15" thickBot="1" x14ac:dyDescent="0.35"/>
    <row r="2" spans="2:11" ht="19.2" thickTop="1" thickBot="1" x14ac:dyDescent="0.4">
      <c r="B2" s="105" t="s">
        <v>90</v>
      </c>
      <c r="C2" s="106"/>
      <c r="D2" s="106"/>
      <c r="E2" s="106"/>
      <c r="F2" s="106"/>
      <c r="G2" s="106"/>
      <c r="H2" s="106"/>
      <c r="I2" s="106"/>
      <c r="J2" s="106"/>
      <c r="K2" s="107"/>
    </row>
    <row r="3" spans="2:11" ht="85.2" thickTop="1" thickBot="1" x14ac:dyDescent="0.4">
      <c r="B3" s="121" t="s">
        <v>92</v>
      </c>
      <c r="C3" s="122"/>
      <c r="D3" s="122"/>
      <c r="E3" s="122"/>
      <c r="F3" s="122"/>
      <c r="G3" s="122"/>
      <c r="H3" s="122"/>
      <c r="I3" s="122"/>
      <c r="J3" s="122"/>
      <c r="K3" s="123"/>
    </row>
    <row r="4" spans="2:11" ht="15" thickTop="1" x14ac:dyDescent="0.3"/>
    <row r="5" spans="2:11" x14ac:dyDescent="0.3">
      <c r="D5" s="39" t="s">
        <v>26</v>
      </c>
      <c r="E5" s="40"/>
      <c r="F5" s="39" t="s">
        <v>27</v>
      </c>
      <c r="G5" s="40"/>
      <c r="H5" s="38" t="s">
        <v>28</v>
      </c>
      <c r="I5" s="41" t="s">
        <v>13</v>
      </c>
      <c r="J5" s="41" t="s">
        <v>29</v>
      </c>
      <c r="K5" s="41" t="s">
        <v>29</v>
      </c>
    </row>
    <row r="6" spans="2:11" ht="15.6" x14ac:dyDescent="0.3">
      <c r="D6" s="38" t="s">
        <v>93</v>
      </c>
      <c r="E6" s="38" t="s">
        <v>94</v>
      </c>
      <c r="F6" s="38" t="s">
        <v>96</v>
      </c>
      <c r="G6" s="38" t="s">
        <v>95</v>
      </c>
      <c r="H6" s="38" t="s">
        <v>6</v>
      </c>
      <c r="I6" s="38" t="s">
        <v>7</v>
      </c>
      <c r="J6" s="38" t="s">
        <v>33</v>
      </c>
      <c r="K6" s="38" t="s">
        <v>36</v>
      </c>
    </row>
    <row r="8" spans="2:11" x14ac:dyDescent="0.3">
      <c r="B8" s="42"/>
      <c r="C8" s="13" t="s">
        <v>11</v>
      </c>
      <c r="D8" s="25">
        <v>16.546094420654683</v>
      </c>
      <c r="E8" s="26">
        <v>-20.271295814953866</v>
      </c>
      <c r="F8" s="8"/>
      <c r="G8" s="8"/>
      <c r="H8" s="8"/>
      <c r="I8" s="8"/>
      <c r="J8" s="8"/>
      <c r="K8" s="36"/>
    </row>
    <row r="9" spans="2:11" x14ac:dyDescent="0.3">
      <c r="B9" s="20"/>
      <c r="C9" s="14" t="s">
        <v>12</v>
      </c>
      <c r="D9" s="27">
        <v>98.886102741603423</v>
      </c>
      <c r="E9" s="28">
        <v>30.351078490588002</v>
      </c>
      <c r="K9" s="48"/>
    </row>
    <row r="10" spans="2:11" x14ac:dyDescent="0.3">
      <c r="B10" s="50" t="s">
        <v>19</v>
      </c>
      <c r="C10" s="18" t="s">
        <v>20</v>
      </c>
      <c r="D10" s="9"/>
      <c r="E10" s="9"/>
      <c r="F10" s="12"/>
      <c r="G10" s="12"/>
      <c r="H10" s="12"/>
      <c r="I10" s="23">
        <f>SQRT((D8-D9)^2+(E8-E9)^2)</f>
        <v>96.656617728039151</v>
      </c>
      <c r="J10" s="9"/>
      <c r="K10" s="49"/>
    </row>
    <row r="12" spans="2:11" x14ac:dyDescent="0.3">
      <c r="B12" s="42"/>
      <c r="C12" s="13" t="s">
        <v>11</v>
      </c>
      <c r="D12" s="25">
        <v>0</v>
      </c>
      <c r="E12" s="26">
        <v>0</v>
      </c>
      <c r="F12" s="8"/>
      <c r="G12" s="8"/>
      <c r="H12" s="8"/>
      <c r="I12" s="8"/>
      <c r="J12" s="8"/>
      <c r="K12" s="36"/>
    </row>
    <row r="13" spans="2:11" x14ac:dyDescent="0.3">
      <c r="B13" s="20"/>
      <c r="C13" s="15" t="s">
        <v>31</v>
      </c>
      <c r="D13" s="43">
        <v>1</v>
      </c>
      <c r="E13" s="34">
        <v>1</v>
      </c>
      <c r="K13" s="48"/>
    </row>
    <row r="14" spans="2:11" x14ac:dyDescent="0.3">
      <c r="B14" s="20"/>
      <c r="C14" s="14" t="s">
        <v>32</v>
      </c>
      <c r="D14" s="9"/>
      <c r="E14" s="9"/>
      <c r="F14" s="12"/>
      <c r="G14" s="12"/>
      <c r="H14" s="12"/>
      <c r="I14" s="12"/>
      <c r="J14" s="31">
        <f>RADIANS(100)</f>
        <v>1.7453292519943295</v>
      </c>
      <c r="K14" s="44" t="str">
        <f>IF(J14&lt;0,"-"," ")&amp;TEXT(ABS(DEGREES(J14))/24,"[hh]° mm' ss''")</f>
        <v xml:space="preserve"> 100° 00' 00''</v>
      </c>
    </row>
    <row r="15" spans="2:11" x14ac:dyDescent="0.3">
      <c r="B15" s="62" t="s">
        <v>30</v>
      </c>
      <c r="C15" s="18" t="s">
        <v>21</v>
      </c>
      <c r="D15" s="22">
        <f>D13+(D12-D13)*COS(J14)-(E12-E13)*SIN(J14)</f>
        <v>2.1584559306791382</v>
      </c>
      <c r="E15" s="23">
        <f>E13+(D12-D13)*SIN(J14)+(E12-E13)*COS(J14)</f>
        <v>0.18884042465472228</v>
      </c>
      <c r="F15" s="9"/>
      <c r="G15" s="9"/>
      <c r="H15" s="9"/>
      <c r="I15" s="9"/>
      <c r="J15" s="9"/>
      <c r="K15" s="49"/>
    </row>
    <row r="17" spans="2:11" x14ac:dyDescent="0.3">
      <c r="B17" s="42"/>
      <c r="C17" s="13" t="s">
        <v>11</v>
      </c>
      <c r="D17" s="25">
        <v>1</v>
      </c>
      <c r="E17" s="26">
        <v>1</v>
      </c>
      <c r="F17" s="8"/>
      <c r="G17" s="8"/>
      <c r="H17" s="8"/>
      <c r="I17" s="8"/>
      <c r="J17" s="8"/>
      <c r="K17" s="36"/>
    </row>
    <row r="18" spans="2:11" x14ac:dyDescent="0.3">
      <c r="B18" s="20"/>
      <c r="C18" s="15" t="s">
        <v>35</v>
      </c>
      <c r="D18" s="43">
        <v>2</v>
      </c>
      <c r="E18" s="34">
        <v>0</v>
      </c>
      <c r="K18" s="48"/>
    </row>
    <row r="19" spans="2:11" x14ac:dyDescent="0.3">
      <c r="B19" s="50" t="s">
        <v>34</v>
      </c>
      <c r="C19" s="18" t="s">
        <v>21</v>
      </c>
      <c r="D19" s="22">
        <f>2*D18-D17</f>
        <v>3</v>
      </c>
      <c r="E19" s="23">
        <f>2*E18-E17</f>
        <v>-1</v>
      </c>
      <c r="F19" s="9"/>
      <c r="G19" s="9"/>
      <c r="H19" s="9"/>
      <c r="I19" s="9"/>
      <c r="J19" s="9"/>
      <c r="K19" s="49"/>
    </row>
    <row r="21" spans="2:11" x14ac:dyDescent="0.3">
      <c r="B21" s="42"/>
      <c r="C21" s="13" t="s">
        <v>11</v>
      </c>
      <c r="D21" s="25">
        <v>3</v>
      </c>
      <c r="E21" s="26">
        <v>-1</v>
      </c>
      <c r="F21" s="8"/>
      <c r="G21" s="8"/>
      <c r="H21" s="8"/>
      <c r="I21" s="8"/>
      <c r="J21" s="8"/>
      <c r="K21" s="36"/>
    </row>
    <row r="22" spans="2:11" x14ac:dyDescent="0.3">
      <c r="B22" s="20"/>
      <c r="C22" s="15" t="s">
        <v>12</v>
      </c>
      <c r="D22" s="43">
        <v>1</v>
      </c>
      <c r="E22" s="34">
        <v>1</v>
      </c>
      <c r="K22" s="48"/>
    </row>
    <row r="23" spans="2:11" x14ac:dyDescent="0.3">
      <c r="B23" s="50" t="s">
        <v>41</v>
      </c>
      <c r="C23" s="18" t="s">
        <v>21</v>
      </c>
      <c r="D23" s="22">
        <f>(D21+D22)/2</f>
        <v>2</v>
      </c>
      <c r="E23" s="23">
        <f>(E21+E22)/2</f>
        <v>0</v>
      </c>
      <c r="F23" s="9"/>
      <c r="G23" s="9"/>
      <c r="H23" s="9"/>
      <c r="I23" s="9"/>
      <c r="J23" s="9"/>
      <c r="K23" s="49"/>
    </row>
    <row r="25" spans="2:11" x14ac:dyDescent="0.3">
      <c r="B25" s="42"/>
      <c r="C25" s="13" t="s">
        <v>11</v>
      </c>
      <c r="D25" s="25">
        <v>16.546094420654683</v>
      </c>
      <c r="E25" s="26">
        <v>-20.271295814953866</v>
      </c>
      <c r="F25" s="8"/>
      <c r="G25" s="8"/>
      <c r="H25" s="8"/>
      <c r="I25" s="8"/>
      <c r="J25" s="8"/>
      <c r="K25" s="36"/>
    </row>
    <row r="26" spans="2:11" x14ac:dyDescent="0.3">
      <c r="B26" s="20"/>
      <c r="C26" s="14" t="s">
        <v>12</v>
      </c>
      <c r="D26" s="27">
        <v>98.886102741603423</v>
      </c>
      <c r="E26" s="28">
        <v>30.351078490588002</v>
      </c>
      <c r="K26" s="48"/>
    </row>
    <row r="27" spans="2:11" x14ac:dyDescent="0.3">
      <c r="B27" s="50" t="s">
        <v>16</v>
      </c>
      <c r="C27" s="18" t="s">
        <v>0</v>
      </c>
      <c r="D27" s="22">
        <f>IF(F27&lt;&gt;0,0,D25-E25/G27*F27)</f>
        <v>0</v>
      </c>
      <c r="E27" s="22">
        <f>IF(F27&lt;&gt;0,E25-D25/F27*G27,0)</f>
        <v>-30.443781853482946</v>
      </c>
      <c r="F27" s="22">
        <f>(D25-D26)/SQRT((D25-D26)^2+(E25-E26)^2)</f>
        <v>-0.85188174650004023</v>
      </c>
      <c r="G27" s="23">
        <f>(E25-E26)/SQRT((D25-D26)^2+(E25-E26)^2)</f>
        <v>-0.52373417873959816</v>
      </c>
      <c r="H27" s="9"/>
      <c r="I27" s="9"/>
      <c r="J27" s="9"/>
      <c r="K27" s="49"/>
    </row>
    <row r="29" spans="2:11" x14ac:dyDescent="0.3">
      <c r="B29" s="42"/>
      <c r="C29" s="13" t="s">
        <v>0</v>
      </c>
      <c r="D29" s="29">
        <v>0</v>
      </c>
      <c r="E29" s="25">
        <v>-30.443781853482946</v>
      </c>
      <c r="F29" s="31">
        <v>-0.85188174650004023</v>
      </c>
      <c r="G29" s="32">
        <v>-0.52373417873959816</v>
      </c>
      <c r="H29" s="8"/>
      <c r="I29" s="8"/>
      <c r="J29" s="8"/>
      <c r="K29" s="36"/>
    </row>
    <row r="30" spans="2:11" x14ac:dyDescent="0.3">
      <c r="B30" s="20"/>
      <c r="C30" s="15" t="s">
        <v>38</v>
      </c>
      <c r="D30" s="33">
        <v>16.022360241915084</v>
      </c>
      <c r="E30" s="34">
        <v>-19.419414068453825</v>
      </c>
      <c r="K30" s="48"/>
    </row>
    <row r="31" spans="2:11" x14ac:dyDescent="0.3">
      <c r="B31" s="20"/>
      <c r="C31" s="14" t="s">
        <v>32</v>
      </c>
      <c r="D31" s="9"/>
      <c r="E31" s="9"/>
      <c r="F31" s="12"/>
      <c r="G31" s="12"/>
      <c r="H31" s="12"/>
      <c r="I31" s="12"/>
      <c r="J31" s="31">
        <f>RADIANS(10)</f>
        <v>0.17453292519943295</v>
      </c>
      <c r="K31" s="44" t="str">
        <f>IF(J31&lt;0,"-"," ")&amp;TEXT(ABS(DEGREES(J31))/24,"[hh]° mm' ss''")</f>
        <v xml:space="preserve"> 10° 00' 00''</v>
      </c>
    </row>
    <row r="32" spans="2:11" x14ac:dyDescent="0.3">
      <c r="B32" s="62" t="s">
        <v>37</v>
      </c>
      <c r="C32" s="18" t="s">
        <v>2</v>
      </c>
      <c r="D32" s="22">
        <f>D30+(D29-D30)*COS(J31)-(E29-E30)*SIN(J31)</f>
        <v>2.1577770299228725</v>
      </c>
      <c r="E32" s="22">
        <f>E30+(D29-D30)*SIN(J31)+(E29-E30)*COS(J31)</f>
        <v>-33.058550593140154</v>
      </c>
      <c r="F32" s="22">
        <f>F29*COS(J31)-G29*SIN(J31)</f>
        <v>-0.74799426288280246</v>
      </c>
      <c r="G32" s="23">
        <f>F29*SIN(J31)+G29*COS(J31)</f>
        <v>-0.66370519260769167</v>
      </c>
      <c r="H32" s="9"/>
      <c r="I32" s="9"/>
      <c r="J32" s="9"/>
      <c r="K32" s="49"/>
    </row>
    <row r="34" spans="2:11" x14ac:dyDescent="0.3">
      <c r="B34" s="42"/>
      <c r="C34" s="13" t="s">
        <v>0</v>
      </c>
      <c r="D34" s="29">
        <v>1</v>
      </c>
      <c r="E34" s="25">
        <v>4</v>
      </c>
      <c r="F34" s="31">
        <v>-0.85188174650004023</v>
      </c>
      <c r="G34" s="32">
        <v>-0.52373417873959816</v>
      </c>
      <c r="H34" s="8"/>
      <c r="I34" s="8"/>
      <c r="J34" s="8"/>
      <c r="K34" s="36"/>
    </row>
    <row r="35" spans="2:11" x14ac:dyDescent="0.3">
      <c r="B35" s="20"/>
      <c r="C35" s="15" t="s">
        <v>40</v>
      </c>
      <c r="D35" s="33">
        <v>2</v>
      </c>
      <c r="E35" s="34">
        <v>1</v>
      </c>
      <c r="K35" s="48"/>
    </row>
    <row r="36" spans="2:11" x14ac:dyDescent="0.3">
      <c r="B36" s="50" t="s">
        <v>39</v>
      </c>
      <c r="C36" s="18" t="s">
        <v>2</v>
      </c>
      <c r="D36" s="22">
        <f>2*D35-D34</f>
        <v>3</v>
      </c>
      <c r="E36" s="22">
        <f>2*E35-E34</f>
        <v>-2</v>
      </c>
      <c r="F36" s="22">
        <f>(-F34)/SQRT(F34^2+G34^2)</f>
        <v>0.85188174650004023</v>
      </c>
      <c r="G36" s="23">
        <f>(-G34)/SQRT(F34^2+G34^2)</f>
        <v>0.52373417873959816</v>
      </c>
      <c r="H36" s="9"/>
      <c r="I36" s="9"/>
      <c r="J36" s="9"/>
      <c r="K36" s="49"/>
    </row>
    <row r="38" spans="2:11" x14ac:dyDescent="0.3">
      <c r="B38" s="42"/>
      <c r="C38" s="16" t="s">
        <v>11</v>
      </c>
      <c r="D38" s="29">
        <v>16.022360241915084</v>
      </c>
      <c r="E38" s="26">
        <v>-19.419414068453825</v>
      </c>
      <c r="F38" s="8"/>
      <c r="G38" s="8"/>
      <c r="H38" s="8"/>
      <c r="I38" s="8"/>
      <c r="J38" s="8"/>
      <c r="K38" s="36"/>
    </row>
    <row r="39" spans="2:11" x14ac:dyDescent="0.3">
      <c r="B39" s="20"/>
      <c r="C39" s="17" t="s">
        <v>0</v>
      </c>
      <c r="D39" s="30">
        <v>0</v>
      </c>
      <c r="E39" s="27">
        <v>-30.443781853482946</v>
      </c>
      <c r="F39" s="31">
        <v>-0.85188174650004023</v>
      </c>
      <c r="G39" s="32">
        <v>-0.52373417873959816</v>
      </c>
      <c r="K39" s="48"/>
    </row>
    <row r="40" spans="2:11" x14ac:dyDescent="0.3">
      <c r="B40" s="62" t="s">
        <v>15</v>
      </c>
      <c r="C40" s="18" t="s">
        <v>18</v>
      </c>
      <c r="D40" s="9"/>
      <c r="E40" s="9"/>
      <c r="F40" s="12"/>
      <c r="G40" s="12"/>
      <c r="H40" s="12"/>
      <c r="I40" s="23">
        <f>ABS((E38-E39)*F39-(D38-D39)*G39)/SQRT(G39^2+F39^2)</f>
        <v>1</v>
      </c>
      <c r="J40" s="9"/>
      <c r="K40" s="49"/>
    </row>
    <row r="42" spans="2:11" x14ac:dyDescent="0.3">
      <c r="B42" s="42"/>
      <c r="C42" s="16" t="s">
        <v>11</v>
      </c>
      <c r="D42" s="29">
        <v>50</v>
      </c>
      <c r="E42" s="26">
        <v>100</v>
      </c>
      <c r="F42" s="8"/>
      <c r="G42" s="8"/>
      <c r="H42" s="8"/>
      <c r="I42" s="8"/>
      <c r="J42" s="8"/>
      <c r="K42" s="36"/>
    </row>
    <row r="43" spans="2:11" x14ac:dyDescent="0.3">
      <c r="B43" s="20"/>
      <c r="C43" s="17" t="s">
        <v>0</v>
      </c>
      <c r="D43" s="30">
        <v>0</v>
      </c>
      <c r="E43" s="27">
        <v>1</v>
      </c>
      <c r="F43" s="31">
        <v>-1</v>
      </c>
      <c r="G43" s="32">
        <v>1</v>
      </c>
      <c r="K43" s="48"/>
    </row>
    <row r="44" spans="2:11" x14ac:dyDescent="0.3">
      <c r="B44" s="62" t="s">
        <v>14</v>
      </c>
      <c r="C44" s="21" t="s">
        <v>71</v>
      </c>
      <c r="D44" s="116">
        <f>D42+((E42-E43)*F43-(D42-D43)*G43)/(G43^2+F43^2)*G43</f>
        <v>-24.5</v>
      </c>
      <c r="E44" s="117">
        <f>E42-((E42-E43)*F43-(D42-D43)*G43)/(G43^2+F43^2)*F43</f>
        <v>25.5</v>
      </c>
      <c r="F44" s="22">
        <f>-G43/(SQRT(F43^2+G43^2))</f>
        <v>-0.70710678118654746</v>
      </c>
      <c r="G44" s="23">
        <f>F43/SQRT(F43^2+G43^2)</f>
        <v>-0.70710678118654746</v>
      </c>
      <c r="H44" s="9"/>
      <c r="I44" s="9"/>
      <c r="J44" s="9"/>
      <c r="K44" s="49"/>
    </row>
    <row r="46" spans="2:11" x14ac:dyDescent="0.3">
      <c r="B46" s="42"/>
      <c r="C46" s="16" t="s">
        <v>11</v>
      </c>
      <c r="D46" s="29">
        <v>50</v>
      </c>
      <c r="E46" s="26">
        <v>100</v>
      </c>
      <c r="F46" s="8"/>
      <c r="G46" s="8"/>
      <c r="H46" s="8"/>
      <c r="I46" s="8"/>
      <c r="J46" s="8"/>
      <c r="K46" s="36"/>
    </row>
    <row r="47" spans="2:11" x14ac:dyDescent="0.3">
      <c r="B47" s="20"/>
      <c r="C47" s="17" t="s">
        <v>0</v>
      </c>
      <c r="D47" s="30">
        <v>0</v>
      </c>
      <c r="E47" s="27">
        <v>1</v>
      </c>
      <c r="F47" s="31">
        <v>1</v>
      </c>
      <c r="G47" s="32">
        <v>-2</v>
      </c>
      <c r="K47" s="48"/>
    </row>
    <row r="48" spans="2:11" x14ac:dyDescent="0.3">
      <c r="B48" s="115" t="s">
        <v>60</v>
      </c>
      <c r="C48" s="21" t="s">
        <v>12</v>
      </c>
      <c r="D48" s="24">
        <f>D46+2*((E46-E47)*F47-(D46-D47)*G47)/(G47^2+F47^2)*G47</f>
        <v>-109.19999999999999</v>
      </c>
      <c r="E48" s="23">
        <f>E46-2*((E46-E47)*F47-(D46-D47)*G47)/(G47^2+F47^2)*F47</f>
        <v>20.400000000000006</v>
      </c>
      <c r="F48" s="9"/>
      <c r="G48" s="9"/>
      <c r="H48" s="9"/>
      <c r="I48" s="9"/>
      <c r="J48" s="9"/>
      <c r="K48" s="49"/>
    </row>
    <row r="50" spans="2:11" x14ac:dyDescent="0.3">
      <c r="B50" s="42"/>
      <c r="C50" s="16" t="s">
        <v>0</v>
      </c>
      <c r="D50" s="29">
        <v>50</v>
      </c>
      <c r="E50" s="25">
        <v>100</v>
      </c>
      <c r="F50" s="25">
        <v>1</v>
      </c>
      <c r="G50" s="26">
        <v>2</v>
      </c>
      <c r="H50" s="8"/>
      <c r="I50" s="8"/>
      <c r="J50" s="8"/>
      <c r="K50" s="36"/>
    </row>
    <row r="51" spans="2:11" x14ac:dyDescent="0.3">
      <c r="B51" s="20"/>
      <c r="C51" s="17" t="s">
        <v>67</v>
      </c>
      <c r="D51" s="30">
        <v>0</v>
      </c>
      <c r="E51" s="27">
        <v>1</v>
      </c>
      <c r="F51" s="27">
        <v>-1</v>
      </c>
      <c r="G51" s="28">
        <v>2</v>
      </c>
      <c r="K51" s="48"/>
    </row>
    <row r="52" spans="2:11" x14ac:dyDescent="0.3">
      <c r="B52" s="62" t="s">
        <v>61</v>
      </c>
      <c r="C52" s="21" t="s">
        <v>63</v>
      </c>
      <c r="D52" s="24">
        <f>D50+2*((E50-E51)*F51-(D50-D51)*G51)/(G51^2+F51^2)*G51</f>
        <v>-109.19999999999999</v>
      </c>
      <c r="E52" s="22">
        <f>E50-2*((E50-E51)*F51-(D50-D51)*G51)/(G51^2+F51^2)*F51</f>
        <v>20.400000000000006</v>
      </c>
      <c r="F52" s="22">
        <f>F50+2*(G50*F51-F50*G51)/(G51^2+F51^2)*G51</f>
        <v>-2.2000000000000002</v>
      </c>
      <c r="G52" s="23">
        <f>G50-2*(G50*F51-F50*G51)/(G51^2+F51^2)*F51</f>
        <v>0.39999999999999991</v>
      </c>
      <c r="H52" s="9"/>
      <c r="I52" s="9"/>
      <c r="J52" s="9"/>
      <c r="K52" s="49"/>
    </row>
    <row r="54" spans="2:11" x14ac:dyDescent="0.3">
      <c r="B54" s="42"/>
      <c r="C54" s="13" t="s">
        <v>0</v>
      </c>
      <c r="D54" s="25">
        <v>16.546094420654683</v>
      </c>
      <c r="E54" s="25">
        <v>-20.271295814953866</v>
      </c>
      <c r="F54" s="25">
        <v>-0.98056754668949098</v>
      </c>
      <c r="G54" s="26">
        <v>0.1961817687231735</v>
      </c>
      <c r="H54" s="8"/>
      <c r="I54" s="8"/>
      <c r="J54" s="8"/>
      <c r="K54" s="36"/>
    </row>
    <row r="55" spans="2:11" x14ac:dyDescent="0.3">
      <c r="B55" s="20"/>
      <c r="C55" s="14" t="s">
        <v>2</v>
      </c>
      <c r="D55" s="27">
        <v>98.886102741603423</v>
      </c>
      <c r="E55" s="27">
        <v>30.351078490588002</v>
      </c>
      <c r="F55" s="27">
        <v>0.2675763592874929</v>
      </c>
      <c r="G55" s="28">
        <v>0.96353665833244262</v>
      </c>
      <c r="K55" s="48"/>
    </row>
    <row r="56" spans="2:11" x14ac:dyDescent="0.3">
      <c r="B56" s="62" t="s">
        <v>5</v>
      </c>
      <c r="C56" s="18" t="s">
        <v>11</v>
      </c>
      <c r="D56" s="22">
        <f>D55+((E55-E54)*F54-(D55-D54)*G54)/(F55*G54-G55*F54)*F55</f>
        <v>81.234099999999984</v>
      </c>
      <c r="E56" s="23">
        <f>E55+((E55-E54)*F54-(D55-D54)*G54)/(F55*G54-G55*F54)*G55</f>
        <v>-33.213399999999993</v>
      </c>
      <c r="F56" s="9"/>
      <c r="G56" s="9"/>
      <c r="H56" s="9"/>
      <c r="I56" s="9"/>
      <c r="J56" s="9"/>
      <c r="K56" s="49"/>
    </row>
    <row r="58" spans="2:11" x14ac:dyDescent="0.3">
      <c r="B58" s="42"/>
      <c r="C58" s="13" t="s">
        <v>0</v>
      </c>
      <c r="D58" s="25">
        <v>50</v>
      </c>
      <c r="E58" s="25">
        <v>100</v>
      </c>
      <c r="F58" s="25">
        <v>1</v>
      </c>
      <c r="G58" s="26">
        <v>2</v>
      </c>
      <c r="H58" s="8"/>
      <c r="I58" s="8"/>
      <c r="J58" s="8"/>
      <c r="K58" s="36"/>
    </row>
    <row r="59" spans="2:11" x14ac:dyDescent="0.3">
      <c r="B59" s="20"/>
      <c r="C59" s="14" t="s">
        <v>2</v>
      </c>
      <c r="D59" s="27">
        <v>-109.19999999999999</v>
      </c>
      <c r="E59" s="27">
        <v>20.400000000000006</v>
      </c>
      <c r="F59" s="27">
        <v>-2.2000000000000002</v>
      </c>
      <c r="G59" s="28">
        <v>0.39999999999999991</v>
      </c>
      <c r="K59" s="48"/>
    </row>
    <row r="60" spans="2:11" x14ac:dyDescent="0.3">
      <c r="B60" s="113" t="s">
        <v>62</v>
      </c>
      <c r="C60" s="13" t="s">
        <v>63</v>
      </c>
      <c r="D60" s="108">
        <f>D59+((E59-E58)*F58-(D59-D58)*G58)/(F59*G58-G59*F58)*F59</f>
        <v>0.24999999999998579</v>
      </c>
      <c r="E60" s="1">
        <f>E59+((E59-E58)*F58-(D59-D58)*G58)/(F59*G58-G59*F58)*G59</f>
        <v>0.50000000000001421</v>
      </c>
      <c r="F60" s="1">
        <f>(F58/SQRT(F58^2+G58^2)+F59/SQRT(F59^2+G59^2))</f>
        <v>-0.53665631459994967</v>
      </c>
      <c r="G60" s="2">
        <f>(G58/SQRT(F58^2+G58^2)+G59/SQRT(F59^2+G59^2))</f>
        <v>1.0733126291998989</v>
      </c>
      <c r="K60" s="48"/>
    </row>
    <row r="61" spans="2:11" x14ac:dyDescent="0.3">
      <c r="B61" s="11"/>
      <c r="C61" s="14" t="s">
        <v>64</v>
      </c>
      <c r="D61" s="109">
        <f>D59+((E59-E58)*F58-(D59-D58)*G58)/(F59*G58-G59*F58)*F59</f>
        <v>0.24999999999998579</v>
      </c>
      <c r="E61" s="4">
        <f>E59+((E59-E58)*F58-(D59-D58)*G58)/(F59*G58-G59*F58)*G59</f>
        <v>0.50000000000001421</v>
      </c>
      <c r="F61" s="4">
        <f>(G58/SQRT(F58^2+G58^2)+G59/SQRT(F59^2+G59^2))</f>
        <v>1.0733126291998989</v>
      </c>
      <c r="G61" s="5">
        <f>-(F58/SQRT(F58^2+G58^2)+F59/SQRT(F59^2+G59^2))</f>
        <v>0.53665631459994967</v>
      </c>
      <c r="H61" s="9"/>
      <c r="I61" s="9"/>
      <c r="J61" s="9"/>
      <c r="K61" s="49"/>
    </row>
    <row r="63" spans="2:11" x14ac:dyDescent="0.3">
      <c r="B63" s="42"/>
      <c r="C63" s="13" t="s">
        <v>0</v>
      </c>
      <c r="D63" s="77">
        <v>16.546094420654683</v>
      </c>
      <c r="E63" s="77">
        <v>-20.271295814953866</v>
      </c>
      <c r="F63" s="25">
        <v>-0.98056754668949098</v>
      </c>
      <c r="G63" s="26">
        <v>0.1961817687231735</v>
      </c>
      <c r="H63" s="8"/>
      <c r="I63" s="8"/>
      <c r="J63" s="8"/>
      <c r="K63" s="36"/>
    </row>
    <row r="64" spans="2:11" x14ac:dyDescent="0.3">
      <c r="B64" s="20"/>
      <c r="C64" s="14" t="s">
        <v>2</v>
      </c>
      <c r="D64" s="78">
        <v>81.234099999999984</v>
      </c>
      <c r="E64" s="78">
        <v>-33.213399999999993</v>
      </c>
      <c r="F64" s="27">
        <v>-0.52373417873959804</v>
      </c>
      <c r="G64" s="28">
        <v>0.85188174650004012</v>
      </c>
      <c r="K64" s="48"/>
    </row>
    <row r="65" spans="2:11" x14ac:dyDescent="0.3">
      <c r="B65" s="11" t="s">
        <v>57</v>
      </c>
      <c r="C65" s="18" t="s">
        <v>56</v>
      </c>
      <c r="D65" s="9"/>
      <c r="E65" s="9"/>
      <c r="F65" s="9"/>
      <c r="G65" s="9"/>
      <c r="H65" s="12"/>
      <c r="I65" s="12"/>
      <c r="J65" s="22">
        <f>ACOS((F63*F64+G63*G64)/SQRT(F63^2+G63^2)/SQRT(F64^2+G64^2))</f>
        <v>0.82210531184031566</v>
      </c>
      <c r="K65" s="44" t="str">
        <f>IF(J65&lt;0,"-"," ")&amp;TEXT(ABS(DEGREES(J65))/24,"[hh]° mm' ss''")</f>
        <v xml:space="preserve"> 47° 06' 11''</v>
      </c>
    </row>
    <row r="67" spans="2:11" x14ac:dyDescent="0.3">
      <c r="B67" s="42"/>
      <c r="C67" s="10" t="s">
        <v>11</v>
      </c>
      <c r="D67" s="29">
        <v>44</v>
      </c>
      <c r="E67" s="26">
        <v>44</v>
      </c>
      <c r="F67" s="8"/>
      <c r="G67" s="8"/>
      <c r="H67" s="8"/>
      <c r="I67" s="8"/>
      <c r="J67" s="8"/>
      <c r="K67" s="36"/>
    </row>
    <row r="68" spans="2:11" x14ac:dyDescent="0.3">
      <c r="B68" s="20"/>
      <c r="C68" s="20" t="s">
        <v>12</v>
      </c>
      <c r="D68" s="33">
        <v>-33</v>
      </c>
      <c r="E68" s="34">
        <v>33</v>
      </c>
      <c r="K68" s="48"/>
    </row>
    <row r="69" spans="2:11" x14ac:dyDescent="0.3">
      <c r="B69" s="20"/>
      <c r="C69" s="11" t="s">
        <v>21</v>
      </c>
      <c r="D69" s="33">
        <v>11</v>
      </c>
      <c r="E69" s="34">
        <v>11</v>
      </c>
      <c r="K69" s="48"/>
    </row>
    <row r="70" spans="2:11" x14ac:dyDescent="0.3">
      <c r="B70" s="62" t="s">
        <v>22</v>
      </c>
      <c r="C70" s="35" t="s">
        <v>8</v>
      </c>
      <c r="D70" s="24">
        <f>IF((E68-E67)=0,(D67+D68)/2,IF((E69-E68)=0,(D68+D69)/2,((E67+E68)/2-(E68+E69)/2+(D68-D69)/(E69-E68)*(D68+D69)/2-(D67-D68)/(E68-E67)*(D67+D68)/2)/((D68-D69)/(E69-E68)-(D67-D68)/(E68-E67))))</f>
        <v>3.6666666666666665</v>
      </c>
      <c r="E70" s="22">
        <f>IF((E68-E67)=0,(D68-D69)/(E69-E68)*(D70-(D68+D69)/2)+(E68+E69)/2,(D67-D68)/(E68-E67)*(D70-(D67+D68)/2)+(E67+E68)/2)</f>
        <v>51.333333333333336</v>
      </c>
      <c r="F70" s="12"/>
      <c r="G70" s="12"/>
      <c r="H70" s="23">
        <f>SQRT((D70-D68)^2+(E70-E68)^2)</f>
        <v>40.994579587496148</v>
      </c>
      <c r="I70" s="9"/>
      <c r="J70" s="9"/>
      <c r="K70" s="49"/>
    </row>
    <row r="72" spans="2:11" x14ac:dyDescent="0.3">
      <c r="B72" s="42"/>
      <c r="C72" s="10" t="s">
        <v>0</v>
      </c>
      <c r="D72" s="25">
        <v>-28</v>
      </c>
      <c r="E72" s="25">
        <v>6.8257000000000003</v>
      </c>
      <c r="F72" s="25">
        <v>3</v>
      </c>
      <c r="G72" s="26">
        <v>5</v>
      </c>
      <c r="H72" s="8"/>
      <c r="I72" s="8"/>
      <c r="J72" s="8"/>
      <c r="K72" s="36"/>
    </row>
    <row r="73" spans="2:11" x14ac:dyDescent="0.3">
      <c r="B73" s="20"/>
      <c r="C73" s="11" t="s">
        <v>8</v>
      </c>
      <c r="D73" s="27">
        <v>30.475000000000001</v>
      </c>
      <c r="E73" s="27">
        <v>49.348744000000003</v>
      </c>
      <c r="F73" s="9"/>
      <c r="G73" s="3"/>
      <c r="H73" s="32">
        <v>49</v>
      </c>
      <c r="K73" s="48"/>
    </row>
    <row r="74" spans="2:11" x14ac:dyDescent="0.3">
      <c r="B74" s="76" t="s">
        <v>17</v>
      </c>
      <c r="C74" s="15" t="s">
        <v>11</v>
      </c>
      <c r="D74" s="6">
        <f>D73+(((E73-E72)*F72-(D73-D72)*G72)*G72+SQRT(H73^2*(G72^2+F72^2)-((E73-E72)*F72-(D73-D72)*G72)^2)*F72)/(G72^2+F72^2)</f>
        <v>26.832481577819241</v>
      </c>
      <c r="E74" s="7">
        <f>E73-(((E73-E72)*F72-(D73-D72)*G72)*F72-SQRT(H73^2*(G72^2+F72^2)-((E73-E72)*F72-(D73-D72)*G72)^2)*G72)/(G72^2+F72^2)</f>
        <v>98.213169296365393</v>
      </c>
      <c r="K74" s="48"/>
    </row>
    <row r="75" spans="2:11" x14ac:dyDescent="0.3">
      <c r="B75" s="11"/>
      <c r="C75" s="14" t="s">
        <v>12</v>
      </c>
      <c r="D75" s="4">
        <f>D73+(((E73-E72)*F72-(D73-D72)*G72)*G72-SQRT(H73^2*(G72^2+F72^2)-((E73-E72)*F72-(D73-D72)*G72)^2)*F72)/(G72^2+F72^2)</f>
        <v>-14.354795695466287</v>
      </c>
      <c r="E75" s="5">
        <f>E73-(((E73-E72)*F72-(D73-D72)*G72)*F72+SQRT(H73^2*(G72^2+F72^2)-((E73-E72)*F72-(D73-D72)*G72)^2)*G72)/(G72^2+F72^2)</f>
        <v>29.567707174222846</v>
      </c>
      <c r="F75" s="9"/>
      <c r="G75" s="9"/>
      <c r="H75" s="9"/>
      <c r="I75" s="9"/>
      <c r="J75" s="9"/>
      <c r="K75" s="49"/>
    </row>
    <row r="77" spans="2:11" x14ac:dyDescent="0.3">
      <c r="B77" s="42"/>
      <c r="C77" s="13" t="s">
        <v>8</v>
      </c>
      <c r="D77" s="25">
        <v>30.475000000000001</v>
      </c>
      <c r="E77" s="25">
        <v>49.348999999999997</v>
      </c>
      <c r="F77" s="8"/>
      <c r="G77" s="8"/>
      <c r="H77" s="26">
        <v>48</v>
      </c>
      <c r="I77" s="8"/>
      <c r="J77" s="8"/>
      <c r="K77" s="36"/>
    </row>
    <row r="78" spans="2:11" x14ac:dyDescent="0.3">
      <c r="B78" s="20"/>
      <c r="C78" s="14" t="s">
        <v>9</v>
      </c>
      <c r="D78" s="27">
        <v>-24.48</v>
      </c>
      <c r="E78" s="27">
        <v>51.472999999999999</v>
      </c>
      <c r="F78" s="9"/>
      <c r="G78" s="9"/>
      <c r="H78" s="28">
        <v>49</v>
      </c>
      <c r="K78" s="48"/>
    </row>
    <row r="79" spans="2:11" x14ac:dyDescent="0.3">
      <c r="B79" s="76" t="s">
        <v>10</v>
      </c>
      <c r="C79" s="15" t="s">
        <v>11</v>
      </c>
      <c r="D79" s="6">
        <f>D77+(D78-D77)/2+((D78-D77)*(H77^2-H78^2)/2+SQRT(H77^2*((D78-D77)^2+(E78-E77)^2)-(H77^2-H78^2+(D78-D77)^2+(E78-E77)^2)^2/4)*(E78-E77))/((D78-D77)^2+(E78-E77)^2)</f>
        <v>5.4214280508027137</v>
      </c>
      <c r="E79" s="7">
        <f>E77+(E78-E77)/2+((E78-E77)*(H77^2-H78^2)/2+SQRT(H77^2*((D78-D77)^2+(E78-E77)^2)-(H77^2-H78^2+(D78-D77)^2+(E78-E77)^2)^2/4)*(D77-D78))/((D78-D77)^2+(E78-E77)^2)</f>
        <v>90.291869129878961</v>
      </c>
      <c r="K79" s="48"/>
    </row>
    <row r="80" spans="2:11" x14ac:dyDescent="0.3">
      <c r="B80" s="11"/>
      <c r="C80" s="14" t="s">
        <v>12</v>
      </c>
      <c r="D80" s="4">
        <f>D77+(D78-D77)/2+((D78-D77)*(H77^2-H78^2)/2-SQRT(H77^2*((D78-D77)^2+(E78-E77)^2)-(H77^2-H78^2+(D78-D77)^2+(E78-E77)^2)^2/4)*(E78-E77))/((D78-D77)^2+(E78-E77)^2)</f>
        <v>2.3360197121496409</v>
      </c>
      <c r="E80" s="5">
        <f>E77+(E78-E77)/2+((E78-E77)*(H77^2-H78^2)/2-SQRT(H77^2*((D78-D77)^2+(E78-E77)^2)-(H77^2-H78^2+(D78-D77)^2+(E78-E77)^2)^2/4)*(D77-D78))/((D78-D77)^2+(E78-E77)^2)</f>
        <v>10.462012608843452</v>
      </c>
      <c r="F80" s="9"/>
      <c r="G80" s="9"/>
      <c r="H80" s="9"/>
      <c r="I80" s="9"/>
      <c r="J80" s="9"/>
      <c r="K80" s="49"/>
    </row>
    <row r="82" spans="2:11" x14ac:dyDescent="0.3">
      <c r="B82" s="42"/>
      <c r="C82" s="13" t="s">
        <v>11</v>
      </c>
      <c r="D82" s="29">
        <v>81.234099999999998</v>
      </c>
      <c r="E82" s="26">
        <v>-33.2134</v>
      </c>
      <c r="F82" s="8"/>
      <c r="G82" s="8"/>
      <c r="H82" s="8"/>
      <c r="I82" s="8"/>
      <c r="J82" s="8"/>
      <c r="K82" s="36"/>
    </row>
    <row r="83" spans="2:11" x14ac:dyDescent="0.3">
      <c r="B83" s="20"/>
      <c r="C83" s="14" t="s">
        <v>8</v>
      </c>
      <c r="D83" s="30">
        <v>30.475000000000001</v>
      </c>
      <c r="E83" s="27">
        <v>49.348999999999997</v>
      </c>
      <c r="F83" s="12"/>
      <c r="G83" s="12"/>
      <c r="H83" s="32">
        <v>71</v>
      </c>
      <c r="K83" s="48"/>
    </row>
    <row r="84" spans="2:11" x14ac:dyDescent="0.3">
      <c r="B84" s="76" t="s">
        <v>25</v>
      </c>
      <c r="C84" s="15" t="s">
        <v>85</v>
      </c>
      <c r="D84" s="79">
        <f>D83+((D82-D83)*H83+(E82-E83)*SQRT((D82-D83)^2+(E83-E82)^2-H83^2))/((D82-D83)^2+(E82-E83)^2)*H83</f>
        <v>16.546094420654683</v>
      </c>
      <c r="E84" s="79">
        <f>E83+((E82-E83)*H83+SQRT((D83-D82)^2+(E83-E82)^2-H83^2)*(D83-D82))/((D83-D82)^2+(E83-E82)^2)*H83</f>
        <v>-20.271295814953881</v>
      </c>
      <c r="F84" s="1">
        <f>(E84-E83)/H83</f>
        <v>-0.9805675466894912</v>
      </c>
      <c r="G84" s="2">
        <f>(D83-D84)/H83</f>
        <v>0.1961817687231735</v>
      </c>
      <c r="K84" s="48"/>
    </row>
    <row r="85" spans="2:11" x14ac:dyDescent="0.3">
      <c r="B85" s="11" t="s">
        <v>58</v>
      </c>
      <c r="C85" s="14" t="s">
        <v>89</v>
      </c>
      <c r="D85" s="80">
        <f>D83+((D82-D83)*H83-(E82-E83)*SQRT((D82-D83)^2+(E82-E83)^2-H83^2))/((D82-D83)^2+(E82-E83)^2)*H83</f>
        <v>98.886102741603423</v>
      </c>
      <c r="E85" s="80">
        <f>E83+((E82-E83)*H83-SQRT((D83-D82)^2+(E83-E82)^2-H83^2)*(D83-D82))/((D83-D82)^2+(E83-E82)^2)*H83</f>
        <v>30.351078490587998</v>
      </c>
      <c r="F85" s="4">
        <f>(E83-E85)/H83</f>
        <v>0.26757635928749296</v>
      </c>
      <c r="G85" s="5">
        <f>(D85-D83)/H83</f>
        <v>0.96353665833244262</v>
      </c>
      <c r="H85" s="9"/>
      <c r="I85" s="9"/>
      <c r="J85" s="9"/>
      <c r="K85" s="49"/>
    </row>
    <row r="87" spans="2:11" x14ac:dyDescent="0.3">
      <c r="B87" s="42"/>
      <c r="C87" s="13" t="s">
        <v>8</v>
      </c>
      <c r="D87" s="29">
        <v>81.234099999999998</v>
      </c>
      <c r="E87" s="25">
        <v>-33.2134</v>
      </c>
      <c r="F87" s="8"/>
      <c r="G87" s="8"/>
      <c r="H87" s="26">
        <v>1</v>
      </c>
      <c r="I87" s="8"/>
      <c r="J87" s="8"/>
      <c r="K87" s="36"/>
    </row>
    <row r="88" spans="2:11" x14ac:dyDescent="0.3">
      <c r="B88" s="20"/>
      <c r="C88" s="14" t="s">
        <v>9</v>
      </c>
      <c r="D88" s="30">
        <v>30.475000000000001</v>
      </c>
      <c r="E88" s="27">
        <v>49.348999999999997</v>
      </c>
      <c r="F88" s="9"/>
      <c r="G88" s="9"/>
      <c r="H88" s="28">
        <v>71</v>
      </c>
      <c r="I88" s="9"/>
      <c r="J88" s="9"/>
      <c r="K88" s="49"/>
    </row>
    <row r="89" spans="2:11" x14ac:dyDescent="0.3">
      <c r="B89" s="76" t="s">
        <v>80</v>
      </c>
      <c r="C89" s="13" t="s">
        <v>85</v>
      </c>
      <c r="D89" s="118">
        <f>D87+IFERROR((D88*(H87-H88)-D87*(H87-H88)-(E87-E88)*SQRT((D87-D88)^2+(E87-E88)^2-(H87-H88)^2))/((D87-D88)^2+(E87-E88)^2),(E88-E87)/SQRT((D88-D87)^2+(E88-E87)^2))*H87</f>
        <v>82.201551197568151</v>
      </c>
      <c r="E89" s="119">
        <f>E87+(E88*(H87-H88)-E87*(H87-H88)-SQRT((D88-D87)^2+(E88-E87)^2-(H87-H88)^2)*(D88-D87))/((D88-D87)^2+(E88-E87)^2)*H87</f>
        <v>-33.466457662053408</v>
      </c>
      <c r="F89" s="6">
        <f>(E89-E87)/H87</f>
        <v>-0.25305766205340774</v>
      </c>
      <c r="G89" s="7">
        <f>(D87-D89)/H87</f>
        <v>-0.96745119756815257</v>
      </c>
      <c r="K89" s="48"/>
    </row>
    <row r="90" spans="2:11" x14ac:dyDescent="0.3">
      <c r="B90" s="20" t="s">
        <v>58</v>
      </c>
      <c r="C90" s="15" t="s">
        <v>81</v>
      </c>
      <c r="D90" s="118">
        <f>D88+IFERROR((D88*(H87-H88)-D87*(H87-H88)-(E87-E88)*SQRT((D87-D88)^2+(E87-E88)^2-(H87-H88)^2))/((D87-D88)^2+(E87-E88)^2),(E88-E87)/SQRT((D88-D87)^2+(E88-E87)^2))*H88</f>
        <v>99.164035027339281</v>
      </c>
      <c r="E90" s="119">
        <f>E88+(E88*(H87-H88)-E87*(H87-H88)-SQRT((D88-D87)^2+(E88-E87)^2-(H87-H88)^2)*(D88-D87))/((D88-D87)^2+(E88-E87)^2)*H88</f>
        <v>31.381905994208203</v>
      </c>
      <c r="F90" s="6">
        <f>(E88-E90)/H88</f>
        <v>0.25305766205340552</v>
      </c>
      <c r="G90" s="7">
        <f>(D90-D88)/H88</f>
        <v>0.967451197568159</v>
      </c>
      <c r="K90" s="48"/>
    </row>
    <row r="91" spans="2:11" x14ac:dyDescent="0.3">
      <c r="B91" s="20"/>
      <c r="C91" s="15" t="s">
        <v>86</v>
      </c>
      <c r="D91" s="118">
        <f>D87+IFERROR((D88*(H87-H88)-D87*(H87-H88)+(E87-E88)*SQRT((D87-D88)^2+(E88-E87)^2-(H87-H88)^2))/((D87-D88)^2+(E87-E88)^2),(E87-E88)/SQRT((D88-D87)^2+(E88-E87)^2))*H87</f>
        <v>81.023195876694501</v>
      </c>
      <c r="E91" s="119">
        <f>E87+(E88*(H87-H88)-E87*(H87-H88)+SQRT((D88-D87)^2+(E88-E87)^2-(H87-H88)^2)*(D88-D87))/((D88-D87)^2+(E88-E87)^2)*H87</f>
        <v>-34.190906752290097</v>
      </c>
      <c r="F91" s="6">
        <f>(E91-E88)/H88</f>
        <v>-1.1766184049618322</v>
      </c>
      <c r="G91" s="7">
        <f>(D88-D91)/H88</f>
        <v>-0.71194642079851411</v>
      </c>
      <c r="K91" s="48"/>
    </row>
    <row r="92" spans="2:11" x14ac:dyDescent="0.3">
      <c r="B92" s="20"/>
      <c r="C92" s="15" t="s">
        <v>82</v>
      </c>
      <c r="D92" s="118">
        <f>D88+IFERROR((D88*(H87-H88)-D87*(H87-H88)+(E87-E88)*SQRT((D87-D88)^2+(E88-E87)^2-(H87-H88)^2))/((D87-D88)^2+(E87-E88)^2),(E87-E88)/SQRT((D88-D87)^2+(E88-E87)^2))*H88</f>
        <v>15.500807245309581</v>
      </c>
      <c r="E92" s="119">
        <f>E88+(E88*(H87-H88)-E87*(H87-H88)+SQRT((D88-D87)^2+(E88-E87)^2-(H87-H88)^2)*(D88-D87))/((D88-D87)^2+(E88-E87)^2)*H88</f>
        <v>-20.053979412597108</v>
      </c>
      <c r="F92" s="6">
        <f>(E87-E92)/H87</f>
        <v>-13.159420587402892</v>
      </c>
      <c r="G92" s="7">
        <f>(D92-D87)/H87</f>
        <v>-65.73329275469041</v>
      </c>
      <c r="K92" s="48"/>
    </row>
    <row r="93" spans="2:11" x14ac:dyDescent="0.3">
      <c r="B93" s="20"/>
      <c r="C93" s="15" t="s">
        <v>87</v>
      </c>
      <c r="D93" s="118">
        <f>D87+(D88*(H87+H88)-D87*(H87+H88)-(E87-E88)*SQRT((D88-D87)^2+(E88-E87)^2-(H87+H88)^2))/((D87-D88)^2+(E87-E88)^2)*H87</f>
        <v>81.41527173186735</v>
      </c>
      <c r="E93" s="119">
        <f>E87+(E88*(H87+H88)-E87*(H87+H88)-SQRT((D88-D87)^2+(E88-E87)^2-(H87+H88)^2)*(D88-D87))/((D88-D87)^2+(E88-E87)^2)*H87</f>
        <v>-32.229948525054652</v>
      </c>
      <c r="F93" s="6">
        <f>(E93-E87)/H87</f>
        <v>0.98345147494534757</v>
      </c>
      <c r="G93" s="7">
        <f>(D87-D93)/H87</f>
        <v>-0.18117173186735158</v>
      </c>
      <c r="K93" s="48"/>
    </row>
    <row r="94" spans="2:11" x14ac:dyDescent="0.3">
      <c r="B94" s="20"/>
      <c r="C94" s="15" t="s">
        <v>83</v>
      </c>
      <c r="D94" s="118">
        <f>D88-(D88*(H87+H88)-D87*(H87+H88)-(E87-E88)*SQRT((D88-D87)^2+(E88-E87)^2-(H87+H88)^2))/((D87-D88)^2+(E87-E88)^2)*H88</f>
        <v>17.611807037418167</v>
      </c>
      <c r="E94" s="119">
        <f>E88-(E88*(H87+H88)-E87*(H87+H88)-SQRT((D88-D87)^2+(E88-E87)^2-(H87+H88)^2)*(D88-D87))/((D88-D87)^2+(E88-E87)^2)*H88</f>
        <v>-20.476054721119887</v>
      </c>
      <c r="F94" s="6">
        <f>(E94-E88)/H88</f>
        <v>-0.98345147494535046</v>
      </c>
      <c r="G94" s="7">
        <f>(D88-D94)/H88</f>
        <v>0.18117173186734978</v>
      </c>
      <c r="K94" s="48"/>
    </row>
    <row r="95" spans="2:11" x14ac:dyDescent="0.3">
      <c r="B95" s="76"/>
      <c r="C95" s="15" t="s">
        <v>88</v>
      </c>
      <c r="D95" s="118">
        <f>D87+(D88*(H87+H88)-D87*(H87+H88)+(E87-E88)*SQRT((D88-D87)^2+(E88-E87)^2-(H87+H88)^2))/((D87-D88)^2+(E87-E88)^2)*H87</f>
        <v>80.274765563176771</v>
      </c>
      <c r="E95" s="119">
        <f>E87+(E88*(H87+H88)-E87*(H87+H88)+SQRT((D88-D87)^2+(E88-E87)^2-(H87+H88)^2)*(D88-D87))/((D88-D87)^2+(E88-E87)^2)*H87</f>
        <v>-32.93112807733489</v>
      </c>
      <c r="F95" s="6">
        <f>(E95-E87)/H87</f>
        <v>0.28227192266511025</v>
      </c>
      <c r="G95" s="7">
        <f>(D87-D95)/H87</f>
        <v>0.95933443682322661</v>
      </c>
      <c r="K95" s="48"/>
    </row>
    <row r="96" spans="2:11" x14ac:dyDescent="0.3">
      <c r="B96" s="11"/>
      <c r="C96" s="14" t="s">
        <v>84</v>
      </c>
      <c r="D96" s="120">
        <f>D88-(D88*(H87+H88)-D87*(H87+H88)+(E87-E88)*SQRT((D88-D87)^2+(E88-E87)^2-(H87+H88)^2))/((D87-D88)^2+(E87-E88)^2)*H88</f>
        <v>98.587745014449212</v>
      </c>
      <c r="E96" s="80">
        <f>E88-(E88*(H87+H88)-E87*(H87+H88)+SQRT((D88-D87)^2+(E88-E87)^2-(H87+H88)^2)*(D88-D87))/((D88-D87)^2+(E88-E87)^2)*H88</f>
        <v>29.307693490777019</v>
      </c>
      <c r="F96" s="4">
        <f>(E96-E88)/H88</f>
        <v>-0.28227192266511236</v>
      </c>
      <c r="G96" s="5">
        <f>(D88-D96)/H88</f>
        <v>-0.95933443682322839</v>
      </c>
      <c r="H96" s="9"/>
      <c r="I96" s="9"/>
      <c r="J96" s="9"/>
      <c r="K96" s="49"/>
    </row>
  </sheetData>
  <sheetProtection sheet="1" objects="1" scenarios="1"/>
  <hyperlinks>
    <hyperlink ref="B79" location="Tabelle2!A1" display="Schnittpunkte zweier Kreise" xr:uid="{A2C3BDDB-35C9-458B-AE70-6BBF903835C9}"/>
    <hyperlink ref="B56" location="Tabelle3!A1" display="Schnittpunkt zweier Geraden" xr:uid="{515D8DB7-D4D2-4CD6-BCC6-1B62805BC3BE}"/>
    <hyperlink ref="B44" location="Tabelle4!A1" display="Lot von Punkt auf Gerade" xr:uid="{4151AC03-FC00-442B-8322-33AB92A9B480}"/>
    <hyperlink ref="B40" location="Tabelle4!A1" display="Abstand von Punkt zu Gerade" xr:uid="{E8F0BD42-82C0-4A3C-8EA0-2C1B377B2B2C}"/>
    <hyperlink ref="B70" location="Tabelle6!A1" display="Kreis aus drei Punkten" xr:uid="{C6E33A32-341D-43C4-BB8C-BFED34BC628C}"/>
    <hyperlink ref="B84" location="Tabelle7!A1" display="Tangenten von Punkt an Kreis" xr:uid="{3DD57068-20EE-452B-B5BD-D7B635CD8DEF}"/>
    <hyperlink ref="B74" location="Tabelle5!A1" display="Schnittpunkte von Gerade mit Kreis" xr:uid="{2C45FFDB-E76A-442F-85F1-A25D1889F71F}"/>
    <hyperlink ref="B15" location="Tabelle8!A1" display="Punkt gedreht um Punkt" xr:uid="{FD3BFBA2-5B7B-41F8-BA49-BCF91A4FCE28}"/>
    <hyperlink ref="B32" location="Tabelle9!A1" display="Gerade gedreht um Punkt" xr:uid="{751B2EDD-AD78-4629-8185-4815F224FDBC}"/>
    <hyperlink ref="B60" location="Tabelle10!A1" display="Winkelhablierende Geraden" xr:uid="{D6FDF09E-D15A-4085-A648-8BE42CADF693}"/>
    <hyperlink ref="B48" location="Tabelle11!A1" display="Punkt gespiegelt an Gerade" xr:uid="{2D3DEBC7-FC81-4AC4-83F5-A9699638EBF7}"/>
    <hyperlink ref="B52" location="Tabelle12!A1" display="Gerade gespiegelt an Gerade" xr:uid="{6696FDF9-7625-43C8-BE1A-F553A34E54D8}"/>
    <hyperlink ref="B89" location="Tabelle13!A1" display="Tangenten von Kreis an Kris" xr:uid="{DC4099F1-0A2E-428C-94F2-F3A0A38452E2}"/>
  </hyperlink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6F6C6-47C5-4ED7-B4AC-CAD10C22D3C1}">
  <dimension ref="B1:J30"/>
  <sheetViews>
    <sheetView workbookViewId="0"/>
  </sheetViews>
  <sheetFormatPr baseColWidth="10" defaultRowHeight="14.4" x14ac:dyDescent="0.3"/>
  <sheetData>
    <row r="1" spans="2:10" ht="15" thickBot="1" x14ac:dyDescent="0.35"/>
    <row r="2" spans="2:10" ht="15.6" thickTop="1" thickBot="1" x14ac:dyDescent="0.35">
      <c r="B2" s="51" t="s">
        <v>65</v>
      </c>
      <c r="C2" s="52"/>
      <c r="D2" s="52"/>
      <c r="E2" s="52"/>
      <c r="F2" s="52"/>
      <c r="G2" s="52"/>
      <c r="H2" s="52"/>
      <c r="I2" s="52"/>
      <c r="J2" s="53"/>
    </row>
    <row r="3" spans="2:10" ht="15" thickTop="1" x14ac:dyDescent="0.3">
      <c r="B3" s="37"/>
      <c r="C3" s="37"/>
      <c r="D3" s="37"/>
      <c r="E3" s="37"/>
      <c r="F3" s="37"/>
      <c r="G3" s="37"/>
      <c r="H3" s="37"/>
    </row>
    <row r="4" spans="2:10" x14ac:dyDescent="0.3">
      <c r="C4" s="39" t="s">
        <v>26</v>
      </c>
      <c r="D4" s="40"/>
      <c r="E4" s="39" t="s">
        <v>27</v>
      </c>
      <c r="F4" s="40"/>
      <c r="G4" s="38" t="s">
        <v>28</v>
      </c>
      <c r="H4" s="41" t="s">
        <v>13</v>
      </c>
      <c r="I4" s="41" t="s">
        <v>29</v>
      </c>
      <c r="J4" s="41" t="s">
        <v>29</v>
      </c>
    </row>
    <row r="5" spans="2:10" ht="15.6" x14ac:dyDescent="0.3">
      <c r="C5" s="38" t="s">
        <v>93</v>
      </c>
      <c r="D5" s="38" t="s">
        <v>94</v>
      </c>
      <c r="E5" s="38" t="s">
        <v>96</v>
      </c>
      <c r="F5" s="38" t="s">
        <v>95</v>
      </c>
      <c r="G5" s="38" t="s">
        <v>6</v>
      </c>
      <c r="H5" s="38" t="s">
        <v>7</v>
      </c>
      <c r="I5" s="38" t="s">
        <v>33</v>
      </c>
      <c r="J5" s="38" t="s">
        <v>36</v>
      </c>
    </row>
    <row r="6" spans="2:10" x14ac:dyDescent="0.3">
      <c r="B6" s="13" t="s">
        <v>0</v>
      </c>
      <c r="C6" s="25">
        <v>16.546094420654683</v>
      </c>
      <c r="D6" s="25">
        <v>-20.271295814953866</v>
      </c>
      <c r="E6" s="25">
        <v>1</v>
      </c>
      <c r="F6" s="26">
        <v>-0.1</v>
      </c>
      <c r="G6" s="110" t="s">
        <v>98</v>
      </c>
      <c r="H6" s="8"/>
      <c r="I6" s="8"/>
      <c r="J6" s="36"/>
    </row>
    <row r="7" spans="2:10" ht="15.6" x14ac:dyDescent="0.35">
      <c r="B7" s="14" t="s">
        <v>2</v>
      </c>
      <c r="C7" s="27">
        <v>98.886102741603423</v>
      </c>
      <c r="D7" s="27">
        <v>30.351078490588002</v>
      </c>
      <c r="E7" s="27">
        <v>1</v>
      </c>
      <c r="F7" s="28">
        <v>2</v>
      </c>
      <c r="G7" s="111" t="s">
        <v>102</v>
      </c>
      <c r="J7" s="48"/>
    </row>
    <row r="8" spans="2:10" ht="15.6" x14ac:dyDescent="0.35">
      <c r="B8" s="13" t="s">
        <v>63</v>
      </c>
      <c r="C8" s="108">
        <f>C7+((D7-D6)*E6-(C7-C6)*F6)/(E7*F6-F7*E6)*E7</f>
        <v>70.859257437966875</v>
      </c>
      <c r="D8" s="1">
        <f>D7+((D7-D6)*E6-(C7-C6)*F6)/(E7*F6-F7*E6)*F7</f>
        <v>-25.702612116685088</v>
      </c>
      <c r="E8" s="1">
        <f>(E6/SQRT(E6^2+F6^2)+E7/SQRT(E7^2+F7^2))</f>
        <v>1.4422507857099471</v>
      </c>
      <c r="F8" s="2">
        <f>(F6/SQRT(E6^2+F6^2)+F7/SQRT(E7^2+F7^2))</f>
        <v>0.79492347197891688</v>
      </c>
      <c r="G8" s="111" t="s">
        <v>104</v>
      </c>
      <c r="J8" s="48"/>
    </row>
    <row r="9" spans="2:10" x14ac:dyDescent="0.3">
      <c r="B9" s="14" t="s">
        <v>64</v>
      </c>
      <c r="C9" s="109">
        <f>C7+((D7-D6)*E6-(C7-C6)*F6)/(E7*F6-F7*E6)*E7</f>
        <v>70.859257437966875</v>
      </c>
      <c r="D9" s="4">
        <f>D7+((D7-D6)*E6-(C7-C6)*F6)/(E7*F6-F7*E6)*F7</f>
        <v>-25.702612116685088</v>
      </c>
      <c r="E9" s="4">
        <f>(F6/SQRT(E6^2+F6^2)+F7/SQRT(E7^2+F7^2))</f>
        <v>0.79492347197891688</v>
      </c>
      <c r="F9" s="5">
        <f>-(E6/SQRT(E6^2+F6^2)+E7/SQRT(E7^2+F7^2))</f>
        <v>-1.4422507857099471</v>
      </c>
      <c r="G9" s="112"/>
      <c r="H9" s="9"/>
      <c r="I9" s="9"/>
      <c r="J9" s="49"/>
    </row>
    <row r="11" spans="2:10" ht="15" thickBot="1" x14ac:dyDescent="0.35"/>
    <row r="12" spans="2:10" ht="15.6" thickTop="1" thickBot="1" x14ac:dyDescent="0.35">
      <c r="B12" s="54" t="s">
        <v>44</v>
      </c>
      <c r="C12" s="55"/>
      <c r="D12" s="56"/>
      <c r="E12" s="56"/>
    </row>
    <row r="13" spans="2:10" ht="15" thickBot="1" x14ac:dyDescent="0.35">
      <c r="B13" s="57" t="s">
        <v>3</v>
      </c>
      <c r="C13" s="58" t="s">
        <v>45</v>
      </c>
      <c r="D13" s="58" t="s">
        <v>46</v>
      </c>
      <c r="E13" s="59" t="s">
        <v>47</v>
      </c>
    </row>
    <row r="14" spans="2:10" ht="15" thickTop="1" x14ac:dyDescent="0.3">
      <c r="B14" s="63">
        <f>IFERROR(C8,C6)+MIN(IF(E6=0,C29/SQRT(E6^2+F6^2),C29/ABS(E6)),IF(F6=0,C29/SQRT(E6^2+F6^2),C29/ABS(F6)))*E6</f>
        <v>170.85925743796687</v>
      </c>
      <c r="D14">
        <f>IFERROR(D8,D6)+MIN(IF(E6=0,C29/SQRT(E6^2+F6^2),C29/ABS(E6)),IF(F6=0,C29/SQRT(E6^2+F6^2),C29/ABS(F6)))*F6</f>
        <v>-35.702612116685088</v>
      </c>
      <c r="E14" s="45"/>
    </row>
    <row r="15" spans="2:10" x14ac:dyDescent="0.3">
      <c r="B15" s="63">
        <f>IFERROR(C8,C6)-MIN(IF(E6=0,C29/SQRT(E6^2+F6^2),C29/ABS(E6)),IF(F6=0,C29/SQRT(E6^2+F6^2),C29/ABS(F6)))*E6</f>
        <v>-29.140742562033125</v>
      </c>
      <c r="D15">
        <f>IFERROR(D8,D6)-MIN(IF(E6=0,C29/SQRT(E6^2+F6^2),C29/ABS(E6)),IF(F6=0,C29/SQRT(E6^2+F6^2),C29/ABS(F6)))*F6</f>
        <v>-15.702612116685088</v>
      </c>
      <c r="E15" s="45"/>
    </row>
    <row r="16" spans="2:10" x14ac:dyDescent="0.3">
      <c r="B16" s="64">
        <f>IFERROR(C8,NA())</f>
        <v>70.859257437966875</v>
      </c>
      <c r="C16" s="60">
        <f>IFERROR(D8,NA())</f>
        <v>-25.702612116685088</v>
      </c>
      <c r="E16" s="45"/>
    </row>
    <row r="17" spans="2:7" x14ac:dyDescent="0.3">
      <c r="B17" s="63">
        <f>IFERROR(C8,C7)+MIN(IF(E7=0,C29/SQRT(E7^2+F7^2),C29/ABS(E7)),IF(F7=0,C29/SQRT(E7^2+F7^2),C29/ABS(F7)))*E7</f>
        <v>120.85925743796687</v>
      </c>
      <c r="D17">
        <f>IFERROR(D8,D7)+MIN(IF(E7=0,C29/SQRT(E7^2+F7^2),C29/ABS(E7)),IF(F7=0,C29/SQRT(E7^2+F7^2),C29/ABS(F7)))*F7</f>
        <v>74.297387883314912</v>
      </c>
      <c r="E17" s="45"/>
    </row>
    <row r="18" spans="2:7" x14ac:dyDescent="0.3">
      <c r="B18" s="63">
        <f>IFERROR(C8,C7)-MIN(IF(E7=0,C29/SQRT(E7^2+F7^2),C29/ABS(E7)),IF(F7=0,C29/SQRT(E7^2+F7^2),C29/ABS(F7)))*E7</f>
        <v>20.859257437966875</v>
      </c>
      <c r="D18">
        <f>IFERROR(D8,D7)-MIN(IF(E7=0,C29/SQRT(E7^2+F7^2),C29/ABS(E7)),IF(F7=0,C29/SQRT(E7^2+F7^2),C29/ABS(F7)))*F7</f>
        <v>-125.70261211668509</v>
      </c>
      <c r="E18" s="45"/>
      <c r="G18" s="19"/>
    </row>
    <row r="19" spans="2:7" x14ac:dyDescent="0.3">
      <c r="B19" s="65">
        <f>C8+MIN(IF(E8=0,C29/SQRT(E8^2+F8^2),C29/ABS(E8)),IF(F8=0,C29/SQRT(E8^2+F8^2),C29/ABS(F8)))*E8</f>
        <v>170.85925743796687</v>
      </c>
      <c r="E19" s="45">
        <f>D8+MIN(IF(E8=0,C29/SQRT(E8^2+F8^2),C29/ABS(E8)),IF(F8=0,C29/SQRT(E8^2+F8^2),C29/ABS(F8)))*F8</f>
        <v>29.414256589863491</v>
      </c>
    </row>
    <row r="20" spans="2:7" x14ac:dyDescent="0.3">
      <c r="B20" s="63">
        <f>C8-MIN(IF(E8=0,C29/SQRT(E8^2+F8^2),C29/ABS(E8)),IF(F8=0,C29/SQRT(E8^2+F8^2),C29/ABS(F8)))*E8</f>
        <v>-29.140742562033125</v>
      </c>
      <c r="E20" s="45">
        <f>D8-MIN(IF(E8=0,C29/SQRT(E8^2+F8^2),C29/ABS(E8)),IF(F8=0,C29/SQRT(E8^2+F8^2),C29/ABS(F8)))*F8</f>
        <v>-80.819480823233675</v>
      </c>
    </row>
    <row r="21" spans="2:7" x14ac:dyDescent="0.3">
      <c r="B21" s="63"/>
      <c r="E21" s="45"/>
    </row>
    <row r="22" spans="2:7" x14ac:dyDescent="0.3">
      <c r="B22" s="63">
        <f>C9+MIN(IF(E9=0,C29/SQRT(E9^2+F9^2),C29/ABS(E9)),IF(F9=0,C29/SQRT(E9^2+F9^2),C29/ABS(F9)))*E9</f>
        <v>125.97612614451546</v>
      </c>
      <c r="E22" s="45">
        <f>D9+MIN(IF(E9=0,C29/SQRT(E9^2+F9^2),C29/ABS(E9)),IF(F9=0,C29/SQRT(E9^2+F9^2),C29/ABS(F9)))*F9</f>
        <v>-125.70261211668509</v>
      </c>
    </row>
    <row r="23" spans="2:7" x14ac:dyDescent="0.3">
      <c r="B23" s="63">
        <f>C9-MIN(IF(E9=0,C29/SQRT(E9^2+F9^2),C29/ABS(E9)),IF(F9=0,C29/SQRT(E9^2+F9^2),C29/ABS(F9)))*E9</f>
        <v>15.742388731418295</v>
      </c>
      <c r="E23" s="45">
        <f>D9-MIN(IF(E9=0,C29/SQRT(E9^2+F9^2),C29/ABS(E9)),IF(F9=0,C29/SQRT(E9^2+F9^2),C29/ABS(F9)))*F9</f>
        <v>74.297387883314912</v>
      </c>
    </row>
    <row r="24" spans="2:7" x14ac:dyDescent="0.3">
      <c r="B24" s="63"/>
      <c r="E24" s="45"/>
    </row>
    <row r="25" spans="2:7" x14ac:dyDescent="0.3">
      <c r="B25" s="65">
        <f>C8-C29</f>
        <v>-29.140742562033125</v>
      </c>
      <c r="D25" s="19">
        <f>D8-C29</f>
        <v>-125.70261211668509</v>
      </c>
      <c r="E25" s="66"/>
    </row>
    <row r="26" spans="2:7" x14ac:dyDescent="0.3">
      <c r="B26" s="63"/>
      <c r="E26" s="45"/>
    </row>
    <row r="27" spans="2:7" x14ac:dyDescent="0.3">
      <c r="B27" s="63">
        <f>B25+2*C29</f>
        <v>170.85925743796687</v>
      </c>
      <c r="D27">
        <f>D25+2*C29</f>
        <v>74.297387883314912</v>
      </c>
      <c r="E27" s="45"/>
    </row>
    <row r="28" spans="2:7" ht="15" thickBot="1" x14ac:dyDescent="0.35">
      <c r="B28" s="67"/>
      <c r="C28" s="46"/>
      <c r="D28" s="46"/>
      <c r="E28" s="47"/>
    </row>
    <row r="29" spans="2:7" ht="15.6" thickTop="1" thickBot="1" x14ac:dyDescent="0.35">
      <c r="B29" s="68" t="s">
        <v>52</v>
      </c>
      <c r="C29" s="101">
        <v>100</v>
      </c>
      <c r="D29" s="69"/>
      <c r="E29" s="70"/>
    </row>
    <row r="30" spans="2:7" ht="15" thickTop="1" x14ac:dyDescent="0.3"/>
  </sheetData>
  <sheetProtection sheet="1" objects="1" scenarios="1"/>
  <pageMargins left="0.7" right="0.7" top="0.78740157499999996" bottom="0.78740157499999996"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18634-4F23-4BBE-8DCD-AABB79AE20EE}">
  <dimension ref="B1:L23"/>
  <sheetViews>
    <sheetView workbookViewId="0"/>
  </sheetViews>
  <sheetFormatPr baseColWidth="10" defaultRowHeight="14.4" x14ac:dyDescent="0.3"/>
  <sheetData>
    <row r="1" spans="2:12" ht="15" thickBot="1" x14ac:dyDescent="0.35"/>
    <row r="2" spans="2:12" ht="15.6" thickTop="1" thickBot="1" x14ac:dyDescent="0.35">
      <c r="B2" s="51" t="s">
        <v>66</v>
      </c>
      <c r="C2" s="52"/>
      <c r="D2" s="52"/>
      <c r="E2" s="52"/>
      <c r="F2" s="52"/>
      <c r="G2" s="52"/>
      <c r="H2" s="52"/>
      <c r="I2" s="52"/>
      <c r="J2" s="53"/>
    </row>
    <row r="3" spans="2:12" ht="15" thickTop="1" x14ac:dyDescent="0.3">
      <c r="B3" s="37"/>
      <c r="C3" s="37"/>
      <c r="D3" s="37"/>
      <c r="E3" s="37"/>
      <c r="F3" s="37"/>
      <c r="G3" s="37"/>
      <c r="H3" s="37"/>
    </row>
    <row r="4" spans="2:12" x14ac:dyDescent="0.3">
      <c r="C4" s="39" t="s">
        <v>26</v>
      </c>
      <c r="D4" s="40"/>
      <c r="E4" s="39" t="s">
        <v>27</v>
      </c>
      <c r="F4" s="40"/>
      <c r="G4" s="38" t="s">
        <v>28</v>
      </c>
      <c r="H4" s="41" t="s">
        <v>13</v>
      </c>
      <c r="I4" s="41" t="s">
        <v>29</v>
      </c>
      <c r="J4" s="41" t="s">
        <v>29</v>
      </c>
    </row>
    <row r="5" spans="2:12" ht="15.6" x14ac:dyDescent="0.3">
      <c r="C5" s="38" t="s">
        <v>93</v>
      </c>
      <c r="D5" s="38" t="s">
        <v>94</v>
      </c>
      <c r="E5" s="38" t="s">
        <v>96</v>
      </c>
      <c r="F5" s="38" t="s">
        <v>95</v>
      </c>
      <c r="G5" s="38" t="s">
        <v>6</v>
      </c>
      <c r="H5" s="38" t="s">
        <v>7</v>
      </c>
      <c r="I5" s="38" t="s">
        <v>33</v>
      </c>
      <c r="J5" s="38" t="s">
        <v>36</v>
      </c>
    </row>
    <row r="6" spans="2:12" x14ac:dyDescent="0.3">
      <c r="B6" s="16" t="s">
        <v>11</v>
      </c>
      <c r="C6" s="29">
        <v>50</v>
      </c>
      <c r="D6" s="26">
        <v>33</v>
      </c>
      <c r="E6" s="8"/>
      <c r="F6" s="8"/>
      <c r="G6" s="8" t="s">
        <v>98</v>
      </c>
      <c r="H6" s="8"/>
      <c r="I6" s="8"/>
      <c r="J6" s="36"/>
    </row>
    <row r="7" spans="2:12" ht="15.6" x14ac:dyDescent="0.35">
      <c r="B7" s="17" t="s">
        <v>0</v>
      </c>
      <c r="C7" s="30">
        <v>0</v>
      </c>
      <c r="D7" s="27">
        <v>10</v>
      </c>
      <c r="E7" s="31">
        <v>1</v>
      </c>
      <c r="F7" s="32">
        <v>-0.33333333333333331</v>
      </c>
      <c r="G7" t="s">
        <v>102</v>
      </c>
      <c r="J7" s="48"/>
    </row>
    <row r="8" spans="2:12" x14ac:dyDescent="0.3">
      <c r="B8" s="21" t="s">
        <v>12</v>
      </c>
      <c r="C8" s="24">
        <f>C6+2*((D6-D7)*E7-(C6-C7)*F7)/(F7^2+E7^2)*F7</f>
        <v>26.200000000000003</v>
      </c>
      <c r="D8" s="23">
        <f>D6-2*((D6-D7)*E7-(C6-C7)*F7)/(F7^2+E7^2)*E7</f>
        <v>-38.399999999999991</v>
      </c>
      <c r="E8" s="9"/>
      <c r="F8" s="9"/>
      <c r="G8" s="9"/>
      <c r="H8" s="9"/>
      <c r="I8" s="9"/>
      <c r="J8" s="49"/>
    </row>
    <row r="10" spans="2:12" ht="15" thickBot="1" x14ac:dyDescent="0.35"/>
    <row r="11" spans="2:12" ht="15.6" thickTop="1" thickBot="1" x14ac:dyDescent="0.35">
      <c r="B11" s="54" t="s">
        <v>44</v>
      </c>
      <c r="C11" s="55"/>
      <c r="D11" s="56"/>
    </row>
    <row r="12" spans="2:12" ht="15" thickBot="1" x14ac:dyDescent="0.35">
      <c r="B12" s="57" t="s">
        <v>3</v>
      </c>
      <c r="C12" s="58" t="s">
        <v>45</v>
      </c>
      <c r="D12" s="59" t="s">
        <v>46</v>
      </c>
    </row>
    <row r="13" spans="2:12" ht="15" thickTop="1" x14ac:dyDescent="0.3">
      <c r="B13" s="63">
        <f>(C6+C8)/2+MIN(IF(E7=0,C22/SQRT(E7^2+F7^2),C22/ABS(E7)),IF(F7=0,C22/SQRT(E7^2+F7^2),C22/ABS(F7)))*E7</f>
        <v>77.099999999999994</v>
      </c>
      <c r="D13" s="45">
        <f>(D6+D8)/2+MIN(IF(E7=0,C22/SQRT(E7^2+F7^2),C22/ABS(E7)),IF(F7=0,C22/SQRT(E7^2+F7^2),C22/ABS(F7)))*F7</f>
        <v>-15.699999999999996</v>
      </c>
      <c r="L13" s="19"/>
    </row>
    <row r="14" spans="2:12" x14ac:dyDescent="0.3">
      <c r="B14" s="63">
        <f>(C6+C8)/2-MIN(IF(E7=0,C22/SQRT(E7^2+F7^2),C22/ABS(E7)),IF(F7=0,C22/SQRT(E7^2+F7^2),C22/ABS(F7)))*E7</f>
        <v>-0.89999999999999858</v>
      </c>
      <c r="D14" s="45">
        <f>(D6+D8)/2-MIN(IF(E7=0,C22/SQRT(E7^2+F7^2),C22/ABS(E7)),IF(F7=0,C22/SQRT(E7^2+F7^2),C22/ABS(F7)))*F7</f>
        <v>10.300000000000004</v>
      </c>
    </row>
    <row r="15" spans="2:12" x14ac:dyDescent="0.3">
      <c r="B15" s="64">
        <f>C8</f>
        <v>26.200000000000003</v>
      </c>
      <c r="C15" s="60">
        <f>D8</f>
        <v>-38.399999999999991</v>
      </c>
      <c r="D15" s="45"/>
    </row>
    <row r="16" spans="2:12" x14ac:dyDescent="0.3">
      <c r="B16" s="65">
        <f>C6</f>
        <v>50</v>
      </c>
      <c r="C16" s="19">
        <f>D6</f>
        <v>33</v>
      </c>
      <c r="D16" s="45"/>
    </row>
    <row r="17" spans="2:7" x14ac:dyDescent="0.3">
      <c r="B17" s="63"/>
      <c r="D17" s="45"/>
      <c r="G17" s="19"/>
    </row>
    <row r="18" spans="2:7" x14ac:dyDescent="0.3">
      <c r="B18" s="114">
        <f>(C6+C8)/2-C22</f>
        <v>-0.89999999999999858</v>
      </c>
      <c r="C18" s="95"/>
      <c r="D18" s="96">
        <f>(D6+D8)/2-C22</f>
        <v>-41.699999999999996</v>
      </c>
    </row>
    <row r="19" spans="2:7" x14ac:dyDescent="0.3">
      <c r="B19" s="114"/>
      <c r="C19" s="95"/>
      <c r="D19" s="96"/>
    </row>
    <row r="20" spans="2:7" x14ac:dyDescent="0.3">
      <c r="B20" s="114">
        <f>B18+2*C22</f>
        <v>77.099999999999994</v>
      </c>
      <c r="C20" s="95"/>
      <c r="D20" s="96">
        <f>D18+2*C22</f>
        <v>36.300000000000004</v>
      </c>
    </row>
    <row r="21" spans="2:7" ht="15" thickBot="1" x14ac:dyDescent="0.35">
      <c r="B21" s="67"/>
      <c r="C21" s="46"/>
      <c r="D21" s="47"/>
    </row>
    <row r="22" spans="2:7" ht="15.6" thickTop="1" thickBot="1" x14ac:dyDescent="0.35">
      <c r="B22" s="68" t="s">
        <v>52</v>
      </c>
      <c r="C22" s="71">
        <f>ROUND(SQRT((C6-C8)^2+(D6-D8)^2)/2,0)+1</f>
        <v>39</v>
      </c>
      <c r="D22" s="70"/>
    </row>
    <row r="23" spans="2:7" ht="15" thickTop="1" x14ac:dyDescent="0.3"/>
  </sheetData>
  <sheetProtection sheet="1" objects="1" scenarios="1"/>
  <pageMargins left="0.7" right="0.7" top="0.78740157499999996" bottom="0.78740157499999996"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A6B86-702D-42C5-917E-14E05FC73DD6}">
  <dimension ref="B1:J28"/>
  <sheetViews>
    <sheetView workbookViewId="0"/>
  </sheetViews>
  <sheetFormatPr baseColWidth="10" defaultRowHeight="14.4" x14ac:dyDescent="0.3"/>
  <sheetData>
    <row r="1" spans="2:10" ht="15" thickBot="1" x14ac:dyDescent="0.35"/>
    <row r="2" spans="2:10" ht="15.6" thickTop="1" thickBot="1" x14ac:dyDescent="0.35">
      <c r="B2" s="51" t="s">
        <v>68</v>
      </c>
      <c r="C2" s="52"/>
      <c r="D2" s="52"/>
      <c r="E2" s="52"/>
      <c r="F2" s="52"/>
      <c r="G2" s="52"/>
      <c r="H2" s="52"/>
      <c r="I2" s="52"/>
      <c r="J2" s="53"/>
    </row>
    <row r="3" spans="2:10" ht="15" thickTop="1" x14ac:dyDescent="0.3">
      <c r="B3" s="37"/>
      <c r="C3" s="37"/>
      <c r="D3" s="37"/>
      <c r="E3" s="37"/>
      <c r="F3" s="37"/>
      <c r="G3" s="37"/>
      <c r="H3" s="37"/>
    </row>
    <row r="4" spans="2:10" x14ac:dyDescent="0.3">
      <c r="C4" s="39" t="s">
        <v>26</v>
      </c>
      <c r="D4" s="40"/>
      <c r="E4" s="39" t="s">
        <v>27</v>
      </c>
      <c r="F4" s="40"/>
      <c r="G4" s="38" t="s">
        <v>28</v>
      </c>
      <c r="H4" s="41" t="s">
        <v>13</v>
      </c>
      <c r="I4" s="41" t="s">
        <v>29</v>
      </c>
      <c r="J4" s="41" t="s">
        <v>29</v>
      </c>
    </row>
    <row r="5" spans="2:10" ht="15.6" x14ac:dyDescent="0.3">
      <c r="C5" s="38" t="s">
        <v>93</v>
      </c>
      <c r="D5" s="38" t="s">
        <v>94</v>
      </c>
      <c r="E5" s="38" t="s">
        <v>96</v>
      </c>
      <c r="F5" s="38" t="s">
        <v>95</v>
      </c>
      <c r="G5" s="38" t="s">
        <v>6</v>
      </c>
      <c r="H5" s="38" t="s">
        <v>7</v>
      </c>
      <c r="I5" s="38" t="s">
        <v>33</v>
      </c>
      <c r="J5" s="38" t="s">
        <v>36</v>
      </c>
    </row>
    <row r="6" spans="2:10" x14ac:dyDescent="0.3">
      <c r="B6" s="16" t="s">
        <v>0</v>
      </c>
      <c r="C6" s="29">
        <v>50</v>
      </c>
      <c r="D6" s="25">
        <v>100</v>
      </c>
      <c r="E6" s="25">
        <v>1</v>
      </c>
      <c r="F6" s="26">
        <v>3</v>
      </c>
      <c r="G6" s="8" t="s">
        <v>98</v>
      </c>
      <c r="H6" s="8"/>
      <c r="I6" s="8"/>
      <c r="J6" s="36"/>
    </row>
    <row r="7" spans="2:10" ht="15.6" x14ac:dyDescent="0.35">
      <c r="B7" s="17" t="s">
        <v>69</v>
      </c>
      <c r="C7" s="30">
        <v>0</v>
      </c>
      <c r="D7" s="27">
        <v>44</v>
      </c>
      <c r="E7" s="27">
        <v>1</v>
      </c>
      <c r="F7" s="28">
        <v>-2</v>
      </c>
      <c r="G7" t="s">
        <v>102</v>
      </c>
      <c r="J7" s="48"/>
    </row>
    <row r="8" spans="2:10" ht="15.6" x14ac:dyDescent="0.35">
      <c r="B8" s="21" t="s">
        <v>63</v>
      </c>
      <c r="C8" s="24">
        <f>C6+2*((D6-D7)*E7-(C6-C7)*F7)/(F7^2+E7^2)*F7</f>
        <v>-74.8</v>
      </c>
      <c r="D8" s="22">
        <f>D6-2*((D6-D7)*E7-(C6-C7)*F7)/(F7^2+E7^2)*E7</f>
        <v>37.6</v>
      </c>
      <c r="E8" s="22">
        <f>E6+2*(F6*E7-E6*F7)/(F7^2+E7^2)*F7</f>
        <v>-3</v>
      </c>
      <c r="F8" s="23">
        <f>F6-2*(F6*E7-E6*F7)/(F7^2+E7^2)*E7</f>
        <v>1</v>
      </c>
      <c r="G8" s="9" t="s">
        <v>104</v>
      </c>
      <c r="H8" s="9"/>
      <c r="I8" s="9"/>
      <c r="J8" s="49"/>
    </row>
    <row r="10" spans="2:10" ht="15" thickBot="1" x14ac:dyDescent="0.35"/>
    <row r="11" spans="2:10" ht="15.6" thickTop="1" thickBot="1" x14ac:dyDescent="0.35">
      <c r="B11" s="54" t="s">
        <v>44</v>
      </c>
      <c r="C11" s="55"/>
      <c r="D11" s="56"/>
      <c r="E11" s="56"/>
    </row>
    <row r="12" spans="2:10" ht="15" thickBot="1" x14ac:dyDescent="0.35">
      <c r="B12" s="57" t="s">
        <v>3</v>
      </c>
      <c r="C12" s="58" t="s">
        <v>45</v>
      </c>
      <c r="D12" s="58" t="s">
        <v>46</v>
      </c>
      <c r="E12" s="59" t="s">
        <v>47</v>
      </c>
    </row>
    <row r="13" spans="2:10" ht="15" thickTop="1" x14ac:dyDescent="0.3">
      <c r="B13" s="63">
        <f>C7+((D7-D6)*E6-(C7-C6)*F6)/(F6^2+E6^2)*F6</f>
        <v>28.200000000000003</v>
      </c>
      <c r="C13">
        <f>D7-((D7-D6)*E6-(C7-C6)*F6)/(F6^2+E6^2)*E6</f>
        <v>34.6</v>
      </c>
      <c r="E13" s="45"/>
    </row>
    <row r="14" spans="2:10" x14ac:dyDescent="0.3">
      <c r="B14" s="63">
        <f>C7+((D7-D8)*E8-(C7-C8)*F8)/(F8^2+E8^2)*F8</f>
        <v>-9.4</v>
      </c>
      <c r="C14">
        <f>D7-((D7-D8)*E8-(C7-C8)*F8)/(F8^2+E8^2)*E8</f>
        <v>15.799999999999997</v>
      </c>
      <c r="E14" s="45"/>
    </row>
    <row r="15" spans="2:10" x14ac:dyDescent="0.3">
      <c r="B15" s="63"/>
      <c r="E15" s="45"/>
    </row>
    <row r="16" spans="2:10" x14ac:dyDescent="0.3">
      <c r="B16" s="63">
        <f>B13+MIN(IF(E6=0,C27/SQRT(E6^2+F6^2),C27/ABS(E6)),IF(F6=0,C27/SQRT(E6^2+F6^2),C27/ABS(F6)))*E6</f>
        <v>61.533333333333339</v>
      </c>
      <c r="D16">
        <f>C13+MIN(IF(E6=0,C27/SQRT(E6^2+F6^2),C27/ABS(E6)),IF(F6=0,C27/SQRT(E6^2+F6^2),C27/ABS(F6)))*F6</f>
        <v>134.6</v>
      </c>
      <c r="E16" s="45"/>
    </row>
    <row r="17" spans="2:7" x14ac:dyDescent="0.3">
      <c r="B17" s="63">
        <f>B13-MIN(IF(E6=0,C27/SQRT(E6^2+F6^2),C27/ABS(E6)),IF(F6=0,C27/SQRT(E6^2+F6^2),C27/ABS(F6)))*E6</f>
        <v>-5.1333333333333329</v>
      </c>
      <c r="D17">
        <f>C13-MIN(IF(E6=0,C27/SQRT(E6^2+F6^2),C27/ABS(E6)),IF(F6=0,C27/SQRT(E6^2+F6^2),C27/ABS(F6)))*F6</f>
        <v>-65.400000000000006</v>
      </c>
      <c r="E17" s="45"/>
      <c r="G17" s="19"/>
    </row>
    <row r="18" spans="2:7" x14ac:dyDescent="0.3">
      <c r="B18" s="63">
        <f>C7+MIN(IF(E7=0,C27/SQRT(E7^2+F7^2),C27/ABS(E7)),IF(F7=0,C27/SQRT(E7^2+F7^2),C27/ABS(F7)))*E7</f>
        <v>50</v>
      </c>
      <c r="E18" s="45">
        <f>D7+MIN(IF(E7=0,C27/SQRT(E7^2+F7^2),C27/ABS(E7)),IF(F7=0,C27/SQRT(E7^2+F7^2),C27/ABS(F7)))*F7</f>
        <v>-56</v>
      </c>
    </row>
    <row r="19" spans="2:7" x14ac:dyDescent="0.3">
      <c r="B19" s="63">
        <f>C7-MIN(IF(E7=0,C27/SQRT(E7^2+F7^2),C27/ABS(E7)),IF(F7=0,C27/SQRT(E7^2+F7^2),C27/ABS(F7)))*E7</f>
        <v>-50</v>
      </c>
      <c r="E19" s="45">
        <f>D7-MIN(IF(E7=0,C27/SQRT(E7^2+F7^2),C27/ABS(E7)),IF(F7=0,C27/SQRT(E7^2+F7^2),C27/ABS(F7)))*F7</f>
        <v>144</v>
      </c>
    </row>
    <row r="20" spans="2:7" x14ac:dyDescent="0.3">
      <c r="B20" s="65">
        <f>B14+MIN(IF(E8=0,C27/SQRT(E8^2+F8^2),C27/ABS(E8)),IF(F8=0,C27/SQRT(E8^2+F8^2),C27/ABS(F8)))*E8</f>
        <v>-109.4</v>
      </c>
      <c r="D20">
        <f>C14+MIN(IF(E8=0,C27/SQRT(E8^2+F8^2),C27/ABS(E8)),IF(F8=0,C27/SQRT(E8^2+F8^2),C27/ABS(F8)))*F8</f>
        <v>49.133333333333333</v>
      </c>
      <c r="E20" s="45"/>
    </row>
    <row r="21" spans="2:7" x14ac:dyDescent="0.3">
      <c r="B21" s="63">
        <f>B14-MIN(IF(E8=0,C27/SQRT(E8^2+F8^2),C27/ABS(E8)),IF(F8=0,C27/SQRT(E8^2+F8^2),C27/ABS(F8)))*E8</f>
        <v>90.6</v>
      </c>
      <c r="D21">
        <f>C14-MIN(IF(E8=0,C27/SQRT(E8^2+F8^2),C27/ABS(E8)),IF(F8=0,C27/SQRT(E8^2+F8^2),C27/ABS(F8)))*F8</f>
        <v>-17.533333333333339</v>
      </c>
      <c r="E21" s="45"/>
    </row>
    <row r="22" spans="2:7" x14ac:dyDescent="0.3">
      <c r="B22" s="63"/>
      <c r="E22" s="45"/>
    </row>
    <row r="23" spans="2:7" x14ac:dyDescent="0.3">
      <c r="B23" s="65">
        <f>C7-C27</f>
        <v>-100</v>
      </c>
      <c r="D23" s="19">
        <f>D7-C27</f>
        <v>-56</v>
      </c>
      <c r="E23" s="66"/>
    </row>
    <row r="24" spans="2:7" x14ac:dyDescent="0.3">
      <c r="B24" s="63"/>
      <c r="E24" s="45"/>
    </row>
    <row r="25" spans="2:7" x14ac:dyDescent="0.3">
      <c r="B25" s="63">
        <f>B23+2*C27</f>
        <v>100</v>
      </c>
      <c r="D25">
        <f>D23+2*C27</f>
        <v>144</v>
      </c>
      <c r="E25" s="45"/>
    </row>
    <row r="26" spans="2:7" ht="15" thickBot="1" x14ac:dyDescent="0.35">
      <c r="B26" s="67"/>
      <c r="C26" s="46"/>
      <c r="D26" s="46"/>
      <c r="E26" s="47"/>
    </row>
    <row r="27" spans="2:7" ht="15.6" thickTop="1" thickBot="1" x14ac:dyDescent="0.35">
      <c r="B27" s="68" t="s">
        <v>52</v>
      </c>
      <c r="C27" s="101">
        <v>100</v>
      </c>
      <c r="D27" s="69"/>
      <c r="E27" s="70"/>
    </row>
    <row r="28" spans="2:7" ht="15" thickTop="1" x14ac:dyDescent="0.3"/>
  </sheetData>
  <sheetProtection sheet="1" objects="1" scenarios="1"/>
  <pageMargins left="0.7" right="0.7" top="0.78740157499999996" bottom="0.78740157499999996"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45D24-4853-4334-A4A4-83E92BFFFCE9}">
  <dimension ref="B1:O89"/>
  <sheetViews>
    <sheetView workbookViewId="0"/>
  </sheetViews>
  <sheetFormatPr baseColWidth="10" defaultRowHeight="14.4" x14ac:dyDescent="0.3"/>
  <cols>
    <col min="6" max="6" width="13.109375" bestFit="1" customWidth="1"/>
  </cols>
  <sheetData>
    <row r="1" spans="2:15" ht="15" thickBot="1" x14ac:dyDescent="0.35"/>
    <row r="2" spans="2:15" ht="15.6" thickTop="1" thickBot="1" x14ac:dyDescent="0.35">
      <c r="B2" s="51" t="s">
        <v>101</v>
      </c>
      <c r="C2" s="52"/>
      <c r="D2" s="52"/>
      <c r="E2" s="52"/>
      <c r="F2" s="52"/>
      <c r="G2" s="52"/>
      <c r="H2" s="52"/>
      <c r="I2" s="52"/>
      <c r="J2" s="53"/>
    </row>
    <row r="3" spans="2:15" ht="15" thickTop="1" x14ac:dyDescent="0.3">
      <c r="B3" s="37"/>
      <c r="C3" s="37"/>
      <c r="D3" s="37"/>
      <c r="E3" s="37"/>
      <c r="F3" s="37"/>
      <c r="G3" s="37"/>
      <c r="H3" s="37"/>
      <c r="I3" s="37"/>
    </row>
    <row r="4" spans="2:15" x14ac:dyDescent="0.3">
      <c r="C4" s="39" t="s">
        <v>26</v>
      </c>
      <c r="D4" s="40"/>
      <c r="E4" s="39" t="s">
        <v>27</v>
      </c>
      <c r="F4" s="40"/>
      <c r="G4" s="38" t="s">
        <v>28</v>
      </c>
      <c r="H4" s="41" t="s">
        <v>13</v>
      </c>
      <c r="I4" s="41" t="s">
        <v>29</v>
      </c>
      <c r="J4" s="41" t="s">
        <v>29</v>
      </c>
    </row>
    <row r="5" spans="2:15" ht="15.6" x14ac:dyDescent="0.3">
      <c r="C5" s="38" t="s">
        <v>93</v>
      </c>
      <c r="D5" s="38" t="s">
        <v>94</v>
      </c>
      <c r="E5" s="38" t="s">
        <v>96</v>
      </c>
      <c r="F5" s="38" t="s">
        <v>95</v>
      </c>
      <c r="G5" s="38" t="s">
        <v>6</v>
      </c>
      <c r="H5" s="38" t="s">
        <v>7</v>
      </c>
      <c r="I5" s="38" t="s">
        <v>33</v>
      </c>
      <c r="J5" s="38" t="s">
        <v>36</v>
      </c>
    </row>
    <row r="6" spans="2:15" x14ac:dyDescent="0.3">
      <c r="B6" s="13" t="s">
        <v>8</v>
      </c>
      <c r="C6" s="29">
        <v>81.234099999999998</v>
      </c>
      <c r="D6" s="25">
        <v>-33.2134</v>
      </c>
      <c r="E6" s="8"/>
      <c r="F6" s="8"/>
      <c r="G6" s="26">
        <v>22</v>
      </c>
      <c r="H6" s="8"/>
      <c r="I6" s="8"/>
      <c r="J6" s="36"/>
    </row>
    <row r="7" spans="2:15" x14ac:dyDescent="0.3">
      <c r="B7" s="14" t="s">
        <v>9</v>
      </c>
      <c r="C7" s="30">
        <v>30.475000000000001</v>
      </c>
      <c r="D7" s="27">
        <v>49.348999999999997</v>
      </c>
      <c r="E7" s="9"/>
      <c r="F7" s="9"/>
      <c r="G7" s="28">
        <v>59</v>
      </c>
      <c r="H7" s="9"/>
      <c r="I7" s="9"/>
      <c r="J7" s="49"/>
    </row>
    <row r="8" spans="2:15" x14ac:dyDescent="0.3">
      <c r="B8" s="13" t="s">
        <v>23</v>
      </c>
      <c r="C8" s="118">
        <f>C6+IFERROR((C7*(G6-G7)-C6*(G6-G7)-(D6-D7)*SQRT((C6-C7)^2+(D6-D7)^2-(G6-G7)^2))/((C6-C7)^2+(D6-D7)^2),(D7-D6)/SQRT((C7-C6)^2+(D7-D6)^2))*G6</f>
        <v>102.95477716376925</v>
      </c>
      <c r="D8" s="119">
        <f>D6+(D7*(G6-G7)-D6*(G6-G7)-SQRT((C7-C6)^2+(D7-D6)^2-(G6-G7)^2)*(C7-C6))/((C7-C6)^2+(D7-D6)^2)*G6</f>
        <v>-29.718806526173179</v>
      </c>
      <c r="E8" s="6">
        <f>(D8-D6)/G6</f>
        <v>0.15884515790121914</v>
      </c>
      <c r="F8" s="7">
        <f>(C6-C8)/G6</f>
        <v>-0.98730350744405693</v>
      </c>
      <c r="G8" s="110" t="s">
        <v>98</v>
      </c>
      <c r="H8" s="8"/>
      <c r="I8" s="8"/>
      <c r="J8" s="36"/>
      <c r="L8" s="19"/>
    </row>
    <row r="9" spans="2:15" ht="15.6" x14ac:dyDescent="0.35">
      <c r="B9" s="15" t="s">
        <v>73</v>
      </c>
      <c r="C9" s="118">
        <f>C7+IFERROR((C7*(G6-G7)-C6*(G6-G7)-(D6-D7)*SQRT((C6-C7)^2+(D6-D7)^2-(G6-G7)^2))/((C6-C7)^2+(D6-D7)^2),(D7-D6)/SQRT((C7-C6)^2+(D7-D6)^2))*G7</f>
        <v>88.725906939199362</v>
      </c>
      <c r="D9" s="119">
        <f>D7+(D7*(G6-G7)-D6*(G6-G7)-SQRT((C7-C6)^2+(D7-D6)^2-(G6-G7)^2)*(C7-C6))/((C7-C6)^2+(D7-D6)^2)*G7</f>
        <v>58.720864316171927</v>
      </c>
      <c r="E9" s="6">
        <f>(D7-D9)/G7</f>
        <v>-0.15884515790121914</v>
      </c>
      <c r="F9" s="7">
        <f>(C9-C7)/G7</f>
        <v>0.98730350744405693</v>
      </c>
      <c r="G9" s="111" t="s">
        <v>104</v>
      </c>
      <c r="J9" s="48"/>
      <c r="L9" s="19"/>
    </row>
    <row r="10" spans="2:15" x14ac:dyDescent="0.3">
      <c r="B10" s="15" t="s">
        <v>24</v>
      </c>
      <c r="C10" s="118">
        <f>C6+IFERROR((C7*(G6-G7)-C6*(G6-G7)+(D6-D7)*SQRT((C6-C7)^2+(D7-D6)^2-(G6-G7)^2))/((C6-C7)^2+(D6-D7)^2),(D6-D7)/SQRT((C7-C6)^2+(D7-D6)^2))*G6</f>
        <v>68.310984528370824</v>
      </c>
      <c r="D10" s="119">
        <f>D6+(D7*(G6-G7)-D6*(G6-G7)+SQRT((C7-C6)^2+(D7-D6)^2-(G6-G7)^2)*(C7-C6))/((C7-C6)^2+(D7-D6)^2)*G6</f>
        <v>-51.017699663478439</v>
      </c>
      <c r="E10" s="6">
        <f>(D10-D7)/G7</f>
        <v>-1.701130502770821</v>
      </c>
      <c r="F10" s="7">
        <f>(C7-C10)/G7</f>
        <v>-0.64128787336221738</v>
      </c>
      <c r="G10" s="111"/>
      <c r="J10" s="48"/>
      <c r="L10" s="19"/>
    </row>
    <row r="11" spans="2:15" x14ac:dyDescent="0.3">
      <c r="B11" s="15" t="s">
        <v>74</v>
      </c>
      <c r="C11" s="118">
        <f>C7+IFERROR((C7*(G6-G7)-C6*(G6-G7)+(D6-D7)*SQRT((C6-C7)^2+(D7-D6)^2-(G6-G7)^2))/((C6-C7)^2+(D6-D7)^2),(D6-D7)/SQRT((C7-C6)^2+(D7-D6)^2))*G7</f>
        <v>-4.1824460375509744</v>
      </c>
      <c r="D11" s="119">
        <f>D7+(D7*(G6-G7)-D6*(G6-G7)+SQRT((C7-C6)^2+(D7-D6)^2-(G6-G7)^2)*(C7-C6))/((C7-C6)^2+(D7-D6)^2)*G7</f>
        <v>1.6011054479441782</v>
      </c>
      <c r="E11" s="6">
        <f>(D6-D11)/G6</f>
        <v>-1.582477520361099</v>
      </c>
      <c r="F11" s="7">
        <f>(C11-C6)/G6</f>
        <v>-3.8825702744341353</v>
      </c>
      <c r="G11" s="111"/>
      <c r="J11" s="48"/>
      <c r="L11" s="19"/>
      <c r="M11" s="19"/>
      <c r="N11" s="19"/>
      <c r="O11" s="19"/>
    </row>
    <row r="12" spans="2:15" x14ac:dyDescent="0.3">
      <c r="B12" s="15" t="s">
        <v>75</v>
      </c>
      <c r="C12" s="118">
        <f>C6+(C7*(G6+G7)-C6*(G6+G7)-(D6-D7)*SQRT((C7-C6)^2+(D7-D6)^2-(G6+G7)^2))/((C6-C7)^2+(D6-D7)^2)*G6</f>
        <v>81.895118844225223</v>
      </c>
      <c r="D12" s="119">
        <f>D6+(D7*(G6+G7)-D6*(G6+G7)-SQRT((C7-C6)^2+(D7-D6)^2-(G6+G7)^2)*(C7-C6))/((C7-C6)^2+(D7-D6)^2)*G6</f>
        <v>-11.223332831217199</v>
      </c>
      <c r="E12" s="6">
        <f>(D12-D6)/G6</f>
        <v>0.99954850767194547</v>
      </c>
      <c r="F12" s="7">
        <f>(C6-C12)/G6</f>
        <v>-3.0046311101146597E-2</v>
      </c>
      <c r="G12" s="111"/>
      <c r="J12" s="48"/>
      <c r="L12" s="19"/>
    </row>
    <row r="13" spans="2:15" x14ac:dyDescent="0.3">
      <c r="B13" s="15" t="s">
        <v>76</v>
      </c>
      <c r="C13" s="118">
        <f>C7-(C7*(G6+G7)-C6*(G6+G7)-(D6-D7)*SQRT((C7-C6)^2+(D7-D6)^2-(G6+G7)^2))/((C6-C7)^2+(D6-D7)^2)*G7</f>
        <v>28.70226764503234</v>
      </c>
      <c r="D13" s="119">
        <f>D7-(D7*(G6+G7)-D6*(G6+G7)-SQRT((C7-C6)^2+(D7-D6)^2-(G6+G7)^2)*(C7-C6))/((C7-C6)^2+(D7-D6)^2)*G7</f>
        <v>-9.624361952644783</v>
      </c>
      <c r="E13" s="6">
        <f>(D13-D7)/G7</f>
        <v>-0.99954850767194536</v>
      </c>
      <c r="F13" s="7">
        <f>(C7-C13)/G7</f>
        <v>3.0046311101146812E-2</v>
      </c>
      <c r="G13" s="111"/>
      <c r="J13" s="48"/>
      <c r="L13" s="19"/>
    </row>
    <row r="14" spans="2:15" x14ac:dyDescent="0.3">
      <c r="B14" s="15" t="s">
        <v>77</v>
      </c>
      <c r="C14" s="118">
        <f>C6+(C7*(G6+G7)-C6*(G6+G7)+(D6-D7)*SQRT((C7-C6)^2+(D7-D6)^2-(G6+G7)^2))/((C6-C7)^2+(D6-D7)^2)*G6</f>
        <v>61.31355420811677</v>
      </c>
      <c r="D14" s="119">
        <f>D6+(D7*(G6+G7)-D6*(G6+G7)+SQRT((C7-C6)^2+(D7-D6)^2-(G6+G7)^2)*(C7-C6))/((C7-C6)^2+(D7-D6)^2)*G6</f>
        <v>-23.876813077923845</v>
      </c>
      <c r="E14" s="6">
        <f>(D14-D6)/G6</f>
        <v>0.42439031463982518</v>
      </c>
      <c r="F14" s="7">
        <f>(C6-C14)/G6</f>
        <v>0.90547935417651038</v>
      </c>
      <c r="G14" s="111"/>
      <c r="J14" s="48"/>
      <c r="L14" s="19"/>
    </row>
    <row r="15" spans="2:15" x14ac:dyDescent="0.3">
      <c r="B15" s="14" t="s">
        <v>78</v>
      </c>
      <c r="C15" s="120">
        <f>C7-(C7*(G6+G7)-C6*(G6+G7)+(D6-D7)*SQRT((C7-C6)^2+(D7-D6)^2-(G6+G7)^2))/((C6-C7)^2+(D6-D7)^2)*G7</f>
        <v>83.898281896414119</v>
      </c>
      <c r="D15" s="80">
        <f>D7-(D7*(G6+G7)-D6*(G6+G7)+SQRT((C7-C6)^2+(D7-D6)^2-(G6+G7)^2)*(C7-C6))/((C7-C6)^2+(D7-D6)^2)*G7</f>
        <v>24.309971436250311</v>
      </c>
      <c r="E15" s="4">
        <f>(D15-D7)/G7</f>
        <v>-0.42439031463982518</v>
      </c>
      <c r="F15" s="5">
        <f>(C7-C15)/G7</f>
        <v>-0.90547935417651049</v>
      </c>
      <c r="G15" s="112"/>
      <c r="H15" s="9"/>
      <c r="I15" s="9"/>
      <c r="J15" s="49"/>
      <c r="L15" s="19"/>
    </row>
    <row r="16" spans="2:15" ht="15" thickBot="1" x14ac:dyDescent="0.35"/>
    <row r="17" spans="2:6" ht="15.6" thickTop="1" thickBot="1" x14ac:dyDescent="0.35">
      <c r="B17" s="54" t="s">
        <v>44</v>
      </c>
      <c r="C17" s="55"/>
      <c r="D17" s="55"/>
      <c r="E17" s="55"/>
      <c r="F17" s="56"/>
    </row>
    <row r="18" spans="2:6" ht="15" thickBot="1" x14ac:dyDescent="0.35">
      <c r="B18" s="57" t="s">
        <v>4</v>
      </c>
      <c r="C18" s="58" t="s">
        <v>3</v>
      </c>
      <c r="D18" s="58" t="s">
        <v>45</v>
      </c>
      <c r="E18" s="58" t="s">
        <v>46</v>
      </c>
      <c r="F18" s="59" t="s">
        <v>47</v>
      </c>
    </row>
    <row r="19" spans="2:6" ht="15" thickTop="1" x14ac:dyDescent="0.3">
      <c r="B19" s="86" t="s">
        <v>8</v>
      </c>
      <c r="C19" s="81"/>
      <c r="D19" s="81"/>
      <c r="E19" s="81"/>
      <c r="F19" s="82"/>
    </row>
    <row r="20" spans="2:6" x14ac:dyDescent="0.3">
      <c r="B20" s="87">
        <f>0</f>
        <v>0</v>
      </c>
      <c r="C20">
        <f>$C$6+$G$6*COS(B20)</f>
        <v>103.2341</v>
      </c>
      <c r="D20">
        <f>$D$6+$G$6*SIN(B20)</f>
        <v>-33.2134</v>
      </c>
      <c r="F20" s="45"/>
    </row>
    <row r="21" spans="2:6" x14ac:dyDescent="0.3">
      <c r="B21" s="87">
        <f>B20+RADIANS(3)</f>
        <v>5.235987755982989E-2</v>
      </c>
      <c r="C21">
        <f t="shared" ref="C21:C42" si="0">$C$6+$G$6*COS(B21)</f>
        <v>103.20394976460062</v>
      </c>
      <c r="D21">
        <f t="shared" ref="D21:D42" si="1">$D$6+$G$6*SIN(B21)</f>
        <v>-32.062008962655234</v>
      </c>
      <c r="F21" s="45"/>
    </row>
    <row r="22" spans="2:6" x14ac:dyDescent="0.3">
      <c r="B22" s="87">
        <f>B21+RADIANS(7)</f>
        <v>0.17453292519943298</v>
      </c>
      <c r="C22">
        <f t="shared" si="0"/>
        <v>102.89987056626858</v>
      </c>
      <c r="D22">
        <f t="shared" si="1"/>
        <v>-29.393140091327531</v>
      </c>
      <c r="F22" s="45"/>
    </row>
    <row r="23" spans="2:6" x14ac:dyDescent="0.3">
      <c r="B23" s="87">
        <f>B22+RADIANS(10)</f>
        <v>0.34906585039886595</v>
      </c>
      <c r="C23">
        <f t="shared" si="0"/>
        <v>101.90733765728999</v>
      </c>
      <c r="D23">
        <f t="shared" si="1"/>
        <v>-25.688956846835289</v>
      </c>
      <c r="F23" s="45"/>
    </row>
    <row r="24" spans="2:6" x14ac:dyDescent="0.3">
      <c r="B24" s="87">
        <f t="shared" ref="B24:B39" si="2">B23+RADIANS(20)</f>
        <v>0.6981317007977319</v>
      </c>
      <c r="C24">
        <f t="shared" si="0"/>
        <v>98.087077748617517</v>
      </c>
      <c r="D24">
        <f t="shared" si="1"/>
        <v>-19.072072586896134</v>
      </c>
      <c r="F24" s="45"/>
    </row>
    <row r="25" spans="2:6" x14ac:dyDescent="0.3">
      <c r="B25" s="87">
        <f t="shared" si="2"/>
        <v>1.0471975511965979</v>
      </c>
      <c r="C25">
        <f t="shared" si="0"/>
        <v>92.234099999999998</v>
      </c>
      <c r="D25">
        <f t="shared" si="1"/>
        <v>-14.160841116742347</v>
      </c>
      <c r="F25" s="45"/>
    </row>
    <row r="26" spans="2:6" x14ac:dyDescent="0.3">
      <c r="B26" s="87">
        <f t="shared" si="2"/>
        <v>1.3962634015954638</v>
      </c>
      <c r="C26">
        <f t="shared" si="0"/>
        <v>85.054359908672467</v>
      </c>
      <c r="D26">
        <f t="shared" si="1"/>
        <v>-11.547629433731423</v>
      </c>
      <c r="F26" s="45"/>
    </row>
    <row r="27" spans="2:6" x14ac:dyDescent="0.3">
      <c r="B27" s="87">
        <f t="shared" si="2"/>
        <v>1.7453292519943298</v>
      </c>
      <c r="C27">
        <f t="shared" si="0"/>
        <v>77.413840091327529</v>
      </c>
      <c r="D27">
        <f t="shared" si="1"/>
        <v>-11.547629433731423</v>
      </c>
      <c r="F27" s="45"/>
    </row>
    <row r="28" spans="2:6" x14ac:dyDescent="0.3">
      <c r="B28" s="87">
        <f t="shared" si="2"/>
        <v>2.0943951023931957</v>
      </c>
      <c r="C28">
        <f t="shared" si="0"/>
        <v>70.234099999999998</v>
      </c>
      <c r="D28">
        <f t="shared" si="1"/>
        <v>-14.160841116742354</v>
      </c>
      <c r="F28" s="45"/>
    </row>
    <row r="29" spans="2:6" x14ac:dyDescent="0.3">
      <c r="B29" s="87">
        <f t="shared" si="2"/>
        <v>2.4434609527920617</v>
      </c>
      <c r="C29">
        <f t="shared" si="0"/>
        <v>64.381122251382479</v>
      </c>
      <c r="D29">
        <f t="shared" si="1"/>
        <v>-19.072072586896141</v>
      </c>
      <c r="F29" s="45"/>
    </row>
    <row r="30" spans="2:6" x14ac:dyDescent="0.3">
      <c r="B30" s="87">
        <f t="shared" si="2"/>
        <v>2.7925268031909276</v>
      </c>
      <c r="C30">
        <f t="shared" si="0"/>
        <v>60.56086234271001</v>
      </c>
      <c r="D30">
        <f t="shared" si="1"/>
        <v>-25.688956846835293</v>
      </c>
      <c r="F30" s="45"/>
    </row>
    <row r="31" spans="2:6" x14ac:dyDescent="0.3">
      <c r="B31" s="87">
        <f t="shared" si="2"/>
        <v>3.1415926535897936</v>
      </c>
      <c r="C31">
        <f t="shared" si="0"/>
        <v>59.234099999999998</v>
      </c>
      <c r="D31">
        <f t="shared" si="1"/>
        <v>-33.213400000000007</v>
      </c>
      <c r="F31" s="45"/>
    </row>
    <row r="32" spans="2:6" x14ac:dyDescent="0.3">
      <c r="B32" s="87">
        <f t="shared" si="2"/>
        <v>3.4906585039886595</v>
      </c>
      <c r="C32">
        <f t="shared" si="0"/>
        <v>60.56086234271001</v>
      </c>
      <c r="D32">
        <f t="shared" si="1"/>
        <v>-40.737843153164718</v>
      </c>
      <c r="F32" s="45"/>
    </row>
    <row r="33" spans="2:6" x14ac:dyDescent="0.3">
      <c r="B33" s="87">
        <f t="shared" si="2"/>
        <v>3.8397243543875255</v>
      </c>
      <c r="C33">
        <f t="shared" si="0"/>
        <v>64.381122251382493</v>
      </c>
      <c r="D33">
        <f t="shared" si="1"/>
        <v>-47.354727413103873</v>
      </c>
      <c r="F33" s="45"/>
    </row>
    <row r="34" spans="2:6" x14ac:dyDescent="0.3">
      <c r="B34" s="87">
        <f t="shared" si="2"/>
        <v>4.1887902047863914</v>
      </c>
      <c r="C34">
        <f t="shared" si="0"/>
        <v>70.234100000000012</v>
      </c>
      <c r="D34">
        <f t="shared" si="1"/>
        <v>-52.265958883257653</v>
      </c>
      <c r="F34" s="45"/>
    </row>
    <row r="35" spans="2:6" x14ac:dyDescent="0.3">
      <c r="B35" s="87">
        <f t="shared" si="2"/>
        <v>4.5378560551852569</v>
      </c>
      <c r="C35">
        <f t="shared" si="0"/>
        <v>77.413840091327529</v>
      </c>
      <c r="D35">
        <f t="shared" si="1"/>
        <v>-54.879170566268577</v>
      </c>
      <c r="F35" s="45"/>
    </row>
    <row r="36" spans="2:6" x14ac:dyDescent="0.3">
      <c r="B36" s="87">
        <f t="shared" si="2"/>
        <v>4.8869219055841224</v>
      </c>
      <c r="C36">
        <f t="shared" si="0"/>
        <v>85.054359908672453</v>
      </c>
      <c r="D36">
        <f t="shared" si="1"/>
        <v>-54.879170566268577</v>
      </c>
      <c r="F36" s="45"/>
    </row>
    <row r="37" spans="2:6" x14ac:dyDescent="0.3">
      <c r="B37" s="87">
        <f t="shared" si="2"/>
        <v>5.2359877559829879</v>
      </c>
      <c r="C37">
        <f t="shared" si="0"/>
        <v>92.234099999999984</v>
      </c>
      <c r="D37">
        <f t="shared" si="1"/>
        <v>-52.26595888325766</v>
      </c>
      <c r="F37" s="45"/>
    </row>
    <row r="38" spans="2:6" x14ac:dyDescent="0.3">
      <c r="B38" s="87">
        <f t="shared" si="2"/>
        <v>5.5850536063818534</v>
      </c>
      <c r="C38">
        <f t="shared" si="0"/>
        <v>98.087077748617503</v>
      </c>
      <c r="D38">
        <f t="shared" si="1"/>
        <v>-47.354727413103888</v>
      </c>
      <c r="F38" s="45"/>
    </row>
    <row r="39" spans="2:6" x14ac:dyDescent="0.3">
      <c r="B39" s="87">
        <f t="shared" si="2"/>
        <v>5.9341194567807189</v>
      </c>
      <c r="C39">
        <f t="shared" si="0"/>
        <v>101.90733765728997</v>
      </c>
      <c r="D39">
        <f t="shared" si="1"/>
        <v>-40.737843153164746</v>
      </c>
      <c r="F39" s="45"/>
    </row>
    <row r="40" spans="2:6" x14ac:dyDescent="0.3">
      <c r="B40" s="87">
        <f>B39+RADIANS(10)</f>
        <v>6.1086523819801517</v>
      </c>
      <c r="C40">
        <f t="shared" si="0"/>
        <v>102.89987056626856</v>
      </c>
      <c r="D40">
        <f t="shared" si="1"/>
        <v>-37.033659908672504</v>
      </c>
      <c r="F40" s="45"/>
    </row>
    <row r="41" spans="2:6" x14ac:dyDescent="0.3">
      <c r="B41" s="87">
        <f>B40+RADIANS(7)</f>
        <v>6.2308254296197552</v>
      </c>
      <c r="C41">
        <f t="shared" si="0"/>
        <v>103.20394976460062</v>
      </c>
      <c r="D41">
        <f t="shared" si="1"/>
        <v>-34.364791037344794</v>
      </c>
      <c r="F41" s="45"/>
    </row>
    <row r="42" spans="2:6" ht="15" thickBot="1" x14ac:dyDescent="0.35">
      <c r="B42" s="88">
        <f>B41+RADIANS(3)</f>
        <v>6.2831853071795853</v>
      </c>
      <c r="C42">
        <f t="shared" si="0"/>
        <v>103.2341</v>
      </c>
      <c r="D42">
        <f t="shared" si="1"/>
        <v>-33.213400000000028</v>
      </c>
      <c r="F42" s="45"/>
    </row>
    <row r="43" spans="2:6" ht="15" thickTop="1" x14ac:dyDescent="0.3">
      <c r="B43" s="63" t="s">
        <v>9</v>
      </c>
      <c r="F43" s="45"/>
    </row>
    <row r="44" spans="2:6" x14ac:dyDescent="0.3">
      <c r="B44" s="63"/>
      <c r="C44">
        <f>$C$7+$G$7*COS(B20)</f>
        <v>89.474999999999994</v>
      </c>
      <c r="D44">
        <f>$D$7+$G$7*SIN(B20)</f>
        <v>49.348999999999997</v>
      </c>
      <c r="F44" s="45"/>
    </row>
    <row r="45" spans="2:6" x14ac:dyDescent="0.3">
      <c r="B45" s="63"/>
      <c r="C45">
        <f t="shared" ref="C45:C66" si="3">$C$7+$G$7*COS(B21)</f>
        <v>89.394142550519859</v>
      </c>
      <c r="D45">
        <f t="shared" ref="D45:D66" si="4">$D$7+$G$7*SIN(B21)</f>
        <v>52.436821418333686</v>
      </c>
      <c r="F45" s="45"/>
    </row>
    <row r="46" spans="2:6" x14ac:dyDescent="0.3">
      <c r="B46" s="63"/>
      <c r="C46">
        <f t="shared" si="3"/>
        <v>88.578657427720273</v>
      </c>
      <c r="D46">
        <f t="shared" si="4"/>
        <v>59.594242482348889</v>
      </c>
      <c r="F46" s="45"/>
    </row>
    <row r="47" spans="2:6" x14ac:dyDescent="0.3">
      <c r="B47" s="63"/>
      <c r="C47">
        <f t="shared" si="3"/>
        <v>85.916864626368593</v>
      </c>
      <c r="D47">
        <f t="shared" si="4"/>
        <v>69.528188456214451</v>
      </c>
      <c r="F47" s="45"/>
    </row>
    <row r="48" spans="2:6" x14ac:dyDescent="0.3">
      <c r="B48" s="63"/>
      <c r="C48">
        <f t="shared" si="3"/>
        <v>75.671622144019707</v>
      </c>
      <c r="D48">
        <f t="shared" si="4"/>
        <v>87.273468971505821</v>
      </c>
      <c r="F48" s="45"/>
    </row>
    <row r="49" spans="2:6" x14ac:dyDescent="0.3">
      <c r="B49" s="63"/>
      <c r="C49">
        <f t="shared" si="3"/>
        <v>59.974999999999994</v>
      </c>
      <c r="D49">
        <f t="shared" si="4"/>
        <v>100.44449882328189</v>
      </c>
      <c r="F49" s="45"/>
    </row>
    <row r="50" spans="2:6" x14ac:dyDescent="0.3">
      <c r="B50" s="63"/>
      <c r="C50">
        <f t="shared" si="3"/>
        <v>40.720242482348887</v>
      </c>
      <c r="D50">
        <f t="shared" si="4"/>
        <v>107.45265742772028</v>
      </c>
      <c r="F50" s="45"/>
    </row>
    <row r="51" spans="2:6" x14ac:dyDescent="0.3">
      <c r="B51" s="63"/>
      <c r="C51">
        <f t="shared" si="3"/>
        <v>20.229757517651102</v>
      </c>
      <c r="D51">
        <f t="shared" si="4"/>
        <v>107.45265742772027</v>
      </c>
      <c r="F51" s="45"/>
    </row>
    <row r="52" spans="2:6" x14ac:dyDescent="0.3">
      <c r="B52" s="63"/>
      <c r="C52">
        <f t="shared" si="3"/>
        <v>0.97499999999998721</v>
      </c>
      <c r="D52">
        <f t="shared" si="4"/>
        <v>100.44449882328186</v>
      </c>
      <c r="F52" s="45"/>
    </row>
    <row r="53" spans="2:6" x14ac:dyDescent="0.3">
      <c r="B53" s="63"/>
      <c r="C53">
        <f t="shared" si="3"/>
        <v>-14.721622144019712</v>
      </c>
      <c r="D53">
        <f t="shared" si="4"/>
        <v>87.273468971505807</v>
      </c>
      <c r="F53" s="45"/>
    </row>
    <row r="54" spans="2:6" x14ac:dyDescent="0.3">
      <c r="B54" s="63"/>
      <c r="C54">
        <f t="shared" si="3"/>
        <v>-24.966864626368597</v>
      </c>
      <c r="D54">
        <f t="shared" si="4"/>
        <v>69.528188456214437</v>
      </c>
      <c r="F54" s="45"/>
    </row>
    <row r="55" spans="2:6" x14ac:dyDescent="0.3">
      <c r="B55" s="63"/>
      <c r="C55">
        <f t="shared" si="3"/>
        <v>-28.524999999999999</v>
      </c>
      <c r="D55">
        <f t="shared" si="4"/>
        <v>49.348999999999975</v>
      </c>
      <c r="F55" s="45"/>
    </row>
    <row r="56" spans="2:6" x14ac:dyDescent="0.3">
      <c r="B56" s="63"/>
      <c r="C56">
        <f t="shared" si="3"/>
        <v>-24.96686462636859</v>
      </c>
      <c r="D56">
        <f t="shared" si="4"/>
        <v>29.169811543785524</v>
      </c>
      <c r="F56" s="45"/>
    </row>
    <row r="57" spans="2:6" x14ac:dyDescent="0.3">
      <c r="B57" s="63"/>
      <c r="C57">
        <f t="shared" si="3"/>
        <v>-14.72162214401969</v>
      </c>
      <c r="D57">
        <f t="shared" si="4"/>
        <v>11.424531028494158</v>
      </c>
      <c r="F57" s="45"/>
    </row>
    <row r="58" spans="2:6" x14ac:dyDescent="0.3">
      <c r="B58" s="63"/>
      <c r="C58">
        <f t="shared" si="3"/>
        <v>0.97500000000002274</v>
      </c>
      <c r="D58">
        <f t="shared" si="4"/>
        <v>-1.7464988232818968</v>
      </c>
      <c r="F58" s="45"/>
    </row>
    <row r="59" spans="2:6" x14ac:dyDescent="0.3">
      <c r="B59" s="63"/>
      <c r="C59">
        <f t="shared" si="3"/>
        <v>20.229757517651112</v>
      </c>
      <c r="D59">
        <f t="shared" si="4"/>
        <v>-8.7546574277202751</v>
      </c>
      <c r="F59" s="45"/>
    </row>
    <row r="60" spans="2:6" x14ac:dyDescent="0.3">
      <c r="B60" s="63"/>
      <c r="C60">
        <f t="shared" si="3"/>
        <v>40.720242482348866</v>
      </c>
      <c r="D60">
        <f t="shared" si="4"/>
        <v>-8.7546574277202822</v>
      </c>
      <c r="F60" s="45"/>
    </row>
    <row r="61" spans="2:6" x14ac:dyDescent="0.3">
      <c r="B61" s="63"/>
      <c r="C61">
        <f t="shared" si="3"/>
        <v>59.974999999999966</v>
      </c>
      <c r="D61">
        <f t="shared" si="4"/>
        <v>-1.7464988232819039</v>
      </c>
      <c r="F61" s="45"/>
    </row>
    <row r="62" spans="2:6" x14ac:dyDescent="0.3">
      <c r="B62" s="63"/>
      <c r="C62">
        <f t="shared" si="3"/>
        <v>75.671622144019665</v>
      </c>
      <c r="D62">
        <f t="shared" si="4"/>
        <v>11.424531028494123</v>
      </c>
      <c r="F62" s="45"/>
    </row>
    <row r="63" spans="2:6" x14ac:dyDescent="0.3">
      <c r="B63" s="63"/>
      <c r="C63">
        <f t="shared" si="3"/>
        <v>85.916864626368564</v>
      </c>
      <c r="D63">
        <f t="shared" si="4"/>
        <v>29.16981154378545</v>
      </c>
      <c r="F63" s="45"/>
    </row>
    <row r="64" spans="2:6" x14ac:dyDescent="0.3">
      <c r="B64" s="63"/>
      <c r="C64">
        <f t="shared" si="3"/>
        <v>88.578657427720259</v>
      </c>
      <c r="D64">
        <f t="shared" si="4"/>
        <v>39.103757517651005</v>
      </c>
      <c r="F64" s="45"/>
    </row>
    <row r="65" spans="2:6" x14ac:dyDescent="0.3">
      <c r="B65" s="63"/>
      <c r="C65">
        <f t="shared" si="3"/>
        <v>89.394142550519859</v>
      </c>
      <c r="D65">
        <f t="shared" si="4"/>
        <v>46.261178581666229</v>
      </c>
      <c r="F65" s="45"/>
    </row>
    <row r="66" spans="2:6" x14ac:dyDescent="0.3">
      <c r="B66" s="63"/>
      <c r="C66">
        <f t="shared" si="3"/>
        <v>89.474999999999994</v>
      </c>
      <c r="D66">
        <f t="shared" si="4"/>
        <v>49.348999999999933</v>
      </c>
      <c r="F66" s="45"/>
    </row>
    <row r="67" spans="2:6" x14ac:dyDescent="0.3">
      <c r="B67" s="63" t="s">
        <v>79</v>
      </c>
      <c r="F67" s="45"/>
    </row>
    <row r="68" spans="2:6" x14ac:dyDescent="0.3">
      <c r="B68" s="63"/>
      <c r="C68" s="19">
        <f>C6</f>
        <v>81.234099999999998</v>
      </c>
      <c r="E68" s="19">
        <f>D6</f>
        <v>-33.2134</v>
      </c>
      <c r="F68" s="45"/>
    </row>
    <row r="69" spans="2:6" x14ac:dyDescent="0.3">
      <c r="B69" s="63"/>
      <c r="F69" s="45"/>
    </row>
    <row r="70" spans="2:6" x14ac:dyDescent="0.3">
      <c r="B70" s="63"/>
      <c r="C70" s="19">
        <f>C7</f>
        <v>30.475000000000001</v>
      </c>
      <c r="E70" s="19">
        <f>D7</f>
        <v>49.348999999999997</v>
      </c>
      <c r="F70" s="45"/>
    </row>
    <row r="71" spans="2:6" x14ac:dyDescent="0.3">
      <c r="B71" s="63" t="s">
        <v>53</v>
      </c>
      <c r="F71" s="45"/>
    </row>
    <row r="72" spans="2:6" x14ac:dyDescent="0.3">
      <c r="B72" s="63"/>
      <c r="C72" s="60">
        <f>IFERROR(C8,NA())</f>
        <v>102.95477716376925</v>
      </c>
      <c r="F72" s="83">
        <f>IFERROR(D8,NA())</f>
        <v>-29.718806526173179</v>
      </c>
    </row>
    <row r="73" spans="2:6" x14ac:dyDescent="0.3">
      <c r="B73" s="63"/>
      <c r="C73" s="60">
        <f t="shared" ref="C73" si="5">IFERROR(C9,NA())</f>
        <v>88.725906939199362</v>
      </c>
      <c r="F73" s="83">
        <f>IFERROR(D9,NA())</f>
        <v>58.720864316171927</v>
      </c>
    </row>
    <row r="74" spans="2:6" x14ac:dyDescent="0.3">
      <c r="B74" s="63"/>
      <c r="C74" s="60"/>
      <c r="F74" s="83"/>
    </row>
    <row r="75" spans="2:6" x14ac:dyDescent="0.3">
      <c r="B75" s="63"/>
      <c r="C75" s="60">
        <f>IFERROR(C10,NA())</f>
        <v>68.310984528370824</v>
      </c>
      <c r="F75" s="83">
        <f>IFERROR(D10,NA())</f>
        <v>-51.017699663478439</v>
      </c>
    </row>
    <row r="76" spans="2:6" x14ac:dyDescent="0.3">
      <c r="B76" s="63"/>
      <c r="C76" s="60">
        <f>IFERROR(C11,NA())</f>
        <v>-4.1824460375509744</v>
      </c>
      <c r="F76" s="83">
        <f>IFERROR(D11,NA())</f>
        <v>1.6011054479441782</v>
      </c>
    </row>
    <row r="77" spans="2:6" x14ac:dyDescent="0.3">
      <c r="B77" s="63"/>
      <c r="C77" s="60"/>
      <c r="F77" s="83"/>
    </row>
    <row r="78" spans="2:6" x14ac:dyDescent="0.3">
      <c r="B78" s="63"/>
      <c r="C78" s="60">
        <f>IFERROR(C12,NA())</f>
        <v>81.895118844225223</v>
      </c>
      <c r="F78" s="83">
        <f>IFERROR(D12,NA())</f>
        <v>-11.223332831217199</v>
      </c>
    </row>
    <row r="79" spans="2:6" x14ac:dyDescent="0.3">
      <c r="B79" s="63"/>
      <c r="C79" s="60">
        <f>IFERROR(C13,NA())</f>
        <v>28.70226764503234</v>
      </c>
      <c r="F79" s="83">
        <f>IFERROR(D13,NA())</f>
        <v>-9.624361952644783</v>
      </c>
    </row>
    <row r="80" spans="2:6" x14ac:dyDescent="0.3">
      <c r="B80" s="63"/>
      <c r="C80" s="60"/>
      <c r="F80" s="83"/>
    </row>
    <row r="81" spans="2:6" x14ac:dyDescent="0.3">
      <c r="B81" s="63"/>
      <c r="C81" s="60">
        <f>IFERROR(C14,NA())</f>
        <v>61.31355420811677</v>
      </c>
      <c r="F81" s="83">
        <f>IFERROR(D14,NA())</f>
        <v>-23.876813077923845</v>
      </c>
    </row>
    <row r="82" spans="2:6" x14ac:dyDescent="0.3">
      <c r="B82" s="63"/>
      <c r="C82" s="60">
        <f>IFERROR(C15,NA())</f>
        <v>83.898281896414119</v>
      </c>
      <c r="F82" s="83">
        <f>IFERROR(D15,NA())</f>
        <v>24.309971436250311</v>
      </c>
    </row>
    <row r="83" spans="2:6" ht="15" thickBot="1" x14ac:dyDescent="0.35">
      <c r="B83" s="84"/>
      <c r="C83" s="61"/>
      <c r="D83" s="61"/>
      <c r="E83" s="61"/>
      <c r="F83" s="85"/>
    </row>
    <row r="84" spans="2:6" x14ac:dyDescent="0.3">
      <c r="B84" s="63" t="s">
        <v>48</v>
      </c>
      <c r="F84" s="45"/>
    </row>
    <row r="85" spans="2:6" x14ac:dyDescent="0.3">
      <c r="B85" s="63" t="s">
        <v>49</v>
      </c>
      <c r="F85" s="45"/>
    </row>
    <row r="86" spans="2:6" x14ac:dyDescent="0.3">
      <c r="B86" s="63">
        <f>MAX(C20:C66)-MIN(C20:C66)</f>
        <v>131.75909999999999</v>
      </c>
      <c r="C86">
        <f>ROUND(MIN(C20:C66)-0.5*10^B88,B88)</f>
        <v>-29</v>
      </c>
      <c r="D86">
        <f>ROUND(MIN(D20:D66)-0.5*10^B88,B88)</f>
        <v>-55</v>
      </c>
      <c r="F86" s="45"/>
    </row>
    <row r="87" spans="2:6" x14ac:dyDescent="0.3">
      <c r="B87" s="63">
        <f>MAX(D20:D66)-MIN(D20:D66)</f>
        <v>162.33182799398887</v>
      </c>
      <c r="F87" s="45"/>
    </row>
    <row r="88" spans="2:6" ht="15" thickBot="1" x14ac:dyDescent="0.35">
      <c r="B88" s="67">
        <f>2-INT(LOG(MAX(B86:B87),10))</f>
        <v>0</v>
      </c>
      <c r="C88" s="46">
        <f>C86+ROUND(MAX(B86:B87)+0.5*10^B88,B88)</f>
        <v>134</v>
      </c>
      <c r="D88" s="46">
        <f>D86+ROUND(MAX(B86:B87)+0.5*10^B88,B88)</f>
        <v>108</v>
      </c>
      <c r="E88" s="46"/>
      <c r="F88" s="47"/>
    </row>
    <row r="89" spans="2:6" ht="15" thickTop="1" x14ac:dyDescent="0.3"/>
  </sheetData>
  <sheetProtection sheet="1" objects="1" scenarios="1"/>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A1F41-5B31-4750-96D4-67C106BFD677}">
  <sheetPr codeName="Tabelle2"/>
  <dimension ref="B1:J72"/>
  <sheetViews>
    <sheetView workbookViewId="0"/>
  </sheetViews>
  <sheetFormatPr baseColWidth="10" defaultRowHeight="14.4" x14ac:dyDescent="0.3"/>
  <sheetData>
    <row r="1" spans="2:10" ht="15" thickBot="1" x14ac:dyDescent="0.35"/>
    <row r="2" spans="2:10" ht="15.6" thickTop="1" thickBot="1" x14ac:dyDescent="0.35">
      <c r="B2" s="51" t="s">
        <v>42</v>
      </c>
      <c r="C2" s="52"/>
      <c r="D2" s="52"/>
      <c r="E2" s="52"/>
      <c r="F2" s="52"/>
      <c r="G2" s="52"/>
      <c r="H2" s="52"/>
      <c r="I2" s="52"/>
      <c r="J2" s="53"/>
    </row>
    <row r="3" spans="2:10" ht="15" thickTop="1" x14ac:dyDescent="0.3">
      <c r="B3" s="37"/>
      <c r="C3" s="37"/>
      <c r="D3" s="37"/>
      <c r="E3" s="37"/>
      <c r="F3" s="37"/>
      <c r="G3" s="37"/>
      <c r="H3" s="37"/>
      <c r="I3" s="37"/>
    </row>
    <row r="4" spans="2:10" x14ac:dyDescent="0.3">
      <c r="C4" s="39" t="s">
        <v>26</v>
      </c>
      <c r="D4" s="40"/>
      <c r="E4" s="39" t="s">
        <v>27</v>
      </c>
      <c r="F4" s="40"/>
      <c r="G4" s="38" t="s">
        <v>28</v>
      </c>
      <c r="H4" s="41" t="s">
        <v>13</v>
      </c>
      <c r="I4" s="41" t="s">
        <v>29</v>
      </c>
      <c r="J4" s="41" t="s">
        <v>29</v>
      </c>
    </row>
    <row r="5" spans="2:10" ht="15.6" x14ac:dyDescent="0.3">
      <c r="C5" s="38" t="s">
        <v>93</v>
      </c>
      <c r="D5" s="38" t="s">
        <v>94</v>
      </c>
      <c r="E5" s="38" t="s">
        <v>96</v>
      </c>
      <c r="F5" s="38" t="s">
        <v>95</v>
      </c>
      <c r="G5" s="38" t="s">
        <v>6</v>
      </c>
      <c r="H5" s="38" t="s">
        <v>7</v>
      </c>
      <c r="I5" s="38" t="s">
        <v>33</v>
      </c>
      <c r="J5" s="38" t="s">
        <v>36</v>
      </c>
    </row>
    <row r="6" spans="2:10" x14ac:dyDescent="0.3">
      <c r="B6" s="13" t="s">
        <v>8</v>
      </c>
      <c r="C6" s="25">
        <v>30.475000000000001</v>
      </c>
      <c r="D6" s="25">
        <v>49.348999999999997</v>
      </c>
      <c r="E6" s="8"/>
      <c r="F6" s="8"/>
      <c r="G6" s="26">
        <v>48</v>
      </c>
      <c r="H6" s="8"/>
      <c r="I6" s="8"/>
      <c r="J6" s="36"/>
    </row>
    <row r="7" spans="2:10" x14ac:dyDescent="0.3">
      <c r="B7" s="14" t="s">
        <v>9</v>
      </c>
      <c r="C7" s="27">
        <v>-24.48</v>
      </c>
      <c r="D7" s="27">
        <v>51.472999999999999</v>
      </c>
      <c r="E7" s="9"/>
      <c r="F7" s="9"/>
      <c r="G7" s="28">
        <v>49</v>
      </c>
      <c r="J7" s="48"/>
    </row>
    <row r="8" spans="2:10" x14ac:dyDescent="0.3">
      <c r="B8" s="15" t="s">
        <v>11</v>
      </c>
      <c r="C8" s="6">
        <f>C6+(C7-C6)/2+((C7-C6)*(G6^2-G7^2)/2+SQRT(G6^2*((C7-C6)^2+(D7-D6)^2)-(G6^2-G7^2+(C7-C6)^2+(D7-D6)^2)^2/4)*(D7-D6))/((C7-C6)^2+(D7-D6)^2)</f>
        <v>5.4214280508027137</v>
      </c>
      <c r="D8" s="7">
        <f>D6+(D7-D6)/2+((D7-D6)*(G6^2-G7^2)/2+SQRT(G6^2*((C7-C6)^2+(D7-D6)^2)-(G6^2-G7^2+(C7-C6)^2+(D7-D6)^2)^2/4)*(C6-C7))/((C7-C6)^2+(D7-D6)^2)</f>
        <v>90.291869129878961</v>
      </c>
      <c r="J8" s="48"/>
    </row>
    <row r="9" spans="2:10" x14ac:dyDescent="0.3">
      <c r="B9" s="14" t="s">
        <v>12</v>
      </c>
      <c r="C9" s="4">
        <f>C6+(C7-C6)/2+((C7-C6)*(G6^2-G7^2)/2-SQRT(G6^2*((C7-C6)^2+(D7-D6)^2)-(G6^2-G7^2+(C7-C6)^2+(D7-D6)^2)^2/4)*(D7-D6))/((C7-C6)^2+(D7-D6)^2)</f>
        <v>2.3360197121496409</v>
      </c>
      <c r="D9" s="5">
        <f>D6+(D7-D6)/2+((D7-D6)*(G6^2-G7^2)/2-SQRT(G6^2*((C7-C6)^2+(D7-D6)^2)-(G6^2-G7^2+(C7-C6)^2+(D7-D6)^2)^2/4)*(C6-C7))/((C7-C6)^2+(D7-D6)^2)</f>
        <v>10.462012608843452</v>
      </c>
      <c r="E9" s="9"/>
      <c r="F9" s="9"/>
      <c r="G9" s="9"/>
      <c r="H9" s="9"/>
      <c r="I9" s="9"/>
      <c r="J9" s="49"/>
    </row>
    <row r="10" spans="2:10" ht="15" thickBot="1" x14ac:dyDescent="0.35"/>
    <row r="11" spans="2:10" ht="15.6" thickTop="1" thickBot="1" x14ac:dyDescent="0.35">
      <c r="B11" s="54" t="s">
        <v>44</v>
      </c>
      <c r="C11" s="55"/>
      <c r="D11" s="55"/>
      <c r="E11" s="55"/>
      <c r="F11" s="56"/>
    </row>
    <row r="12" spans="2:10" ht="15" thickBot="1" x14ac:dyDescent="0.35">
      <c r="B12" s="57" t="s">
        <v>4</v>
      </c>
      <c r="C12" s="58" t="s">
        <v>3</v>
      </c>
      <c r="D12" s="58" t="s">
        <v>45</v>
      </c>
      <c r="E12" s="58" t="s">
        <v>46</v>
      </c>
      <c r="F12" s="59" t="s">
        <v>47</v>
      </c>
    </row>
    <row r="13" spans="2:10" ht="15" thickTop="1" x14ac:dyDescent="0.3">
      <c r="B13" s="86" t="s">
        <v>8</v>
      </c>
      <c r="C13" s="81"/>
      <c r="D13" s="81"/>
      <c r="E13" s="81"/>
      <c r="F13" s="82"/>
    </row>
    <row r="14" spans="2:10" x14ac:dyDescent="0.3">
      <c r="B14" s="87">
        <f>0</f>
        <v>0</v>
      </c>
      <c r="C14">
        <f t="shared" ref="C14:C36" si="0">$C$6+$G$6*COS(B14)</f>
        <v>78.474999999999994</v>
      </c>
      <c r="D14">
        <f t="shared" ref="D14:D36" si="1">$D$6+$G$6*SIN(B14)</f>
        <v>49.348999999999997</v>
      </c>
      <c r="F14" s="45"/>
    </row>
    <row r="15" spans="2:10" x14ac:dyDescent="0.3">
      <c r="B15" s="87">
        <f>B14+RADIANS(3)</f>
        <v>5.235987755982989E-2</v>
      </c>
      <c r="C15">
        <f t="shared" si="0"/>
        <v>78.409217668219554</v>
      </c>
      <c r="D15">
        <f t="shared" si="1"/>
        <v>51.861125899661303</v>
      </c>
      <c r="F15" s="45"/>
    </row>
    <row r="16" spans="2:10" x14ac:dyDescent="0.3">
      <c r="B16" s="87">
        <f>B15+RADIANS(7)</f>
        <v>0.17453292519943298</v>
      </c>
      <c r="C16">
        <f t="shared" si="0"/>
        <v>77.745772144585985</v>
      </c>
      <c r="D16">
        <f t="shared" si="1"/>
        <v>57.684112528012655</v>
      </c>
      <c r="F16" s="45"/>
    </row>
    <row r="17" spans="2:6" x14ac:dyDescent="0.3">
      <c r="B17" s="87">
        <f>B16+RADIANS(10)</f>
        <v>0.34906585039886595</v>
      </c>
      <c r="C17">
        <f t="shared" si="0"/>
        <v>75.580245797723592</v>
      </c>
      <c r="D17">
        <f t="shared" si="1"/>
        <v>65.765966879632089</v>
      </c>
      <c r="F17" s="45"/>
    </row>
    <row r="18" spans="2:6" x14ac:dyDescent="0.3">
      <c r="B18" s="87">
        <f t="shared" ref="B18:B33" si="2">B17+RADIANS(20)</f>
        <v>0.6981317007977319</v>
      </c>
      <c r="C18">
        <f t="shared" si="0"/>
        <v>67.245133269710948</v>
      </c>
      <c r="D18">
        <f t="shared" si="1"/>
        <v>80.202805264953895</v>
      </c>
      <c r="F18" s="45"/>
    </row>
    <row r="19" spans="2:6" x14ac:dyDescent="0.3">
      <c r="B19" s="87">
        <f t="shared" si="2"/>
        <v>1.0471975511965979</v>
      </c>
      <c r="C19">
        <f t="shared" si="0"/>
        <v>54.474999999999994</v>
      </c>
      <c r="D19">
        <f t="shared" si="1"/>
        <v>90.918219381653046</v>
      </c>
      <c r="F19" s="45"/>
    </row>
    <row r="20" spans="2:6" x14ac:dyDescent="0.3">
      <c r="B20" s="87">
        <f t="shared" si="2"/>
        <v>1.3962634015954638</v>
      </c>
      <c r="C20">
        <f t="shared" si="0"/>
        <v>38.810112528012652</v>
      </c>
      <c r="D20">
        <f t="shared" si="1"/>
        <v>96.619772144585994</v>
      </c>
      <c r="F20" s="45"/>
    </row>
    <row r="21" spans="2:6" x14ac:dyDescent="0.3">
      <c r="B21" s="87">
        <f t="shared" si="2"/>
        <v>1.7453292519943298</v>
      </c>
      <c r="C21">
        <f t="shared" si="0"/>
        <v>22.139887471987336</v>
      </c>
      <c r="D21">
        <f t="shared" si="1"/>
        <v>96.61977214458598</v>
      </c>
      <c r="F21" s="45"/>
    </row>
    <row r="22" spans="2:6" x14ac:dyDescent="0.3">
      <c r="B22" s="87">
        <f t="shared" si="2"/>
        <v>2.0943951023931957</v>
      </c>
      <c r="C22">
        <f t="shared" si="0"/>
        <v>6.4749999999999908</v>
      </c>
      <c r="D22">
        <f t="shared" si="1"/>
        <v>90.918219381653046</v>
      </c>
      <c r="F22" s="45"/>
    </row>
    <row r="23" spans="2:6" x14ac:dyDescent="0.3">
      <c r="B23" s="87">
        <f t="shared" si="2"/>
        <v>2.4434609527920617</v>
      </c>
      <c r="C23">
        <f t="shared" si="0"/>
        <v>-6.2951332697109521</v>
      </c>
      <c r="D23">
        <f t="shared" si="1"/>
        <v>80.202805264953867</v>
      </c>
      <c r="F23" s="45"/>
    </row>
    <row r="24" spans="2:6" x14ac:dyDescent="0.3">
      <c r="B24" s="87">
        <f t="shared" si="2"/>
        <v>2.7925268031909276</v>
      </c>
      <c r="C24">
        <f t="shared" si="0"/>
        <v>-14.630245797723603</v>
      </c>
      <c r="D24">
        <f t="shared" si="1"/>
        <v>65.765966879632089</v>
      </c>
      <c r="F24" s="45"/>
    </row>
    <row r="25" spans="2:6" x14ac:dyDescent="0.3">
      <c r="B25" s="87">
        <f t="shared" si="2"/>
        <v>3.1415926535897936</v>
      </c>
      <c r="C25">
        <f t="shared" si="0"/>
        <v>-17.524999999999999</v>
      </c>
      <c r="D25">
        <f t="shared" si="1"/>
        <v>49.348999999999982</v>
      </c>
      <c r="F25" s="45"/>
    </row>
    <row r="26" spans="2:6" x14ac:dyDescent="0.3">
      <c r="B26" s="87">
        <f t="shared" si="2"/>
        <v>3.4906585039886595</v>
      </c>
      <c r="C26">
        <f t="shared" si="0"/>
        <v>-14.630245797723596</v>
      </c>
      <c r="D26">
        <f t="shared" si="1"/>
        <v>32.932033120367883</v>
      </c>
      <c r="F26" s="45"/>
    </row>
    <row r="27" spans="2:6" x14ac:dyDescent="0.3">
      <c r="B27" s="87">
        <f t="shared" si="2"/>
        <v>3.8397243543875255</v>
      </c>
      <c r="C27">
        <f t="shared" si="0"/>
        <v>-6.2951332697109308</v>
      </c>
      <c r="D27">
        <f t="shared" si="1"/>
        <v>18.495194735046098</v>
      </c>
      <c r="F27" s="45"/>
    </row>
    <row r="28" spans="2:6" x14ac:dyDescent="0.3">
      <c r="B28" s="87">
        <f t="shared" si="2"/>
        <v>4.1887902047863914</v>
      </c>
      <c r="C28">
        <f t="shared" si="0"/>
        <v>6.4750000000000192</v>
      </c>
      <c r="D28">
        <f t="shared" si="1"/>
        <v>7.7797806183469334</v>
      </c>
      <c r="F28" s="45"/>
    </row>
    <row r="29" spans="2:6" x14ac:dyDescent="0.3">
      <c r="B29" s="87">
        <f t="shared" si="2"/>
        <v>4.5378560551852569</v>
      </c>
      <c r="C29">
        <f t="shared" si="0"/>
        <v>22.139887471987343</v>
      </c>
      <c r="D29">
        <f t="shared" si="1"/>
        <v>2.0782278554140134</v>
      </c>
      <c r="F29" s="45"/>
    </row>
    <row r="30" spans="2:6" x14ac:dyDescent="0.3">
      <c r="B30" s="87">
        <f t="shared" si="2"/>
        <v>4.8869219055841224</v>
      </c>
      <c r="C30">
        <f t="shared" si="0"/>
        <v>38.810112528012638</v>
      </c>
      <c r="D30">
        <f t="shared" si="1"/>
        <v>2.0782278554140063</v>
      </c>
      <c r="F30" s="45"/>
    </row>
    <row r="31" spans="2:6" x14ac:dyDescent="0.3">
      <c r="B31" s="87">
        <f t="shared" si="2"/>
        <v>5.2359877559829879</v>
      </c>
      <c r="C31">
        <f t="shared" si="0"/>
        <v>54.474999999999966</v>
      </c>
      <c r="D31">
        <f t="shared" si="1"/>
        <v>7.7797806183469262</v>
      </c>
      <c r="F31" s="45"/>
    </row>
    <row r="32" spans="2:6" x14ac:dyDescent="0.3">
      <c r="B32" s="87">
        <f t="shared" si="2"/>
        <v>5.5850536063818534</v>
      </c>
      <c r="C32">
        <f t="shared" si="0"/>
        <v>67.245133269710919</v>
      </c>
      <c r="D32">
        <f t="shared" si="1"/>
        <v>18.495194735046063</v>
      </c>
      <c r="F32" s="45"/>
    </row>
    <row r="33" spans="2:6" x14ac:dyDescent="0.3">
      <c r="B33" s="87">
        <f t="shared" si="2"/>
        <v>5.9341194567807189</v>
      </c>
      <c r="C33">
        <f t="shared" si="0"/>
        <v>75.580245797723578</v>
      </c>
      <c r="D33">
        <f t="shared" si="1"/>
        <v>32.932033120367819</v>
      </c>
      <c r="F33" s="45"/>
    </row>
    <row r="34" spans="2:6" x14ac:dyDescent="0.3">
      <c r="B34" s="87">
        <f>B33+RADIANS(10)</f>
        <v>6.1086523819801517</v>
      </c>
      <c r="C34">
        <f t="shared" si="0"/>
        <v>77.74577214458597</v>
      </c>
      <c r="D34">
        <f t="shared" si="1"/>
        <v>41.013887471987253</v>
      </c>
      <c r="F34" s="45"/>
    </row>
    <row r="35" spans="2:6" x14ac:dyDescent="0.3">
      <c r="B35" s="87">
        <f>B34+RADIANS(7)</f>
        <v>6.2308254296197552</v>
      </c>
      <c r="C35">
        <f t="shared" si="0"/>
        <v>78.409217668219554</v>
      </c>
      <c r="D35">
        <f t="shared" si="1"/>
        <v>46.836874100338626</v>
      </c>
      <c r="F35" s="45"/>
    </row>
    <row r="36" spans="2:6" x14ac:dyDescent="0.3">
      <c r="B36" s="87">
        <f>B35+RADIANS(3)</f>
        <v>6.2831853071795853</v>
      </c>
      <c r="C36">
        <f t="shared" si="0"/>
        <v>78.474999999999994</v>
      </c>
      <c r="D36">
        <f t="shared" si="1"/>
        <v>49.34899999999994</v>
      </c>
      <c r="F36" s="45"/>
    </row>
    <row r="37" spans="2:6" x14ac:dyDescent="0.3">
      <c r="B37" s="74" t="s">
        <v>9</v>
      </c>
      <c r="F37" s="45"/>
    </row>
    <row r="38" spans="2:6" x14ac:dyDescent="0.3">
      <c r="B38" s="74"/>
      <c r="C38">
        <f t="shared" ref="C38:C60" si="3">$C$7+$G$7*COS(B14)</f>
        <v>24.52</v>
      </c>
      <c r="D38">
        <f t="shared" ref="D38:D60" si="4">$D$7+$G$7*SIN(B14)</f>
        <v>51.472999999999999</v>
      </c>
      <c r="F38" s="45"/>
    </row>
    <row r="39" spans="2:6" x14ac:dyDescent="0.3">
      <c r="B39" s="74"/>
      <c r="C39">
        <f t="shared" si="3"/>
        <v>24.452847202974116</v>
      </c>
      <c r="D39">
        <f t="shared" si="4"/>
        <v>54.037461855904247</v>
      </c>
      <c r="F39" s="45"/>
    </row>
    <row r="40" spans="2:6" x14ac:dyDescent="0.3">
      <c r="B40" s="74"/>
      <c r="C40">
        <f t="shared" si="3"/>
        <v>23.775579897598195</v>
      </c>
      <c r="D40">
        <f t="shared" si="4"/>
        <v>59.981760705679591</v>
      </c>
      <c r="F40" s="45"/>
    </row>
    <row r="41" spans="2:6" x14ac:dyDescent="0.3">
      <c r="B41" s="74"/>
      <c r="C41">
        <f t="shared" si="3"/>
        <v>21.564938418509509</v>
      </c>
      <c r="D41">
        <f t="shared" si="4"/>
        <v>68.231987022957767</v>
      </c>
      <c r="F41" s="45"/>
    </row>
    <row r="42" spans="2:6" x14ac:dyDescent="0.3">
      <c r="B42" s="74"/>
      <c r="C42">
        <f t="shared" si="3"/>
        <v>13.056177712829925</v>
      </c>
      <c r="D42">
        <f t="shared" si="4"/>
        <v>82.969592874640426</v>
      </c>
      <c r="F42" s="45"/>
    </row>
    <row r="43" spans="2:6" x14ac:dyDescent="0.3">
      <c r="B43" s="74"/>
      <c r="C43">
        <f t="shared" si="3"/>
        <v>1.9999999999992468E-2</v>
      </c>
      <c r="D43">
        <f t="shared" si="4"/>
        <v>93.908244785437489</v>
      </c>
      <c r="F43" s="45"/>
    </row>
    <row r="44" spans="2:6" x14ac:dyDescent="0.3">
      <c r="B44" s="74"/>
      <c r="C44">
        <f t="shared" si="3"/>
        <v>-15.971239294320419</v>
      </c>
      <c r="D44">
        <f t="shared" si="4"/>
        <v>99.728579897598195</v>
      </c>
      <c r="F44" s="45"/>
    </row>
    <row r="45" spans="2:6" x14ac:dyDescent="0.3">
      <c r="B45" s="74"/>
      <c r="C45">
        <f t="shared" si="3"/>
        <v>-32.988760705679596</v>
      </c>
      <c r="D45">
        <f t="shared" si="4"/>
        <v>99.728579897598195</v>
      </c>
      <c r="F45" s="45"/>
    </row>
    <row r="46" spans="2:6" x14ac:dyDescent="0.3">
      <c r="B46" s="74"/>
      <c r="C46">
        <f t="shared" si="3"/>
        <v>-48.980000000000011</v>
      </c>
      <c r="D46">
        <f t="shared" si="4"/>
        <v>93.908244785437489</v>
      </c>
      <c r="F46" s="45"/>
    </row>
    <row r="47" spans="2:6" x14ac:dyDescent="0.3">
      <c r="B47" s="74"/>
      <c r="C47">
        <f t="shared" si="3"/>
        <v>-62.016177712829929</v>
      </c>
      <c r="D47">
        <f t="shared" si="4"/>
        <v>82.969592874640412</v>
      </c>
      <c r="F47" s="45"/>
    </row>
    <row r="48" spans="2:6" x14ac:dyDescent="0.3">
      <c r="B48" s="74"/>
      <c r="C48">
        <f t="shared" si="3"/>
        <v>-70.524938418509507</v>
      </c>
      <c r="D48">
        <f t="shared" si="4"/>
        <v>68.231987022957753</v>
      </c>
      <c r="F48" s="45"/>
    </row>
    <row r="49" spans="2:6" x14ac:dyDescent="0.3">
      <c r="B49" s="74"/>
      <c r="C49">
        <f t="shared" si="3"/>
        <v>-73.48</v>
      </c>
      <c r="D49">
        <f t="shared" si="4"/>
        <v>51.472999999999985</v>
      </c>
      <c r="F49" s="45"/>
    </row>
    <row r="50" spans="2:6" x14ac:dyDescent="0.3">
      <c r="B50" s="74"/>
      <c r="C50">
        <f t="shared" si="3"/>
        <v>-70.524938418509507</v>
      </c>
      <c r="D50">
        <f t="shared" si="4"/>
        <v>34.714012977042216</v>
      </c>
      <c r="F50" s="45"/>
    </row>
    <row r="51" spans="2:6" x14ac:dyDescent="0.3">
      <c r="B51" s="74"/>
      <c r="C51">
        <f t="shared" si="3"/>
        <v>-62.016177712829915</v>
      </c>
      <c r="D51">
        <f t="shared" si="4"/>
        <v>19.976407125359561</v>
      </c>
      <c r="F51" s="45"/>
    </row>
    <row r="52" spans="2:6" x14ac:dyDescent="0.3">
      <c r="B52" s="74"/>
      <c r="C52">
        <f t="shared" si="3"/>
        <v>-48.979999999999983</v>
      </c>
      <c r="D52">
        <f t="shared" si="4"/>
        <v>9.0377552145624946</v>
      </c>
      <c r="F52" s="45"/>
    </row>
    <row r="53" spans="2:6" x14ac:dyDescent="0.3">
      <c r="B53" s="74"/>
      <c r="C53">
        <f t="shared" si="3"/>
        <v>-32.988760705679589</v>
      </c>
      <c r="D53">
        <f t="shared" si="4"/>
        <v>3.2174201024018032</v>
      </c>
      <c r="F53" s="45"/>
    </row>
    <row r="54" spans="2:6" x14ac:dyDescent="0.3">
      <c r="B54" s="74"/>
      <c r="C54">
        <f t="shared" si="3"/>
        <v>-15.971239294320432</v>
      </c>
      <c r="D54">
        <f t="shared" si="4"/>
        <v>3.2174201024018032</v>
      </c>
      <c r="F54" s="45"/>
    </row>
    <row r="55" spans="2:6" x14ac:dyDescent="0.3">
      <c r="B55" s="74"/>
      <c r="C55">
        <f t="shared" si="3"/>
        <v>1.9999999999967599E-2</v>
      </c>
      <c r="D55">
        <f t="shared" si="4"/>
        <v>9.0377552145624875</v>
      </c>
      <c r="F55" s="45"/>
    </row>
    <row r="56" spans="2:6" x14ac:dyDescent="0.3">
      <c r="B56" s="74"/>
      <c r="C56">
        <f t="shared" si="3"/>
        <v>13.056177712829882</v>
      </c>
      <c r="D56">
        <f t="shared" si="4"/>
        <v>19.976407125359525</v>
      </c>
      <c r="F56" s="45"/>
    </row>
    <row r="57" spans="2:6" x14ac:dyDescent="0.3">
      <c r="B57" s="74"/>
      <c r="C57">
        <f t="shared" si="3"/>
        <v>21.564938418509488</v>
      </c>
      <c r="D57">
        <f t="shared" si="4"/>
        <v>34.714012977042159</v>
      </c>
      <c r="F57" s="45"/>
    </row>
    <row r="58" spans="2:6" x14ac:dyDescent="0.3">
      <c r="B58" s="74"/>
      <c r="C58">
        <f t="shared" si="3"/>
        <v>23.775579897598181</v>
      </c>
      <c r="D58">
        <f t="shared" si="4"/>
        <v>42.964239294320322</v>
      </c>
      <c r="F58" s="45"/>
    </row>
    <row r="59" spans="2:6" x14ac:dyDescent="0.3">
      <c r="B59" s="74"/>
      <c r="C59">
        <f t="shared" si="3"/>
        <v>24.452847202974116</v>
      </c>
      <c r="D59">
        <f t="shared" si="4"/>
        <v>48.908538144095679</v>
      </c>
      <c r="F59" s="45"/>
    </row>
    <row r="60" spans="2:6" ht="15" thickBot="1" x14ac:dyDescent="0.35">
      <c r="B60" s="75"/>
      <c r="C60">
        <f t="shared" si="3"/>
        <v>24.52</v>
      </c>
      <c r="D60">
        <f t="shared" si="4"/>
        <v>51.472999999999942</v>
      </c>
      <c r="F60" s="45"/>
    </row>
    <row r="61" spans="2:6" ht="15" thickTop="1" x14ac:dyDescent="0.3">
      <c r="B61" s="63" t="s">
        <v>50</v>
      </c>
      <c r="F61" s="45"/>
    </row>
    <row r="62" spans="2:6" x14ac:dyDescent="0.3">
      <c r="B62" s="63"/>
      <c r="C62">
        <f>C6</f>
        <v>30.475000000000001</v>
      </c>
      <c r="E62">
        <f>D6</f>
        <v>49.348999999999997</v>
      </c>
      <c r="F62" s="45"/>
    </row>
    <row r="63" spans="2:6" x14ac:dyDescent="0.3">
      <c r="B63" s="63"/>
      <c r="C63">
        <f>C7</f>
        <v>-24.48</v>
      </c>
      <c r="E63">
        <f>D7</f>
        <v>51.472999999999999</v>
      </c>
      <c r="F63" s="45"/>
    </row>
    <row r="64" spans="2:6" x14ac:dyDescent="0.3">
      <c r="B64" s="63" t="s">
        <v>43</v>
      </c>
      <c r="F64" s="45"/>
    </row>
    <row r="65" spans="2:6" x14ac:dyDescent="0.3">
      <c r="B65" s="63"/>
      <c r="C65" s="60">
        <f>IFERROR(C8,NA())</f>
        <v>5.4214280508027137</v>
      </c>
      <c r="D65" s="60"/>
      <c r="E65" s="60"/>
      <c r="F65" s="83">
        <f>IFERROR(D8,NA())</f>
        <v>90.291869129878961</v>
      </c>
    </row>
    <row r="66" spans="2:6" ht="15" thickBot="1" x14ac:dyDescent="0.35">
      <c r="B66" s="63"/>
      <c r="C66" s="60">
        <f>IFERROR(C9,NA())</f>
        <v>2.3360197121496409</v>
      </c>
      <c r="D66" s="60"/>
      <c r="E66" s="60"/>
      <c r="F66" s="83">
        <f>IFERROR(D9,NA())</f>
        <v>10.462012608843452</v>
      </c>
    </row>
    <row r="67" spans="2:6" x14ac:dyDescent="0.3">
      <c r="B67" s="92" t="s">
        <v>48</v>
      </c>
      <c r="C67" s="91"/>
      <c r="D67" s="91"/>
      <c r="E67" s="91"/>
      <c r="F67" s="93"/>
    </row>
    <row r="68" spans="2:6" x14ac:dyDescent="0.3">
      <c r="B68" s="63" t="s">
        <v>49</v>
      </c>
      <c r="F68" s="45"/>
    </row>
    <row r="69" spans="2:6" x14ac:dyDescent="0.3">
      <c r="B69" s="63">
        <f>MAX(C14:C60)-MIN(C14:C60)</f>
        <v>151.95499999999998</v>
      </c>
      <c r="C69">
        <f>ROUND(MIN(C14:C60)-0.5*10^B71,B71)</f>
        <v>-74</v>
      </c>
      <c r="D69">
        <f>ROUND(MIN(D14:D60)-0.5*10^B71,B71)</f>
        <v>2</v>
      </c>
      <c r="F69" s="45"/>
    </row>
    <row r="70" spans="2:6" x14ac:dyDescent="0.3">
      <c r="B70" s="63">
        <f>MAX(D14:D60)-MIN(D14:D60)</f>
        <v>97.650352042184181</v>
      </c>
      <c r="F70" s="45"/>
    </row>
    <row r="71" spans="2:6" ht="15" thickBot="1" x14ac:dyDescent="0.35">
      <c r="B71" s="67">
        <f>2-INT(LOG(MAX(B69:B70),10))</f>
        <v>0</v>
      </c>
      <c r="C71" s="46">
        <f>C69+ROUND(MAX(B69:B70)+0.5*10^B71,B71)</f>
        <v>78</v>
      </c>
      <c r="D71" s="46">
        <f>D69+ROUND(MAX(B69:B70)+0.5*10^B71,B71)</f>
        <v>154</v>
      </c>
      <c r="E71" s="46"/>
      <c r="F71" s="47"/>
    </row>
    <row r="72" spans="2:6" ht="15" thickTop="1" x14ac:dyDescent="0.3"/>
  </sheetData>
  <sheetProtection sheet="1" objects="1" scenarios="1"/>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8056F-5662-4A05-AB77-47E00B53BB2B}">
  <sheetPr codeName="Tabelle3"/>
  <dimension ref="B1:J24"/>
  <sheetViews>
    <sheetView workbookViewId="0"/>
  </sheetViews>
  <sheetFormatPr baseColWidth="10" defaultRowHeight="14.4" x14ac:dyDescent="0.3"/>
  <sheetData>
    <row r="1" spans="2:10" ht="15" thickBot="1" x14ac:dyDescent="0.35"/>
    <row r="2" spans="2:10" ht="15.6" thickTop="1" thickBot="1" x14ac:dyDescent="0.35">
      <c r="B2" s="51" t="s">
        <v>51</v>
      </c>
      <c r="C2" s="52"/>
      <c r="D2" s="52"/>
      <c r="E2" s="52"/>
      <c r="F2" s="52"/>
      <c r="G2" s="52"/>
      <c r="H2" s="52"/>
      <c r="I2" s="52"/>
      <c r="J2" s="53"/>
    </row>
    <row r="3" spans="2:10" ht="15" thickTop="1" x14ac:dyDescent="0.3">
      <c r="B3" s="37"/>
      <c r="C3" s="37"/>
      <c r="D3" s="37"/>
      <c r="E3" s="37"/>
      <c r="F3" s="37"/>
      <c r="G3" s="37"/>
      <c r="H3" s="37"/>
    </row>
    <row r="4" spans="2:10" x14ac:dyDescent="0.3">
      <c r="C4" s="39" t="s">
        <v>26</v>
      </c>
      <c r="D4" s="40"/>
      <c r="E4" s="39" t="s">
        <v>27</v>
      </c>
      <c r="F4" s="40"/>
      <c r="G4" s="38" t="s">
        <v>28</v>
      </c>
      <c r="H4" s="41" t="s">
        <v>13</v>
      </c>
      <c r="I4" s="41" t="s">
        <v>29</v>
      </c>
      <c r="J4" s="41" t="s">
        <v>29</v>
      </c>
    </row>
    <row r="5" spans="2:10" ht="15.6" x14ac:dyDescent="0.3">
      <c r="C5" s="38" t="s">
        <v>93</v>
      </c>
      <c r="D5" s="38" t="s">
        <v>94</v>
      </c>
      <c r="E5" s="38" t="s">
        <v>96</v>
      </c>
      <c r="F5" s="38" t="s">
        <v>95</v>
      </c>
      <c r="G5" s="38" t="s">
        <v>6</v>
      </c>
      <c r="H5" s="38" t="s">
        <v>7</v>
      </c>
      <c r="I5" s="38" t="s">
        <v>33</v>
      </c>
      <c r="J5" s="38" t="s">
        <v>36</v>
      </c>
    </row>
    <row r="6" spans="2:10" x14ac:dyDescent="0.3">
      <c r="B6" s="13" t="s">
        <v>0</v>
      </c>
      <c r="C6" s="25">
        <v>102.95477716376925</v>
      </c>
      <c r="D6" s="25">
        <v>-29.718806526173179</v>
      </c>
      <c r="E6" s="25">
        <v>0.15884515790121914</v>
      </c>
      <c r="F6" s="26">
        <v>-0.98730350744405693</v>
      </c>
      <c r="G6" s="8" t="s">
        <v>98</v>
      </c>
      <c r="H6" s="8"/>
      <c r="I6" s="8"/>
      <c r="J6" s="36"/>
    </row>
    <row r="7" spans="2:10" ht="15.6" x14ac:dyDescent="0.35">
      <c r="B7" s="14" t="s">
        <v>2</v>
      </c>
      <c r="C7" s="27">
        <v>68.310984528370824</v>
      </c>
      <c r="D7" s="27">
        <v>-51.017699663478439</v>
      </c>
      <c r="E7" s="27">
        <v>-1.701130502770821</v>
      </c>
      <c r="F7" s="28">
        <v>-0.64128787336221738</v>
      </c>
      <c r="G7" t="s">
        <v>102</v>
      </c>
      <c r="J7" s="48"/>
    </row>
    <row r="8" spans="2:10" x14ac:dyDescent="0.3">
      <c r="B8" s="18" t="s">
        <v>1</v>
      </c>
      <c r="C8" s="22">
        <f>C7+((D7-D6)*E6-(C7-C6)*F6)/(E7*F6-F7*E6)*E7</f>
        <v>104.20452775157267</v>
      </c>
      <c r="D8" s="23">
        <f>D7+((D7-D6)*E6-(C7-C6)*F6)/(E7*F6-F7*E6)*F7</f>
        <v>-37.486642543786679</v>
      </c>
      <c r="E8" s="9"/>
      <c r="F8" s="9"/>
      <c r="G8" s="9"/>
      <c r="H8" s="9"/>
      <c r="I8" s="9"/>
      <c r="J8" s="49"/>
    </row>
    <row r="10" spans="2:10" ht="15" thickBot="1" x14ac:dyDescent="0.35"/>
    <row r="11" spans="2:10" ht="15.6" thickTop="1" thickBot="1" x14ac:dyDescent="0.35">
      <c r="B11" s="54" t="s">
        <v>44</v>
      </c>
      <c r="C11" s="55"/>
      <c r="D11" s="56"/>
    </row>
    <row r="12" spans="2:10" ht="15" thickBot="1" x14ac:dyDescent="0.35">
      <c r="B12" s="57" t="s">
        <v>3</v>
      </c>
      <c r="C12" s="58" t="s">
        <v>45</v>
      </c>
      <c r="D12" s="59" t="s">
        <v>46</v>
      </c>
    </row>
    <row r="13" spans="2:10" ht="15" thickTop="1" x14ac:dyDescent="0.3">
      <c r="B13" s="63">
        <f>IFERROR(C8,C6)+MIN(IF(E6=0,C23/SQRT(E6^2+F6^2),C23/ABS(E6)),IF(F6=0,C23/SQRT(E6^2+F6^2),C23/ABS(F6)))*E6</f>
        <v>120.29331470548914</v>
      </c>
      <c r="D13" s="45">
        <f>IFERROR(D8,D6)+MIN(IF(E6=0,C23/SQRT(E6^2+F6^2),C23/ABS(E6)),IF(F6=0,C23/SQRT(E6^2+F6^2),C23/ABS(F6)))*F6</f>
        <v>-137.48664254378667</v>
      </c>
    </row>
    <row r="14" spans="2:10" x14ac:dyDescent="0.3">
      <c r="B14" s="63">
        <f>IFERROR(C8,C6)-MIN(IF(E6=0,C23/SQRT(E6^2+F6^2),C23/ABS(E6)),IF(F6=0,C23/SQRT(E6^2+F6^2),C23/ABS(F6)))*E6</f>
        <v>88.115740797656201</v>
      </c>
      <c r="D14" s="45">
        <f>IFERROR(D8,D6)-MIN(IF(E6=0,C23/SQRT(E6^2+F6^2),C23/ABS(E6)),IF(F6=0,C23/SQRT(E6^2+F6^2),C23/ABS(F6)))*F6</f>
        <v>62.513357456213321</v>
      </c>
    </row>
    <row r="15" spans="2:10" x14ac:dyDescent="0.3">
      <c r="B15" s="64">
        <f>IFERROR(C8,NA())</f>
        <v>104.20452775157267</v>
      </c>
      <c r="C15" s="60">
        <f>IFERROR(D8,NA())</f>
        <v>-37.486642543786679</v>
      </c>
      <c r="D15" s="45"/>
    </row>
    <row r="16" spans="2:10" x14ac:dyDescent="0.3">
      <c r="B16" s="63">
        <f>IFERROR(C8,C7)+MIN(IF(E7=0,C23/SQRT(E7^2+F7^2),C23/ABS(E7)),IF(F7=0,C23/SQRT(E7^2+F7^2),C23/ABS(F7)))*E7</f>
        <v>4.2045277515726696</v>
      </c>
      <c r="D16" s="45">
        <f>IFERROR(D8,D7)+MIN(IF(E7=0,C23/SQRT(E7^2+F7^2),C23/ABS(E7)),IF(F7=0,C23/SQRT(E7^2+F7^2),C23/ABS(F7)))*F7</f>
        <v>-75.184389560707501</v>
      </c>
    </row>
    <row r="17" spans="2:7" x14ac:dyDescent="0.3">
      <c r="B17" s="63">
        <f>IFERROR(C8,C7)-MIN(IF(E7=0,C23/SQRT(E7^2+F7^2),C23/ABS(E7)),IF(F7=0,C23/SQRT(E7^2+F7^2),C23/ABS(F7)))*E7</f>
        <v>204.20452775157267</v>
      </c>
      <c r="D17" s="45">
        <f>IFERROR(D8,D7)-MIN(IF(E7=0,C23/SQRT(E7^2+F7^2),C23/ABS(E7)),IF(F7=0,C23/SQRT(E7^2+F7^2),C23/ABS(F7)))*F7</f>
        <v>0.21110447313414227</v>
      </c>
      <c r="G17" s="19"/>
    </row>
    <row r="18" spans="2:7" x14ac:dyDescent="0.3">
      <c r="B18" s="63"/>
      <c r="D18" s="45"/>
    </row>
    <row r="19" spans="2:7" x14ac:dyDescent="0.3">
      <c r="B19" s="65">
        <f>C8-C23</f>
        <v>4.2045277515726696</v>
      </c>
      <c r="D19" s="66">
        <f>D8-C23</f>
        <v>-137.48664254378667</v>
      </c>
    </row>
    <row r="20" spans="2:7" x14ac:dyDescent="0.3">
      <c r="B20" s="63"/>
      <c r="D20" s="45"/>
    </row>
    <row r="21" spans="2:7" x14ac:dyDescent="0.3">
      <c r="B21" s="63">
        <f>B19+2*C23</f>
        <v>204.20452775157267</v>
      </c>
      <c r="D21" s="45">
        <f>D19+2*C23</f>
        <v>62.513357456213328</v>
      </c>
    </row>
    <row r="22" spans="2:7" ht="15" thickBot="1" x14ac:dyDescent="0.35">
      <c r="B22" s="67"/>
      <c r="C22" s="46"/>
      <c r="D22" s="47"/>
    </row>
    <row r="23" spans="2:7" ht="15.6" thickTop="1" thickBot="1" x14ac:dyDescent="0.35">
      <c r="B23" s="68" t="s">
        <v>52</v>
      </c>
      <c r="C23" s="101">
        <v>100</v>
      </c>
      <c r="D23" s="70"/>
    </row>
    <row r="24" spans="2:7" ht="15" thickTop="1" x14ac:dyDescent="0.3"/>
  </sheetData>
  <sheetProtection sheet="1" objects="1" scenarios="1"/>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4A8B3-EC15-4B12-BA63-1535127002C9}">
  <sheetPr codeName="Tabelle4"/>
  <dimension ref="B1:J23"/>
  <sheetViews>
    <sheetView workbookViewId="0"/>
  </sheetViews>
  <sheetFormatPr baseColWidth="10" defaultRowHeight="14.4" x14ac:dyDescent="0.3"/>
  <sheetData>
    <row r="1" spans="2:10" ht="15" thickBot="1" x14ac:dyDescent="0.35"/>
    <row r="2" spans="2:10" ht="15.6" thickTop="1" thickBot="1" x14ac:dyDescent="0.35">
      <c r="B2" s="51" t="s">
        <v>70</v>
      </c>
      <c r="C2" s="52"/>
      <c r="D2" s="52"/>
      <c r="E2" s="52"/>
      <c r="F2" s="52"/>
      <c r="G2" s="52"/>
      <c r="H2" s="52"/>
      <c r="I2" s="52"/>
      <c r="J2" s="53"/>
    </row>
    <row r="3" spans="2:10" ht="15" thickTop="1" x14ac:dyDescent="0.3">
      <c r="B3" s="37"/>
      <c r="C3" s="37"/>
      <c r="D3" s="37"/>
      <c r="E3" s="37"/>
      <c r="F3" s="37"/>
      <c r="G3" s="37"/>
      <c r="H3" s="37"/>
    </row>
    <row r="4" spans="2:10" x14ac:dyDescent="0.3">
      <c r="C4" s="39" t="s">
        <v>26</v>
      </c>
      <c r="D4" s="40"/>
      <c r="E4" s="39" t="s">
        <v>27</v>
      </c>
      <c r="F4" s="40"/>
      <c r="G4" s="38" t="s">
        <v>28</v>
      </c>
      <c r="H4" s="41" t="s">
        <v>13</v>
      </c>
      <c r="I4" s="41" t="s">
        <v>29</v>
      </c>
      <c r="J4" s="41" t="s">
        <v>29</v>
      </c>
    </row>
    <row r="5" spans="2:10" ht="15.6" x14ac:dyDescent="0.3">
      <c r="C5" s="38" t="s">
        <v>93</v>
      </c>
      <c r="D5" s="38" t="s">
        <v>94</v>
      </c>
      <c r="E5" s="38" t="s">
        <v>96</v>
      </c>
      <c r="F5" s="38" t="s">
        <v>95</v>
      </c>
      <c r="G5" s="38" t="s">
        <v>6</v>
      </c>
      <c r="H5" s="38" t="s">
        <v>7</v>
      </c>
      <c r="I5" s="38" t="s">
        <v>33</v>
      </c>
      <c r="J5" s="38" t="s">
        <v>36</v>
      </c>
    </row>
    <row r="6" spans="2:10" x14ac:dyDescent="0.3">
      <c r="B6" s="16" t="s">
        <v>11</v>
      </c>
      <c r="C6" s="29">
        <v>50</v>
      </c>
      <c r="D6" s="26">
        <v>100</v>
      </c>
      <c r="E6" s="8"/>
      <c r="F6" s="8"/>
      <c r="G6" s="8" t="s">
        <v>98</v>
      </c>
      <c r="H6" s="8"/>
      <c r="I6" s="8"/>
      <c r="J6" s="36"/>
    </row>
    <row r="7" spans="2:10" ht="15.6" x14ac:dyDescent="0.35">
      <c r="B7" s="17" t="s">
        <v>0</v>
      </c>
      <c r="C7" s="30">
        <v>0</v>
      </c>
      <c r="D7" s="27">
        <v>10</v>
      </c>
      <c r="E7" s="31">
        <v>1</v>
      </c>
      <c r="F7" s="32">
        <v>-1</v>
      </c>
      <c r="G7" t="s">
        <v>102</v>
      </c>
      <c r="J7" s="48"/>
    </row>
    <row r="8" spans="2:10" ht="15.6" x14ac:dyDescent="0.35">
      <c r="B8" s="21" t="s">
        <v>72</v>
      </c>
      <c r="C8" s="116">
        <f>C6+((D6-D7)*E7-(C6-C7)*F7)/(F7^2+E7^2)*F7</f>
        <v>-20</v>
      </c>
      <c r="D8" s="117">
        <f>D6-((D6-D7)*E7-(C6-C7)*F7)/(F7^2+E7^2)*E7</f>
        <v>30</v>
      </c>
      <c r="E8" s="22">
        <f>-F7/(SQRT(E7^2+F7^2))</f>
        <v>0.70710678118654746</v>
      </c>
      <c r="F8" s="23">
        <f>E7/SQRT(E7^2+F7^2)</f>
        <v>0.70710678118654746</v>
      </c>
      <c r="G8" s="9" t="s">
        <v>104</v>
      </c>
      <c r="H8" s="9"/>
      <c r="I8" s="9"/>
      <c r="J8" s="49"/>
    </row>
    <row r="9" spans="2:10" x14ac:dyDescent="0.3">
      <c r="B9" s="18" t="s">
        <v>13</v>
      </c>
      <c r="C9" s="9"/>
      <c r="D9" s="9"/>
      <c r="E9" s="12"/>
      <c r="F9" s="12"/>
      <c r="G9" s="12"/>
      <c r="H9" s="23">
        <f>ABS((D6-D7)*E7-(C6-C7)*F7)/SQRT(F7^2+E7^2)</f>
        <v>98.994949366116643</v>
      </c>
      <c r="I9" s="9"/>
      <c r="J9" s="49"/>
    </row>
    <row r="10" spans="2:10" ht="15" thickBot="1" x14ac:dyDescent="0.35"/>
    <row r="11" spans="2:10" ht="15.6" thickTop="1" thickBot="1" x14ac:dyDescent="0.35">
      <c r="B11" s="54" t="s">
        <v>44</v>
      </c>
      <c r="C11" s="55"/>
      <c r="D11" s="56"/>
    </row>
    <row r="12" spans="2:10" ht="15" thickBot="1" x14ac:dyDescent="0.35">
      <c r="B12" s="57" t="s">
        <v>3</v>
      </c>
      <c r="C12" s="58" t="s">
        <v>45</v>
      </c>
      <c r="D12" s="59" t="s">
        <v>46</v>
      </c>
    </row>
    <row r="13" spans="2:10" ht="15" thickTop="1" x14ac:dyDescent="0.3">
      <c r="B13" s="63">
        <f>C8+MIN(IF(E7=0,C22/SQRT(E7^2+F7^2),C22/ABS(E7)),IF(F7=0,C22/SQRT(E7^2+F7^2),C22/ABS(F7)))*E7</f>
        <v>80</v>
      </c>
      <c r="D13" s="45">
        <f>D8+MIN(IF(E7=0,C22/SQRT(E7^2+F7^2),C22/ABS(E7)),IF(F7=0,C22/SQRT(E7^2+F7^2),C22/ABS(F7)))*F7</f>
        <v>-70</v>
      </c>
    </row>
    <row r="14" spans="2:10" x14ac:dyDescent="0.3">
      <c r="B14" s="63">
        <f>C8-MIN(IF(E7=0,C22/SQRT(E7^2+F7^2),C22/ABS(E7)),IF(F7=0,C22/SQRT(E7^2+F7^2),C22/ABS(F7)))*E7</f>
        <v>-120</v>
      </c>
      <c r="D14" s="45">
        <f>D8-MIN(IF(E7=0,C22/SQRT(E7^2+F7^2),C22/ABS(E7)),IF(F7=0,C22/SQRT(E7^2+F7^2),C22/ABS(F7)))*F7</f>
        <v>130</v>
      </c>
    </row>
    <row r="15" spans="2:10" x14ac:dyDescent="0.3">
      <c r="B15" s="64">
        <f>C8</f>
        <v>-20</v>
      </c>
      <c r="C15" s="60">
        <f>D8</f>
        <v>30</v>
      </c>
      <c r="D15" s="45"/>
    </row>
    <row r="16" spans="2:10" x14ac:dyDescent="0.3">
      <c r="B16" s="65">
        <f>C6</f>
        <v>50</v>
      </c>
      <c r="C16" s="19">
        <f>D6</f>
        <v>100</v>
      </c>
      <c r="D16" s="45"/>
    </row>
    <row r="17" spans="2:7" x14ac:dyDescent="0.3">
      <c r="B17" s="63"/>
      <c r="D17" s="45"/>
      <c r="G17" s="19"/>
    </row>
    <row r="18" spans="2:7" x14ac:dyDescent="0.3">
      <c r="B18" s="65">
        <f>C8-C22</f>
        <v>-120</v>
      </c>
      <c r="D18" s="66">
        <f>D8-C22</f>
        <v>-70</v>
      </c>
    </row>
    <row r="19" spans="2:7" x14ac:dyDescent="0.3">
      <c r="B19" s="63"/>
      <c r="D19" s="45"/>
    </row>
    <row r="20" spans="2:7" x14ac:dyDescent="0.3">
      <c r="B20" s="63">
        <f>B18+2*C22</f>
        <v>80</v>
      </c>
      <c r="D20" s="45">
        <f>D18+2*C22</f>
        <v>130</v>
      </c>
    </row>
    <row r="21" spans="2:7" ht="15" thickBot="1" x14ac:dyDescent="0.35">
      <c r="B21" s="67"/>
      <c r="C21" s="46"/>
      <c r="D21" s="47"/>
    </row>
    <row r="22" spans="2:7" ht="15.6" thickTop="1" thickBot="1" x14ac:dyDescent="0.35">
      <c r="B22" s="68" t="s">
        <v>52</v>
      </c>
      <c r="C22" s="71">
        <f>ROUND(MAX(40,H9),0)+1</f>
        <v>100</v>
      </c>
      <c r="D22" s="70"/>
    </row>
    <row r="23" spans="2:7" ht="15" thickTop="1" x14ac:dyDescent="0.3"/>
  </sheetData>
  <sheetProtection sheet="1" objects="1" scenarios="1"/>
  <pageMargins left="0.7" right="0.7" top="0.78740157499999996" bottom="0.78740157499999996"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B915E-4630-4C3B-BE2B-393A9E24E4F8}">
  <sheetPr codeName="Tabelle5"/>
  <dimension ref="B1:J47"/>
  <sheetViews>
    <sheetView workbookViewId="0"/>
  </sheetViews>
  <sheetFormatPr baseColWidth="10" defaultRowHeight="14.4" x14ac:dyDescent="0.3"/>
  <sheetData>
    <row r="1" spans="2:10" ht="15" thickBot="1" x14ac:dyDescent="0.35"/>
    <row r="2" spans="2:10" ht="15.6" thickTop="1" thickBot="1" x14ac:dyDescent="0.35">
      <c r="B2" s="51" t="s">
        <v>91</v>
      </c>
      <c r="C2" s="52"/>
      <c r="D2" s="52"/>
      <c r="E2" s="52"/>
      <c r="F2" s="52"/>
      <c r="G2" s="52"/>
      <c r="H2" s="52"/>
      <c r="I2" s="52"/>
      <c r="J2" s="53"/>
    </row>
    <row r="3" spans="2:10" ht="15" thickTop="1" x14ac:dyDescent="0.3">
      <c r="B3" s="37"/>
      <c r="C3" s="37"/>
      <c r="D3" s="37"/>
      <c r="E3" s="37"/>
      <c r="F3" s="37"/>
      <c r="G3" s="37"/>
      <c r="H3" s="37"/>
    </row>
    <row r="4" spans="2:10" x14ac:dyDescent="0.3">
      <c r="C4" s="39" t="s">
        <v>26</v>
      </c>
      <c r="D4" s="40"/>
      <c r="E4" s="39" t="s">
        <v>27</v>
      </c>
      <c r="F4" s="40"/>
      <c r="G4" s="38" t="s">
        <v>28</v>
      </c>
      <c r="H4" s="41" t="s">
        <v>13</v>
      </c>
      <c r="I4" s="41" t="s">
        <v>29</v>
      </c>
      <c r="J4" s="41" t="s">
        <v>29</v>
      </c>
    </row>
    <row r="5" spans="2:10" ht="15.6" x14ac:dyDescent="0.3">
      <c r="C5" s="38" t="s">
        <v>93</v>
      </c>
      <c r="D5" s="38" t="s">
        <v>94</v>
      </c>
      <c r="E5" s="38" t="s">
        <v>96</v>
      </c>
      <c r="F5" s="38" t="s">
        <v>95</v>
      </c>
      <c r="G5" s="38" t="s">
        <v>6</v>
      </c>
      <c r="H5" s="38" t="s">
        <v>7</v>
      </c>
      <c r="I5" s="38" t="s">
        <v>33</v>
      </c>
      <c r="J5" s="38" t="s">
        <v>36</v>
      </c>
    </row>
    <row r="6" spans="2:10" x14ac:dyDescent="0.3">
      <c r="B6" s="10" t="s">
        <v>0</v>
      </c>
      <c r="C6" s="25">
        <v>-28</v>
      </c>
      <c r="D6" s="25">
        <v>6.8257000000000003</v>
      </c>
      <c r="E6" s="25">
        <v>3</v>
      </c>
      <c r="F6" s="26">
        <v>5</v>
      </c>
      <c r="G6" s="8"/>
      <c r="H6" s="8" t="s">
        <v>98</v>
      </c>
      <c r="I6" s="8"/>
      <c r="J6" s="36"/>
    </row>
    <row r="7" spans="2:10" ht="15.6" x14ac:dyDescent="0.35">
      <c r="B7" s="11" t="s">
        <v>8</v>
      </c>
      <c r="C7" s="27">
        <v>30.475000000000001</v>
      </c>
      <c r="D7" s="27">
        <v>49.348744000000003</v>
      </c>
      <c r="E7" s="9"/>
      <c r="F7" s="3"/>
      <c r="G7" s="32">
        <v>49</v>
      </c>
      <c r="H7" t="s">
        <v>103</v>
      </c>
      <c r="J7" s="48"/>
    </row>
    <row r="8" spans="2:10" ht="15.6" x14ac:dyDescent="0.35">
      <c r="B8" s="15" t="s">
        <v>11</v>
      </c>
      <c r="C8" s="6">
        <f>C7+(((D7-D6)*E6-(C7-C6)*F6)*F6+SQRT(G7^2*(F6^2+E6^2)-((D7-D6)*E6-(C7-C6)*F6)^2)*E6)/(F6^2+E6^2)</f>
        <v>26.832481577819241</v>
      </c>
      <c r="D8" s="7">
        <f>D7-(((D7-D6)*E6-(C7-C6)*F6)*E6-SQRT(G7^2*(F6^2+E6^2)-((D7-D6)*E6-(C7-C6)*F6)^2)*F6)/(F6^2+E6^2)</f>
        <v>98.213169296365393</v>
      </c>
      <c r="G8" s="8"/>
      <c r="J8" s="48"/>
    </row>
    <row r="9" spans="2:10" x14ac:dyDescent="0.3">
      <c r="B9" s="14" t="s">
        <v>12</v>
      </c>
      <c r="C9" s="4">
        <f>C7+(((D7-D6)*E6-(C7-C6)*F6)*F6-SQRT(G7^2*(F6^2+E6^2)-((D7-D6)*E6-(C7-C6)*F6)^2)*E6)/(F6^2+E6^2)</f>
        <v>-14.354795695466287</v>
      </c>
      <c r="D9" s="5">
        <f>D7-(((D7-D6)*E6-(C7-C6)*F6)*E6+SQRT(G7^2*(F6^2+E6^2)-((D7-D6)*E6-(C7-C6)*F6)^2)*F6)/(F6^2+E6^2)</f>
        <v>29.567707174222846</v>
      </c>
      <c r="E9" s="9"/>
      <c r="F9" s="9"/>
      <c r="G9" s="9"/>
      <c r="H9" s="9"/>
      <c r="I9" s="9"/>
      <c r="J9" s="49"/>
    </row>
    <row r="10" spans="2:10" ht="15" thickBot="1" x14ac:dyDescent="0.35"/>
    <row r="11" spans="2:10" ht="15.6" thickTop="1" thickBot="1" x14ac:dyDescent="0.35">
      <c r="B11" s="72"/>
      <c r="C11" s="55" t="s">
        <v>44</v>
      </c>
      <c r="D11" s="55"/>
      <c r="E11" s="56"/>
    </row>
    <row r="12" spans="2:10" ht="15" thickBot="1" x14ac:dyDescent="0.35">
      <c r="B12" s="73" t="s">
        <v>4</v>
      </c>
      <c r="C12" s="58" t="s">
        <v>3</v>
      </c>
      <c r="D12" s="58" t="s">
        <v>45</v>
      </c>
      <c r="E12" s="59" t="s">
        <v>46</v>
      </c>
    </row>
    <row r="13" spans="2:10" ht="15" thickTop="1" x14ac:dyDescent="0.3">
      <c r="B13" s="74"/>
      <c r="C13">
        <f>C14+MIN(IF(E6=0,D46/SQRT(E6^2+F6^2),D46/ABS(E6)),IF(F6=0,D46/SQRT(E6^2+F6^2),D46/ABS(F6)))*E6</f>
        <v>50.638842941176485</v>
      </c>
      <c r="E13" s="45">
        <f>E14+MIN(IF(E6=0,D46/SQRT(E6^2+F6^2),D46/ABS(E6)),IF(F6=0,D46/SQRT(E6^2+F6^2),D46/ABS(F6)))*F6</f>
        <v>137.89043823529411</v>
      </c>
    </row>
    <row r="14" spans="2:10" x14ac:dyDescent="0.3">
      <c r="B14" s="74"/>
      <c r="C14">
        <f>C7+((D7-D6)*E6-(C7-C6)*F6)/(F6^2+E6^2)*F6</f>
        <v>6.238842941176479</v>
      </c>
      <c r="E14" s="45">
        <f>D7-((D7-D6)*E6-(C7-C6)*F6)/(F6^2+E6^2)*E6</f>
        <v>63.89043823529412</v>
      </c>
    </row>
    <row r="15" spans="2:10" x14ac:dyDescent="0.3">
      <c r="B15" s="74"/>
      <c r="C15">
        <f>C14-MIN(IF(E6=0,D46/SQRT(E6^2+F6^2),D46/ABS(E6)),IF(F6=0,D46/SQRT(E6^2+F6^2),D46/ABS(F6)))*E6</f>
        <v>-38.161157058823527</v>
      </c>
      <c r="E15" s="45">
        <f>E14-MIN(IF(E6=0,D46/SQRT(E6^2+F6^2),D46/ABS(E6)),IF(F6=0,D46/SQRT(E6^2+F6^2),D46/ABS(F6)))*F6</f>
        <v>-10.10956176470588</v>
      </c>
    </row>
    <row r="16" spans="2:10" x14ac:dyDescent="0.3">
      <c r="B16" s="74"/>
      <c r="C16" s="60">
        <f>IFERROR(C8,NA())</f>
        <v>26.832481577819241</v>
      </c>
      <c r="D16" s="60">
        <f>IFERROR(D8,NA())</f>
        <v>98.213169296365393</v>
      </c>
      <c r="E16" s="45"/>
    </row>
    <row r="17" spans="2:7" x14ac:dyDescent="0.3">
      <c r="B17" s="74"/>
      <c r="C17" s="60">
        <f>IFERROR(C9,NA())</f>
        <v>-14.354795695466287</v>
      </c>
      <c r="D17" s="60">
        <f>IFERROR(D9,NA())</f>
        <v>29.567707174222846</v>
      </c>
      <c r="E17" s="45"/>
      <c r="G17" s="19"/>
    </row>
    <row r="18" spans="2:7" x14ac:dyDescent="0.3">
      <c r="B18" s="74">
        <v>0</v>
      </c>
      <c r="C18">
        <f t="shared" ref="C18:C40" si="0">$C$7+$G$7*COS(B18)</f>
        <v>79.474999999999994</v>
      </c>
      <c r="E18" s="45">
        <f t="shared" ref="E18:E40" si="1">$D$7+$G$7*SIN(B18)</f>
        <v>49.348744000000003</v>
      </c>
    </row>
    <row r="19" spans="2:7" x14ac:dyDescent="0.3">
      <c r="B19" s="74">
        <f>B18+RADIANS(2)</f>
        <v>3.4906585039886591E-2</v>
      </c>
      <c r="C19">
        <f t="shared" si="0"/>
        <v>79.445150523935695</v>
      </c>
      <c r="E19" s="45">
        <f t="shared" si="1"/>
        <v>51.058819338422552</v>
      </c>
    </row>
    <row r="20" spans="2:7" x14ac:dyDescent="0.3">
      <c r="B20" s="74">
        <f>B19+RADIANS(7)</f>
        <v>0.15707963267948966</v>
      </c>
      <c r="C20">
        <f t="shared" si="0"/>
        <v>78.871728689161756</v>
      </c>
      <c r="E20" s="45">
        <f t="shared" si="1"/>
        <v>57.014032786971313</v>
      </c>
    </row>
    <row r="21" spans="2:7" x14ac:dyDescent="0.3">
      <c r="B21" s="74">
        <f>B20+RADIANS(11)</f>
        <v>0.3490658503988659</v>
      </c>
      <c r="C21">
        <f t="shared" si="0"/>
        <v>76.519938418509511</v>
      </c>
      <c r="E21" s="45">
        <f t="shared" si="1"/>
        <v>66.107731022957779</v>
      </c>
    </row>
    <row r="22" spans="2:7" x14ac:dyDescent="0.3">
      <c r="B22" s="74">
        <f>B21+RADIANS(20)</f>
        <v>0.69813170079773179</v>
      </c>
      <c r="C22">
        <f t="shared" si="0"/>
        <v>68.01117771282992</v>
      </c>
      <c r="E22" s="45">
        <f t="shared" si="1"/>
        <v>80.845336874640424</v>
      </c>
    </row>
    <row r="23" spans="2:7" x14ac:dyDescent="0.3">
      <c r="B23" s="74">
        <f t="shared" ref="B23:B37" si="2">B22+RADIANS(20)</f>
        <v>1.0471975511965976</v>
      </c>
      <c r="C23">
        <f t="shared" si="0"/>
        <v>54.975000000000009</v>
      </c>
      <c r="E23" s="45">
        <f t="shared" si="1"/>
        <v>91.783988785437487</v>
      </c>
    </row>
    <row r="24" spans="2:7" x14ac:dyDescent="0.3">
      <c r="B24" s="74">
        <f t="shared" si="2"/>
        <v>1.3962634015954636</v>
      </c>
      <c r="C24">
        <f t="shared" si="0"/>
        <v>38.983760705679593</v>
      </c>
      <c r="E24" s="45">
        <f t="shared" si="1"/>
        <v>97.604323897598192</v>
      </c>
    </row>
    <row r="25" spans="2:7" x14ac:dyDescent="0.3">
      <c r="B25" s="74">
        <f t="shared" si="2"/>
        <v>1.7453292519943295</v>
      </c>
      <c r="C25">
        <f t="shared" si="0"/>
        <v>21.966239294320417</v>
      </c>
      <c r="E25" s="45">
        <f t="shared" si="1"/>
        <v>97.604323897598192</v>
      </c>
    </row>
    <row r="26" spans="2:7" x14ac:dyDescent="0.3">
      <c r="B26" s="74">
        <f t="shared" si="2"/>
        <v>2.0943951023931953</v>
      </c>
      <c r="C26">
        <f t="shared" si="0"/>
        <v>5.9750000000000121</v>
      </c>
      <c r="E26" s="45">
        <f t="shared" si="1"/>
        <v>91.783988785437501</v>
      </c>
    </row>
    <row r="27" spans="2:7" x14ac:dyDescent="0.3">
      <c r="B27" s="74">
        <f t="shared" si="2"/>
        <v>2.4434609527920612</v>
      </c>
      <c r="C27">
        <f t="shared" si="0"/>
        <v>-7.0611777128299167</v>
      </c>
      <c r="E27" s="45">
        <f t="shared" si="1"/>
        <v>80.845336874640438</v>
      </c>
    </row>
    <row r="28" spans="2:7" x14ac:dyDescent="0.3">
      <c r="B28" s="74">
        <f t="shared" si="2"/>
        <v>2.7925268031909272</v>
      </c>
      <c r="C28">
        <f t="shared" si="0"/>
        <v>-15.569938418509508</v>
      </c>
      <c r="E28" s="45">
        <f t="shared" si="1"/>
        <v>66.107731022957779</v>
      </c>
    </row>
    <row r="29" spans="2:7" x14ac:dyDescent="0.3">
      <c r="B29" s="74">
        <f t="shared" si="2"/>
        <v>3.1415926535897931</v>
      </c>
      <c r="C29">
        <f t="shared" si="0"/>
        <v>-18.524999999999999</v>
      </c>
      <c r="E29" s="45">
        <f t="shared" si="1"/>
        <v>49.348744000000011</v>
      </c>
    </row>
    <row r="30" spans="2:7" x14ac:dyDescent="0.3">
      <c r="B30" s="74">
        <f t="shared" si="2"/>
        <v>3.4906585039886591</v>
      </c>
      <c r="C30">
        <f t="shared" si="0"/>
        <v>-15.569938418509508</v>
      </c>
      <c r="E30" s="45">
        <f t="shared" si="1"/>
        <v>32.589756977042242</v>
      </c>
    </row>
    <row r="31" spans="2:7" x14ac:dyDescent="0.3">
      <c r="B31" s="74">
        <f t="shared" si="2"/>
        <v>3.839724354387525</v>
      </c>
      <c r="C31">
        <f t="shared" si="0"/>
        <v>-7.0611777128299238</v>
      </c>
      <c r="E31" s="45">
        <f t="shared" si="1"/>
        <v>17.85215112535958</v>
      </c>
    </row>
    <row r="32" spans="2:7" x14ac:dyDescent="0.3">
      <c r="B32" s="74">
        <f t="shared" si="2"/>
        <v>4.1887902047863905</v>
      </c>
      <c r="C32">
        <f t="shared" si="0"/>
        <v>5.9749999999999801</v>
      </c>
      <c r="E32" s="45">
        <f t="shared" si="1"/>
        <v>6.9134992145625205</v>
      </c>
    </row>
    <row r="33" spans="2:5" x14ac:dyDescent="0.3">
      <c r="B33" s="74">
        <f t="shared" si="2"/>
        <v>4.537856055185256</v>
      </c>
      <c r="C33">
        <f t="shared" si="0"/>
        <v>21.966239294320374</v>
      </c>
      <c r="E33" s="45">
        <f t="shared" si="1"/>
        <v>1.0931641024018148</v>
      </c>
    </row>
    <row r="34" spans="2:5" x14ac:dyDescent="0.3">
      <c r="B34" s="74">
        <f t="shared" si="2"/>
        <v>4.8869219055841215</v>
      </c>
      <c r="C34">
        <f t="shared" si="0"/>
        <v>38.983760705679529</v>
      </c>
      <c r="E34" s="45">
        <f t="shared" si="1"/>
        <v>1.0931641024018006</v>
      </c>
    </row>
    <row r="35" spans="2:5" x14ac:dyDescent="0.3">
      <c r="B35" s="74">
        <f t="shared" si="2"/>
        <v>5.235987755982987</v>
      </c>
      <c r="C35">
        <f t="shared" si="0"/>
        <v>54.97499999999993</v>
      </c>
      <c r="E35" s="45">
        <f t="shared" si="1"/>
        <v>6.9134992145624707</v>
      </c>
    </row>
    <row r="36" spans="2:5" x14ac:dyDescent="0.3">
      <c r="B36" s="74">
        <f t="shared" si="2"/>
        <v>5.5850536063818526</v>
      </c>
      <c r="C36">
        <f t="shared" si="0"/>
        <v>68.011177712829863</v>
      </c>
      <c r="E36" s="45">
        <f t="shared" si="1"/>
        <v>17.852151125359498</v>
      </c>
    </row>
    <row r="37" spans="2:5" x14ac:dyDescent="0.3">
      <c r="B37" s="74">
        <f t="shared" si="2"/>
        <v>5.9341194567807181</v>
      </c>
      <c r="C37">
        <f t="shared" si="0"/>
        <v>76.519938418509469</v>
      </c>
      <c r="E37" s="45">
        <f t="shared" si="1"/>
        <v>32.589756977042121</v>
      </c>
    </row>
    <row r="38" spans="2:5" x14ac:dyDescent="0.3">
      <c r="B38" s="74">
        <f>B37+RADIANS(11)</f>
        <v>6.1261056745000939</v>
      </c>
      <c r="C38">
        <f t="shared" si="0"/>
        <v>78.871728689161728</v>
      </c>
      <c r="E38" s="45">
        <f t="shared" si="1"/>
        <v>41.683455213028552</v>
      </c>
    </row>
    <row r="39" spans="2:5" x14ac:dyDescent="0.3">
      <c r="B39" s="74">
        <f>B38+RADIANS(7)</f>
        <v>6.2482787221396974</v>
      </c>
      <c r="C39">
        <f t="shared" si="0"/>
        <v>79.445150523935695</v>
      </c>
      <c r="E39" s="45">
        <f t="shared" si="1"/>
        <v>47.638668661577334</v>
      </c>
    </row>
    <row r="40" spans="2:5" x14ac:dyDescent="0.3">
      <c r="B40" s="74">
        <f>B39+RADIANS(2)</f>
        <v>6.2831853071795836</v>
      </c>
      <c r="C40">
        <f t="shared" si="0"/>
        <v>79.474999999999994</v>
      </c>
      <c r="E40" s="45">
        <f t="shared" si="1"/>
        <v>49.348743999999861</v>
      </c>
    </row>
    <row r="41" spans="2:5" x14ac:dyDescent="0.3">
      <c r="B41" s="74"/>
      <c r="C41" s="60">
        <f>C7</f>
        <v>30.475000000000001</v>
      </c>
      <c r="D41" s="60">
        <f>D7</f>
        <v>49.348744000000003</v>
      </c>
      <c r="E41" s="45"/>
    </row>
    <row r="42" spans="2:5" x14ac:dyDescent="0.3">
      <c r="B42" s="74"/>
      <c r="C42" s="19">
        <f>C14-D46</f>
        <v>-67.761157058823528</v>
      </c>
      <c r="E42" s="66">
        <f>E14-D46</f>
        <v>-10.10956176470588</v>
      </c>
    </row>
    <row r="43" spans="2:5" x14ac:dyDescent="0.3">
      <c r="B43" s="74"/>
      <c r="E43" s="45"/>
    </row>
    <row r="44" spans="2:5" x14ac:dyDescent="0.3">
      <c r="B44" s="74"/>
      <c r="C44">
        <f>C42+2*D46</f>
        <v>80.238842941176472</v>
      </c>
      <c r="E44" s="45">
        <f>E42+2*D46</f>
        <v>137.89043823529411</v>
      </c>
    </row>
    <row r="45" spans="2:5" ht="15" thickBot="1" x14ac:dyDescent="0.35">
      <c r="B45" s="74"/>
      <c r="E45" s="45"/>
    </row>
    <row r="46" spans="2:5" ht="15.6" thickTop="1" thickBot="1" x14ac:dyDescent="0.35">
      <c r="B46" s="68"/>
      <c r="C46" s="69" t="s">
        <v>52</v>
      </c>
      <c r="D46" s="71">
        <f>ROUND(MAX(10,G7*1.5),0)</f>
        <v>74</v>
      </c>
      <c r="E46" s="70"/>
    </row>
    <row r="47" spans="2:5" ht="15" thickTop="1" x14ac:dyDescent="0.3"/>
  </sheetData>
  <sheetProtection sheet="1" objects="1" scenarios="1"/>
  <pageMargins left="0.7" right="0.7" top="0.78740157499999996" bottom="0.78740157499999996"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8EE87-0010-43AF-8AC6-93AE17D06479}">
  <sheetPr codeName="Tabelle6"/>
  <dimension ref="B1:J44"/>
  <sheetViews>
    <sheetView workbookViewId="0"/>
  </sheetViews>
  <sheetFormatPr baseColWidth="10" defaultRowHeight="14.4" x14ac:dyDescent="0.3"/>
  <sheetData>
    <row r="1" spans="2:10" ht="15" thickBot="1" x14ac:dyDescent="0.35"/>
    <row r="2" spans="2:10" ht="15.6" thickTop="1" thickBot="1" x14ac:dyDescent="0.35">
      <c r="B2" s="51" t="s">
        <v>22</v>
      </c>
      <c r="C2" s="52"/>
      <c r="D2" s="52"/>
      <c r="E2" s="52"/>
      <c r="F2" s="52"/>
      <c r="G2" s="52"/>
      <c r="H2" s="52"/>
      <c r="I2" s="52"/>
      <c r="J2" s="53"/>
    </row>
    <row r="3" spans="2:10" ht="15" thickTop="1" x14ac:dyDescent="0.3"/>
    <row r="4" spans="2:10" x14ac:dyDescent="0.3">
      <c r="C4" s="39" t="s">
        <v>26</v>
      </c>
      <c r="D4" s="40"/>
      <c r="E4" s="39" t="s">
        <v>27</v>
      </c>
      <c r="F4" s="40"/>
      <c r="G4" s="38" t="s">
        <v>28</v>
      </c>
      <c r="H4" s="41" t="s">
        <v>13</v>
      </c>
      <c r="I4" s="41" t="s">
        <v>29</v>
      </c>
      <c r="J4" s="41" t="s">
        <v>29</v>
      </c>
    </row>
    <row r="5" spans="2:10" ht="15.6" x14ac:dyDescent="0.3">
      <c r="C5" s="38" t="s">
        <v>93</v>
      </c>
      <c r="D5" s="38" t="s">
        <v>94</v>
      </c>
      <c r="E5" s="38" t="s">
        <v>96</v>
      </c>
      <c r="F5" s="38" t="s">
        <v>95</v>
      </c>
      <c r="G5" s="38" t="s">
        <v>6</v>
      </c>
      <c r="H5" s="38" t="s">
        <v>7</v>
      </c>
      <c r="I5" s="38" t="s">
        <v>33</v>
      </c>
      <c r="J5" s="38" t="s">
        <v>36</v>
      </c>
    </row>
    <row r="6" spans="2:10" x14ac:dyDescent="0.3">
      <c r="B6" s="10" t="s">
        <v>11</v>
      </c>
      <c r="C6" s="29">
        <v>44</v>
      </c>
      <c r="D6" s="26">
        <v>44</v>
      </c>
      <c r="E6" s="8"/>
      <c r="F6" s="8"/>
      <c r="G6" s="8"/>
      <c r="H6" s="8"/>
      <c r="I6" s="8"/>
      <c r="J6" s="36"/>
    </row>
    <row r="7" spans="2:10" x14ac:dyDescent="0.3">
      <c r="B7" s="20" t="s">
        <v>12</v>
      </c>
      <c r="C7" s="33">
        <v>-33</v>
      </c>
      <c r="D7" s="34">
        <v>33</v>
      </c>
      <c r="J7" s="48"/>
    </row>
    <row r="8" spans="2:10" x14ac:dyDescent="0.3">
      <c r="B8" s="11" t="s">
        <v>21</v>
      </c>
      <c r="C8" s="33">
        <v>11</v>
      </c>
      <c r="D8" s="34">
        <v>11</v>
      </c>
      <c r="J8" s="48"/>
    </row>
    <row r="9" spans="2:10" x14ac:dyDescent="0.3">
      <c r="B9" s="35" t="s">
        <v>8</v>
      </c>
      <c r="C9" s="24">
        <f>IF((D7-D6)=0,(C6+C7)/2,IF((D8-D7)=0,(C7+C8)/2,((D6+D7)/2-(D7+D8)/2+(C7-C8)/(D8-D7)*(C7+C8)/2-(C6-C7)/(D7-D6)*(C6+C7)/2)/((C7-C8)/(D8-D7)-(C6-C7)/(D7-D6))))</f>
        <v>3.6666666666666665</v>
      </c>
      <c r="D9" s="22">
        <f>IF((D7-D6)=0,(C7-C8)/(D8-D7)*(C9-(C7+C8)/2)+(D7+D8)/2,(C6-C7)/(D7-D6)*(C9-(C6+C7)/2)+(D6+D7)/2)</f>
        <v>51.333333333333336</v>
      </c>
      <c r="E9" s="12"/>
      <c r="F9" s="12"/>
      <c r="G9" s="23">
        <f>SQRT((C9-C7)^2+(D9-D7)^2)</f>
        <v>40.994579587496148</v>
      </c>
      <c r="H9" s="9"/>
      <c r="I9" s="9"/>
      <c r="J9" s="49"/>
    </row>
    <row r="10" spans="2:10" ht="15" thickBot="1" x14ac:dyDescent="0.35"/>
    <row r="11" spans="2:10" ht="15.6" thickTop="1" thickBot="1" x14ac:dyDescent="0.35">
      <c r="B11" s="72"/>
      <c r="C11" s="55" t="s">
        <v>44</v>
      </c>
      <c r="D11" s="55"/>
      <c r="E11" s="56"/>
    </row>
    <row r="12" spans="2:10" ht="15" thickBot="1" x14ac:dyDescent="0.35">
      <c r="B12" s="73" t="s">
        <v>4</v>
      </c>
      <c r="C12" s="58" t="s">
        <v>3</v>
      </c>
      <c r="D12" s="58" t="s">
        <v>45</v>
      </c>
      <c r="E12" s="59" t="s">
        <v>46</v>
      </c>
    </row>
    <row r="13" spans="2:10" ht="15" thickTop="1" x14ac:dyDescent="0.3">
      <c r="B13" s="74"/>
      <c r="C13" s="95">
        <f>C6</f>
        <v>44</v>
      </c>
      <c r="D13" s="95">
        <f>D6</f>
        <v>44</v>
      </c>
      <c r="E13" s="96"/>
    </row>
    <row r="14" spans="2:10" x14ac:dyDescent="0.3">
      <c r="B14" s="74"/>
      <c r="C14" s="95"/>
      <c r="D14" s="95"/>
      <c r="E14" s="96"/>
    </row>
    <row r="15" spans="2:10" x14ac:dyDescent="0.3">
      <c r="B15" s="74"/>
      <c r="C15" s="95">
        <f>C7</f>
        <v>-33</v>
      </c>
      <c r="D15" s="95">
        <f>D7</f>
        <v>33</v>
      </c>
      <c r="E15" s="96"/>
    </row>
    <row r="16" spans="2:10" x14ac:dyDescent="0.3">
      <c r="B16" s="74"/>
      <c r="C16" s="95"/>
      <c r="D16" s="95"/>
      <c r="E16" s="96"/>
    </row>
    <row r="17" spans="2:5" x14ac:dyDescent="0.3">
      <c r="B17" s="74"/>
      <c r="C17" s="95">
        <f>C8</f>
        <v>11</v>
      </c>
      <c r="D17" s="95">
        <f>D8</f>
        <v>11</v>
      </c>
      <c r="E17" s="96"/>
    </row>
    <row r="18" spans="2:5" x14ac:dyDescent="0.3">
      <c r="B18" s="74"/>
      <c r="C18" s="95"/>
      <c r="D18" s="95"/>
      <c r="E18" s="96"/>
    </row>
    <row r="19" spans="2:5" x14ac:dyDescent="0.3">
      <c r="B19" s="74"/>
      <c r="C19" s="95">
        <f>C9</f>
        <v>3.6666666666666665</v>
      </c>
      <c r="D19" s="95">
        <f>D9</f>
        <v>51.333333333333336</v>
      </c>
      <c r="E19" s="96"/>
    </row>
    <row r="20" spans="2:5" x14ac:dyDescent="0.3">
      <c r="B20" s="74"/>
      <c r="C20" s="95"/>
      <c r="D20" s="95"/>
      <c r="E20" s="96"/>
    </row>
    <row r="21" spans="2:5" x14ac:dyDescent="0.3">
      <c r="B21" s="74">
        <v>0</v>
      </c>
      <c r="C21" s="95">
        <f t="shared" ref="C21:C43" si="0">$C$9+$G$9*COS(B21)</f>
        <v>44.661246254162812</v>
      </c>
      <c r="D21" s="95"/>
      <c r="E21" s="96">
        <f t="shared" ref="E21:E43" si="1">$D$9+$G$9*SIN(B21)</f>
        <v>51.333333333333336</v>
      </c>
    </row>
    <row r="22" spans="2:5" x14ac:dyDescent="0.3">
      <c r="B22" s="74">
        <f>B21+RADIANS(1)</f>
        <v>1.7453292519943295E-2</v>
      </c>
      <c r="C22" s="95">
        <f t="shared" si="0"/>
        <v>44.655002581129935</v>
      </c>
      <c r="D22" s="95"/>
      <c r="E22" s="96">
        <f t="shared" si="1"/>
        <v>52.048787398019883</v>
      </c>
    </row>
    <row r="23" spans="2:5" x14ac:dyDescent="0.3">
      <c r="B23" s="74">
        <f>B22+RADIANS(7)</f>
        <v>0.13962634015954636</v>
      </c>
      <c r="C23" s="95">
        <f t="shared" si="0"/>
        <v>44.262289823649077</v>
      </c>
      <c r="D23" s="95"/>
      <c r="E23" s="96">
        <f t="shared" si="1"/>
        <v>57.038676097079374</v>
      </c>
    </row>
    <row r="24" spans="2:5" x14ac:dyDescent="0.3">
      <c r="B24" s="74">
        <f>B23+RADIANS(12)</f>
        <v>0.34906585039886595</v>
      </c>
      <c r="C24" s="95">
        <f t="shared" si="0"/>
        <v>42.188970597257416</v>
      </c>
      <c r="D24" s="95"/>
      <c r="E24" s="96">
        <f t="shared" si="1"/>
        <v>65.354305319424299</v>
      </c>
    </row>
    <row r="25" spans="2:5" x14ac:dyDescent="0.3">
      <c r="B25" s="74">
        <f>B24+RADIANS(20)</f>
        <v>0.6981317007977319</v>
      </c>
      <c r="C25" s="95">
        <f t="shared" si="0"/>
        <v>35.070336557666778</v>
      </c>
      <c r="D25" s="95"/>
      <c r="E25" s="96">
        <f t="shared" si="1"/>
        <v>77.684141156484586</v>
      </c>
    </row>
    <row r="26" spans="2:5" x14ac:dyDescent="0.3">
      <c r="B26" s="74">
        <f t="shared" ref="B26:B40" si="2">B25+RADIANS(20)</f>
        <v>1.0471975511965979</v>
      </c>
      <c r="C26" s="95">
        <f t="shared" si="0"/>
        <v>24.163956460414738</v>
      </c>
      <c r="D26" s="95"/>
      <c r="E26" s="96">
        <f t="shared" si="1"/>
        <v>86.835680673567992</v>
      </c>
    </row>
    <row r="27" spans="2:5" x14ac:dyDescent="0.3">
      <c r="B27" s="74">
        <f t="shared" si="2"/>
        <v>1.3962634015954638</v>
      </c>
      <c r="C27" s="95">
        <f t="shared" si="0"/>
        <v>10.785300706257308</v>
      </c>
      <c r="D27" s="95"/>
      <c r="E27" s="96">
        <f t="shared" si="1"/>
        <v>91.705113142575556</v>
      </c>
    </row>
    <row r="28" spans="2:5" x14ac:dyDescent="0.3">
      <c r="B28" s="74">
        <f t="shared" si="2"/>
        <v>1.7453292519943298</v>
      </c>
      <c r="C28" s="95">
        <f t="shared" si="0"/>
        <v>-3.4519673729239879</v>
      </c>
      <c r="D28" s="95"/>
      <c r="E28" s="96">
        <f t="shared" si="1"/>
        <v>91.705113142575556</v>
      </c>
    </row>
    <row r="29" spans="2:5" x14ac:dyDescent="0.3">
      <c r="B29" s="74">
        <f t="shared" si="2"/>
        <v>2.0943951023931957</v>
      </c>
      <c r="C29" s="95">
        <f t="shared" si="0"/>
        <v>-16.830623127081417</v>
      </c>
      <c r="D29" s="95"/>
      <c r="E29" s="96">
        <f t="shared" si="1"/>
        <v>86.835680673567992</v>
      </c>
    </row>
    <row r="30" spans="2:5" x14ac:dyDescent="0.3">
      <c r="B30" s="74">
        <f t="shared" si="2"/>
        <v>2.4434609527920617</v>
      </c>
      <c r="C30" s="95">
        <f t="shared" si="0"/>
        <v>-27.737003224333453</v>
      </c>
      <c r="D30" s="95"/>
      <c r="E30" s="96">
        <f t="shared" si="1"/>
        <v>77.684141156484571</v>
      </c>
    </row>
    <row r="31" spans="2:5" x14ac:dyDescent="0.3">
      <c r="B31" s="74">
        <f t="shared" si="2"/>
        <v>2.7925268031909276</v>
      </c>
      <c r="C31" s="95">
        <f t="shared" si="0"/>
        <v>-34.855637263924095</v>
      </c>
      <c r="D31" s="95"/>
      <c r="E31" s="96">
        <f t="shared" si="1"/>
        <v>65.354305319424299</v>
      </c>
    </row>
    <row r="32" spans="2:5" x14ac:dyDescent="0.3">
      <c r="B32" s="74">
        <f t="shared" si="2"/>
        <v>3.1415926535897936</v>
      </c>
      <c r="C32" s="95">
        <f t="shared" si="0"/>
        <v>-37.327912920829483</v>
      </c>
      <c r="D32" s="95"/>
      <c r="E32" s="96">
        <f t="shared" si="1"/>
        <v>51.333333333333321</v>
      </c>
    </row>
    <row r="33" spans="2:5" x14ac:dyDescent="0.3">
      <c r="B33" s="74">
        <f t="shared" si="2"/>
        <v>3.4906585039886595</v>
      </c>
      <c r="C33" s="95">
        <f t="shared" si="0"/>
        <v>-34.855637263924088</v>
      </c>
      <c r="D33" s="95"/>
      <c r="E33" s="96">
        <f t="shared" si="1"/>
        <v>37.312361347242359</v>
      </c>
    </row>
    <row r="34" spans="2:5" x14ac:dyDescent="0.3">
      <c r="B34" s="74">
        <f t="shared" si="2"/>
        <v>3.8397243543875255</v>
      </c>
      <c r="C34" s="95">
        <f t="shared" si="0"/>
        <v>-27.737003224333431</v>
      </c>
      <c r="D34" s="95"/>
      <c r="E34" s="96">
        <f t="shared" si="1"/>
        <v>24.982525510182079</v>
      </c>
    </row>
    <row r="35" spans="2:5" x14ac:dyDescent="0.3">
      <c r="B35" s="74">
        <f t="shared" si="2"/>
        <v>4.1887902047863914</v>
      </c>
      <c r="C35" s="95">
        <f t="shared" si="0"/>
        <v>-16.830623127081392</v>
      </c>
      <c r="D35" s="95"/>
      <c r="E35" s="96">
        <f t="shared" si="1"/>
        <v>15.830985993098672</v>
      </c>
    </row>
    <row r="36" spans="2:5" x14ac:dyDescent="0.3">
      <c r="B36" s="74">
        <f t="shared" si="2"/>
        <v>4.5378560551852569</v>
      </c>
      <c r="C36" s="95">
        <f t="shared" si="0"/>
        <v>-3.4519673729239799</v>
      </c>
      <c r="D36" s="95"/>
      <c r="E36" s="96">
        <f t="shared" si="1"/>
        <v>10.961553524091123</v>
      </c>
    </row>
    <row r="37" spans="2:5" x14ac:dyDescent="0.3">
      <c r="B37" s="74">
        <f t="shared" si="2"/>
        <v>4.8869219055841224</v>
      </c>
      <c r="C37" s="95">
        <f t="shared" si="0"/>
        <v>10.785300706257297</v>
      </c>
      <c r="D37" s="95"/>
      <c r="E37" s="96">
        <f t="shared" si="1"/>
        <v>10.961553524091123</v>
      </c>
    </row>
    <row r="38" spans="2:5" x14ac:dyDescent="0.3">
      <c r="B38" s="74">
        <f t="shared" si="2"/>
        <v>5.2359877559829879</v>
      </c>
      <c r="C38" s="95">
        <f t="shared" si="0"/>
        <v>24.163956460414713</v>
      </c>
      <c r="D38" s="95"/>
      <c r="E38" s="96">
        <f t="shared" si="1"/>
        <v>15.830985993098665</v>
      </c>
    </row>
    <row r="39" spans="2:5" x14ac:dyDescent="0.3">
      <c r="B39" s="74">
        <f t="shared" si="2"/>
        <v>5.5850536063818534</v>
      </c>
      <c r="C39" s="95">
        <f t="shared" si="0"/>
        <v>35.070336557666742</v>
      </c>
      <c r="D39" s="95"/>
      <c r="E39" s="96">
        <f t="shared" si="1"/>
        <v>24.98252551018205</v>
      </c>
    </row>
    <row r="40" spans="2:5" x14ac:dyDescent="0.3">
      <c r="B40" s="74">
        <f t="shared" si="2"/>
        <v>5.9341194567807189</v>
      </c>
      <c r="C40" s="95">
        <f t="shared" si="0"/>
        <v>42.188970597257402</v>
      </c>
      <c r="D40" s="95"/>
      <c r="E40" s="96">
        <f t="shared" si="1"/>
        <v>37.312361347242309</v>
      </c>
    </row>
    <row r="41" spans="2:5" x14ac:dyDescent="0.3">
      <c r="B41" s="74">
        <f>B40+RADIANS(12)</f>
        <v>6.1435589670200388</v>
      </c>
      <c r="C41" s="95">
        <f t="shared" si="0"/>
        <v>44.26228982364907</v>
      </c>
      <c r="D41" s="95"/>
      <c r="E41" s="96">
        <f t="shared" si="1"/>
        <v>45.62799056958724</v>
      </c>
    </row>
    <row r="42" spans="2:5" x14ac:dyDescent="0.3">
      <c r="B42" s="74">
        <f>B41+RADIANS(7)</f>
        <v>6.2657320146596422</v>
      </c>
      <c r="C42" s="95">
        <f t="shared" si="0"/>
        <v>44.655002581129935</v>
      </c>
      <c r="D42" s="95"/>
      <c r="E42" s="96">
        <f t="shared" si="1"/>
        <v>50.617879268646746</v>
      </c>
    </row>
    <row r="43" spans="2:5" ht="15" thickBot="1" x14ac:dyDescent="0.35">
      <c r="B43" s="75">
        <f>B42+RADIANS(1)</f>
        <v>6.2831853071795853</v>
      </c>
      <c r="C43" s="99">
        <f t="shared" si="0"/>
        <v>44.661246254162812</v>
      </c>
      <c r="D43" s="99"/>
      <c r="E43" s="100">
        <f t="shared" si="1"/>
        <v>51.333333333333286</v>
      </c>
    </row>
    <row r="44" spans="2:5" ht="15" thickTop="1" x14ac:dyDescent="0.3"/>
  </sheetData>
  <sheetProtection sheet="1" objects="1" scenarios="1"/>
  <pageMargins left="0.7" right="0.7" top="0.78740157499999996" bottom="0.78740157499999996"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EC4A9-2F63-458A-8369-8AF6A5328FC9}">
  <sheetPr codeName="Tabelle7"/>
  <dimension ref="B1:J57"/>
  <sheetViews>
    <sheetView workbookViewId="0"/>
  </sheetViews>
  <sheetFormatPr baseColWidth="10" defaultRowHeight="14.4" x14ac:dyDescent="0.3"/>
  <sheetData>
    <row r="1" spans="2:10" ht="15" thickBot="1" x14ac:dyDescent="0.35"/>
    <row r="2" spans="2:10" ht="15.6" thickTop="1" thickBot="1" x14ac:dyDescent="0.35">
      <c r="B2" s="51" t="s">
        <v>99</v>
      </c>
      <c r="C2" s="52"/>
      <c r="D2" s="52"/>
      <c r="E2" s="52"/>
      <c r="F2" s="52"/>
      <c r="G2" s="52"/>
      <c r="H2" s="52"/>
      <c r="I2" s="52"/>
      <c r="J2" s="53"/>
    </row>
    <row r="3" spans="2:10" ht="15" thickTop="1" x14ac:dyDescent="0.3">
      <c r="B3" s="37"/>
      <c r="C3" s="37"/>
      <c r="D3" s="37"/>
      <c r="E3" s="37"/>
      <c r="F3" s="37"/>
      <c r="G3" s="37"/>
      <c r="H3" s="37"/>
      <c r="I3" s="37"/>
    </row>
    <row r="4" spans="2:10" x14ac:dyDescent="0.3">
      <c r="C4" s="39" t="s">
        <v>26</v>
      </c>
      <c r="D4" s="40"/>
      <c r="E4" s="39" t="s">
        <v>27</v>
      </c>
      <c r="F4" s="40"/>
      <c r="G4" s="38" t="s">
        <v>28</v>
      </c>
      <c r="H4" s="41" t="s">
        <v>13</v>
      </c>
      <c r="I4" s="41" t="s">
        <v>29</v>
      </c>
      <c r="J4" s="41" t="s">
        <v>29</v>
      </c>
    </row>
    <row r="5" spans="2:10" ht="15.6" x14ac:dyDescent="0.3">
      <c r="C5" s="38" t="s">
        <v>93</v>
      </c>
      <c r="D5" s="38" t="s">
        <v>94</v>
      </c>
      <c r="E5" s="38" t="s">
        <v>96</v>
      </c>
      <c r="F5" s="38" t="s">
        <v>95</v>
      </c>
      <c r="G5" s="38" t="s">
        <v>6</v>
      </c>
      <c r="H5" s="38" t="s">
        <v>7</v>
      </c>
      <c r="I5" s="38" t="s">
        <v>33</v>
      </c>
      <c r="J5" s="38" t="s">
        <v>36</v>
      </c>
    </row>
    <row r="6" spans="2:10" x14ac:dyDescent="0.3">
      <c r="B6" s="13" t="s">
        <v>11</v>
      </c>
      <c r="C6" s="29">
        <v>181.23410000000001</v>
      </c>
      <c r="D6" s="26">
        <v>133.21340000000001</v>
      </c>
      <c r="E6" s="8"/>
      <c r="F6" s="8"/>
      <c r="G6" s="8"/>
      <c r="H6" s="8"/>
      <c r="I6" s="8"/>
      <c r="J6" s="36"/>
    </row>
    <row r="7" spans="2:10" x14ac:dyDescent="0.3">
      <c r="B7" s="14" t="s">
        <v>8</v>
      </c>
      <c r="C7" s="30">
        <v>30.475000000000001</v>
      </c>
      <c r="D7" s="27">
        <v>49.348999999999997</v>
      </c>
      <c r="E7" s="12"/>
      <c r="F7" s="12"/>
      <c r="G7" s="32">
        <v>45</v>
      </c>
      <c r="H7" t="s">
        <v>98</v>
      </c>
      <c r="J7" s="48"/>
    </row>
    <row r="8" spans="2:10" x14ac:dyDescent="0.3">
      <c r="B8" s="15" t="s">
        <v>23</v>
      </c>
      <c r="C8" s="79">
        <f>C7+((C6-C7)*G7+(D6-D7)*SQRT((C6-C7)^2+(D7-D6)^2-G7^2))/((C6-C7)^2+(D6-D7)^2)*G7</f>
        <v>61.851166892313429</v>
      </c>
      <c r="D8" s="79">
        <f>D7+((D6-D7)*G7+SQRT((C7-C6)^2+(D7-D6)^2-G7^2)*(C7-C6))/((C7-C6)^2+(D7-D6)^2)*G7</f>
        <v>17.091657407255404</v>
      </c>
      <c r="E8" s="1">
        <f>(D8-D7)/G7</f>
        <v>-0.71682983539432432</v>
      </c>
      <c r="F8" s="2">
        <f>(C7-C8)/G7</f>
        <v>-0.69724815316252065</v>
      </c>
      <c r="H8" t="s">
        <v>105</v>
      </c>
      <c r="J8" s="48"/>
    </row>
    <row r="9" spans="2:10" ht="15.6" x14ac:dyDescent="0.35">
      <c r="B9" s="14" t="s">
        <v>24</v>
      </c>
      <c r="C9" s="80">
        <f>C7+((C6-C7)*G7-(D6-D7)*SQRT((C6-C7)^2+(D6-D7)^2-G7^2))/((C6-C7)^2+(D6-D7)^2)*G7</f>
        <v>19.614380240903539</v>
      </c>
      <c r="D9" s="80">
        <f>D7+((D6-D7)*G7-SQRT((C7-C6)^2+(D7-D6)^2-G7^2)*(C7-C6))/((C7-C6)^2+(D7-D6)^2)*G7</f>
        <v>93.018748550321689</v>
      </c>
      <c r="E9" s="4">
        <f>(D7-D9)/G7</f>
        <v>-0.97043885667381535</v>
      </c>
      <c r="F9" s="5">
        <f>(C9-C7)/G7</f>
        <v>-0.24134710575769916</v>
      </c>
      <c r="G9" s="9"/>
      <c r="H9" s="9" t="s">
        <v>97</v>
      </c>
      <c r="I9" s="9"/>
      <c r="J9" s="49"/>
    </row>
    <row r="10" spans="2:10" ht="15" thickBot="1" x14ac:dyDescent="0.35"/>
    <row r="11" spans="2:10" ht="15.6" thickTop="1" thickBot="1" x14ac:dyDescent="0.35">
      <c r="B11" s="54" t="s">
        <v>44</v>
      </c>
      <c r="C11" s="55"/>
      <c r="D11" s="55"/>
      <c r="E11" s="55"/>
      <c r="F11" s="56"/>
    </row>
    <row r="12" spans="2:10" ht="15" thickBot="1" x14ac:dyDescent="0.35">
      <c r="B12" s="57" t="s">
        <v>4</v>
      </c>
      <c r="C12" s="58" t="s">
        <v>3</v>
      </c>
      <c r="D12" s="58" t="s">
        <v>45</v>
      </c>
      <c r="E12" s="58" t="s">
        <v>46</v>
      </c>
      <c r="F12" s="59" t="s">
        <v>47</v>
      </c>
    </row>
    <row r="13" spans="2:10" ht="15" thickTop="1" x14ac:dyDescent="0.3">
      <c r="B13" s="86" t="s">
        <v>8</v>
      </c>
      <c r="C13" s="81"/>
      <c r="D13" s="81"/>
      <c r="E13" s="81"/>
      <c r="F13" s="82"/>
    </row>
    <row r="14" spans="2:10" x14ac:dyDescent="0.3">
      <c r="B14" s="87">
        <f>0</f>
        <v>0</v>
      </c>
      <c r="C14">
        <f t="shared" ref="C14:C36" si="0">$C$7+$G$7*COS(B14)</f>
        <v>75.474999999999994</v>
      </c>
      <c r="D14">
        <f t="shared" ref="D14:D36" si="1">$D$7+$G$7*SIN(B14)</f>
        <v>49.348999999999997</v>
      </c>
      <c r="F14" s="45"/>
    </row>
    <row r="15" spans="2:10" x14ac:dyDescent="0.3">
      <c r="B15" s="87">
        <f>B14+RADIANS(3)</f>
        <v>5.235987755982989E-2</v>
      </c>
      <c r="C15">
        <f t="shared" si="0"/>
        <v>75.413329063955814</v>
      </c>
      <c r="D15">
        <f t="shared" si="1"/>
        <v>51.70411803093247</v>
      </c>
      <c r="F15" s="45"/>
    </row>
    <row r="16" spans="2:10" x14ac:dyDescent="0.3">
      <c r="B16" s="87">
        <f>B15+RADIANS(7)</f>
        <v>0.17453292519943298</v>
      </c>
      <c r="C16">
        <f t="shared" si="0"/>
        <v>74.791348885549354</v>
      </c>
      <c r="D16">
        <f t="shared" si="1"/>
        <v>57.163167995011861</v>
      </c>
      <c r="F16" s="45"/>
    </row>
    <row r="17" spans="2:6" x14ac:dyDescent="0.3">
      <c r="B17" s="87">
        <f>B16+RADIANS(10)</f>
        <v>0.34906585039886595</v>
      </c>
      <c r="C17">
        <f t="shared" si="0"/>
        <v>72.761167935365876</v>
      </c>
      <c r="D17">
        <f t="shared" si="1"/>
        <v>64.739906449655095</v>
      </c>
      <c r="F17" s="45"/>
    </row>
    <row r="18" spans="2:6" x14ac:dyDescent="0.3">
      <c r="B18" s="87">
        <f t="shared" ref="B18:B33" si="2">B17+RADIANS(20)</f>
        <v>0.6981317007977319</v>
      </c>
      <c r="C18">
        <f t="shared" si="0"/>
        <v>64.946999940354004</v>
      </c>
      <c r="D18">
        <f t="shared" si="1"/>
        <v>78.274442435894272</v>
      </c>
      <c r="F18" s="45"/>
    </row>
    <row r="19" spans="2:6" x14ac:dyDescent="0.3">
      <c r="B19" s="87">
        <f t="shared" si="2"/>
        <v>1.0471975511965979</v>
      </c>
      <c r="C19">
        <f t="shared" si="0"/>
        <v>52.974999999999994</v>
      </c>
      <c r="D19">
        <f t="shared" si="1"/>
        <v>88.32014317029973</v>
      </c>
      <c r="F19" s="45"/>
    </row>
    <row r="20" spans="2:6" x14ac:dyDescent="0.3">
      <c r="B20" s="87">
        <f t="shared" si="2"/>
        <v>1.3962634015954638</v>
      </c>
      <c r="C20">
        <f t="shared" si="0"/>
        <v>38.289167995011859</v>
      </c>
      <c r="D20">
        <f t="shared" si="1"/>
        <v>93.665348885549363</v>
      </c>
      <c r="F20" s="45"/>
    </row>
    <row r="21" spans="2:6" x14ac:dyDescent="0.3">
      <c r="B21" s="87">
        <f t="shared" si="2"/>
        <v>1.7453292519943298</v>
      </c>
      <c r="C21">
        <f t="shared" si="0"/>
        <v>22.66083200498813</v>
      </c>
      <c r="D21">
        <f t="shared" si="1"/>
        <v>93.665348885549349</v>
      </c>
      <c r="F21" s="45"/>
    </row>
    <row r="22" spans="2:6" x14ac:dyDescent="0.3">
      <c r="B22" s="87">
        <f t="shared" si="2"/>
        <v>2.0943951023931957</v>
      </c>
      <c r="C22">
        <f t="shared" si="0"/>
        <v>7.9749999999999908</v>
      </c>
      <c r="D22">
        <f t="shared" si="1"/>
        <v>88.32014317029973</v>
      </c>
      <c r="F22" s="45"/>
    </row>
    <row r="23" spans="2:6" x14ac:dyDescent="0.3">
      <c r="B23" s="87">
        <f t="shared" si="2"/>
        <v>2.4434609527920617</v>
      </c>
      <c r="C23">
        <f t="shared" si="0"/>
        <v>-3.9969999403540157</v>
      </c>
      <c r="D23">
        <f t="shared" si="1"/>
        <v>78.274442435894258</v>
      </c>
      <c r="F23" s="45"/>
    </row>
    <row r="24" spans="2:6" x14ac:dyDescent="0.3">
      <c r="B24" s="87">
        <f t="shared" si="2"/>
        <v>2.7925268031909276</v>
      </c>
      <c r="C24">
        <f t="shared" si="0"/>
        <v>-11.81116793536588</v>
      </c>
      <c r="D24">
        <f t="shared" si="1"/>
        <v>64.739906449655081</v>
      </c>
      <c r="F24" s="45"/>
    </row>
    <row r="25" spans="2:6" x14ac:dyDescent="0.3">
      <c r="B25" s="87">
        <f t="shared" si="2"/>
        <v>3.1415926535897936</v>
      </c>
      <c r="C25">
        <f t="shared" si="0"/>
        <v>-14.524999999999999</v>
      </c>
      <c r="D25">
        <f t="shared" si="1"/>
        <v>49.348999999999982</v>
      </c>
      <c r="F25" s="45"/>
    </row>
    <row r="26" spans="2:6" x14ac:dyDescent="0.3">
      <c r="B26" s="87">
        <f t="shared" si="2"/>
        <v>3.4906585039886595</v>
      </c>
      <c r="C26">
        <f t="shared" si="0"/>
        <v>-11.811167935365873</v>
      </c>
      <c r="D26">
        <f t="shared" si="1"/>
        <v>33.958093550344891</v>
      </c>
      <c r="F26" s="45"/>
    </row>
    <row r="27" spans="2:6" x14ac:dyDescent="0.3">
      <c r="B27" s="87">
        <f t="shared" si="2"/>
        <v>3.8397243543875255</v>
      </c>
      <c r="C27">
        <f t="shared" si="0"/>
        <v>-3.9969999403540015</v>
      </c>
      <c r="D27">
        <f t="shared" si="1"/>
        <v>20.423557564105714</v>
      </c>
      <c r="F27" s="45"/>
    </row>
    <row r="28" spans="2:6" x14ac:dyDescent="0.3">
      <c r="B28" s="87">
        <f t="shared" si="2"/>
        <v>4.1887902047863914</v>
      </c>
      <c r="C28">
        <f t="shared" si="0"/>
        <v>7.9750000000000192</v>
      </c>
      <c r="D28">
        <f t="shared" si="1"/>
        <v>10.377856829700249</v>
      </c>
      <c r="F28" s="45"/>
    </row>
    <row r="29" spans="2:6" x14ac:dyDescent="0.3">
      <c r="B29" s="87">
        <f t="shared" si="2"/>
        <v>4.5378560551852569</v>
      </c>
      <c r="C29">
        <f t="shared" si="0"/>
        <v>22.660832004988137</v>
      </c>
      <c r="D29">
        <f t="shared" si="1"/>
        <v>5.032651114450637</v>
      </c>
      <c r="F29" s="45"/>
    </row>
    <row r="30" spans="2:6" x14ac:dyDescent="0.3">
      <c r="B30" s="87">
        <f t="shared" si="2"/>
        <v>4.8869219055841224</v>
      </c>
      <c r="C30">
        <f t="shared" si="0"/>
        <v>38.289167995011852</v>
      </c>
      <c r="D30">
        <f t="shared" si="1"/>
        <v>5.0326511144506298</v>
      </c>
      <c r="F30" s="45"/>
    </row>
    <row r="31" spans="2:6" x14ac:dyDescent="0.3">
      <c r="B31" s="87">
        <f t="shared" si="2"/>
        <v>5.2359877559829879</v>
      </c>
      <c r="C31">
        <f t="shared" si="0"/>
        <v>52.974999999999973</v>
      </c>
      <c r="D31">
        <f t="shared" si="1"/>
        <v>10.377856829700242</v>
      </c>
      <c r="F31" s="45"/>
    </row>
    <row r="32" spans="2:6" x14ac:dyDescent="0.3">
      <c r="B32" s="87">
        <f t="shared" si="2"/>
        <v>5.5850536063818534</v>
      </c>
      <c r="C32">
        <f t="shared" si="0"/>
        <v>64.946999940353976</v>
      </c>
      <c r="D32">
        <f t="shared" si="1"/>
        <v>20.423557564105685</v>
      </c>
      <c r="F32" s="45"/>
    </row>
    <row r="33" spans="2:6" x14ac:dyDescent="0.3">
      <c r="B33" s="87">
        <f t="shared" si="2"/>
        <v>5.9341194567807189</v>
      </c>
      <c r="C33">
        <f t="shared" si="0"/>
        <v>72.761167935365847</v>
      </c>
      <c r="D33">
        <f t="shared" si="1"/>
        <v>33.958093550344834</v>
      </c>
      <c r="F33" s="45"/>
    </row>
    <row r="34" spans="2:6" x14ac:dyDescent="0.3">
      <c r="B34" s="87">
        <f>B33+RADIANS(10)</f>
        <v>6.1086523819801517</v>
      </c>
      <c r="C34">
        <f t="shared" si="0"/>
        <v>74.791348885549354</v>
      </c>
      <c r="D34">
        <f t="shared" si="1"/>
        <v>41.534832004988047</v>
      </c>
      <c r="F34" s="45"/>
    </row>
    <row r="35" spans="2:6" x14ac:dyDescent="0.3">
      <c r="B35" s="87">
        <f>B34+RADIANS(7)</f>
        <v>6.2308254296197552</v>
      </c>
      <c r="C35">
        <f t="shared" si="0"/>
        <v>75.413329063955814</v>
      </c>
      <c r="D35">
        <f t="shared" si="1"/>
        <v>46.993881969067459</v>
      </c>
      <c r="F35" s="45"/>
    </row>
    <row r="36" spans="2:6" ht="15" thickBot="1" x14ac:dyDescent="0.35">
      <c r="B36" s="88">
        <f>B35+RADIANS(3)</f>
        <v>6.2831853071795853</v>
      </c>
      <c r="C36">
        <f t="shared" si="0"/>
        <v>75.474999999999994</v>
      </c>
      <c r="D36">
        <f t="shared" si="1"/>
        <v>49.348999999999947</v>
      </c>
      <c r="F36" s="45"/>
    </row>
    <row r="37" spans="2:6" ht="15" thickTop="1" x14ac:dyDescent="0.3">
      <c r="B37" s="63" t="s">
        <v>53</v>
      </c>
      <c r="F37" s="45"/>
    </row>
    <row r="38" spans="2:6" x14ac:dyDescent="0.3">
      <c r="B38" s="63"/>
      <c r="C38">
        <f>IFERROR(C6-G7*E8,NA())</f>
        <v>213.49144259274459</v>
      </c>
      <c r="D38">
        <f>IFERROR(D6-G7*F8,NA())</f>
        <v>164.58956689231343</v>
      </c>
      <c r="F38" s="45"/>
    </row>
    <row r="39" spans="2:6" x14ac:dyDescent="0.3">
      <c r="B39" s="63"/>
      <c r="C39">
        <f>IFERROR(C8+G7*E8,NA())</f>
        <v>29.593824299568837</v>
      </c>
      <c r="D39">
        <f>IFERROR(D8+G7*F8,NA())</f>
        <v>-14.284509485058024</v>
      </c>
      <c r="F39" s="45"/>
    </row>
    <row r="40" spans="2:6" x14ac:dyDescent="0.3">
      <c r="B40" s="63"/>
      <c r="F40" s="45"/>
    </row>
    <row r="41" spans="2:6" x14ac:dyDescent="0.3">
      <c r="B41" s="63"/>
      <c r="C41">
        <f>IFERROR(C6-G7*E9,NA())</f>
        <v>224.9038485503217</v>
      </c>
      <c r="D41">
        <f>IFERROR(D6-G7*F9,NA())</f>
        <v>144.07401975909647</v>
      </c>
      <c r="F41" s="45"/>
    </row>
    <row r="42" spans="2:6" x14ac:dyDescent="0.3">
      <c r="B42" s="63"/>
      <c r="C42">
        <f>IFERROR(C9+G7*E9,NA())</f>
        <v>-24.055368309418153</v>
      </c>
      <c r="D42">
        <f>IFERROR(D9+G7*F9,NA())</f>
        <v>82.158128791225224</v>
      </c>
      <c r="F42" s="45"/>
    </row>
    <row r="43" spans="2:6" x14ac:dyDescent="0.3">
      <c r="B43" s="63"/>
      <c r="F43" s="45"/>
    </row>
    <row r="44" spans="2:6" x14ac:dyDescent="0.3">
      <c r="B44" s="63" t="s">
        <v>26</v>
      </c>
      <c r="F44" s="45"/>
    </row>
    <row r="45" spans="2:6" x14ac:dyDescent="0.3">
      <c r="B45" s="63"/>
      <c r="C45" s="19">
        <f>C6</f>
        <v>181.23410000000001</v>
      </c>
      <c r="F45" s="66">
        <f>D6</f>
        <v>133.21340000000001</v>
      </c>
    </row>
    <row r="46" spans="2:6" x14ac:dyDescent="0.3">
      <c r="B46" s="63" t="s">
        <v>54</v>
      </c>
      <c r="F46" s="45"/>
    </row>
    <row r="47" spans="2:6" x14ac:dyDescent="0.3">
      <c r="B47" s="63"/>
      <c r="C47">
        <f>C7</f>
        <v>30.475000000000001</v>
      </c>
      <c r="E47">
        <f>D7</f>
        <v>49.348999999999997</v>
      </c>
      <c r="F47" s="45"/>
    </row>
    <row r="48" spans="2:6" x14ac:dyDescent="0.3">
      <c r="B48" s="63" t="s">
        <v>55</v>
      </c>
      <c r="F48" s="45"/>
    </row>
    <row r="49" spans="2:6" x14ac:dyDescent="0.3">
      <c r="B49" s="63"/>
      <c r="C49" s="60">
        <f>IFERROR(C8,NA())</f>
        <v>61.851166892313429</v>
      </c>
      <c r="D49" s="60"/>
      <c r="E49" s="60"/>
      <c r="F49" s="83">
        <f>IFERROR(D8,NA())</f>
        <v>17.091657407255404</v>
      </c>
    </row>
    <row r="50" spans="2:6" x14ac:dyDescent="0.3">
      <c r="B50" s="63"/>
      <c r="C50" s="60">
        <f>C47</f>
        <v>30.475000000000001</v>
      </c>
      <c r="D50" s="60"/>
      <c r="E50" s="60"/>
      <c r="F50" s="83">
        <f>E47</f>
        <v>49.348999999999997</v>
      </c>
    </row>
    <row r="51" spans="2:6" ht="15" thickBot="1" x14ac:dyDescent="0.35">
      <c r="B51" s="84"/>
      <c r="C51" s="61">
        <f>IFERROR(C9,NA())</f>
        <v>19.614380240903539</v>
      </c>
      <c r="D51" s="61"/>
      <c r="E51" s="61"/>
      <c r="F51" s="85">
        <f>IFERROR(D9,NA())</f>
        <v>93.018748550321689</v>
      </c>
    </row>
    <row r="52" spans="2:6" x14ac:dyDescent="0.3">
      <c r="B52" s="63" t="s">
        <v>48</v>
      </c>
      <c r="F52" s="45"/>
    </row>
    <row r="53" spans="2:6" x14ac:dyDescent="0.3">
      <c r="B53" s="63" t="s">
        <v>49</v>
      </c>
      <c r="F53" s="45"/>
    </row>
    <row r="54" spans="2:6" x14ac:dyDescent="0.3">
      <c r="B54" s="63">
        <f>MAX(C14:C51)-MIN(C14:C51)</f>
        <v>248.95921685973985</v>
      </c>
      <c r="C54">
        <f>ROUND(MIN(C14:C51,F45)-0.5*10^B56,B56)</f>
        <v>-25</v>
      </c>
      <c r="D54">
        <f>ROUND(MIN(D14:D51,F45)-0.5*10^B56,B56)</f>
        <v>-15</v>
      </c>
      <c r="F54" s="45"/>
    </row>
    <row r="55" spans="2:6" x14ac:dyDescent="0.3">
      <c r="B55" s="63">
        <f>MAX(D14:D51)-MIN(D14:D51)</f>
        <v>178.87407637737147</v>
      </c>
      <c r="F55" s="45"/>
    </row>
    <row r="56" spans="2:6" ht="15" thickBot="1" x14ac:dyDescent="0.35">
      <c r="B56" s="67">
        <f>2-INT(LOG(MAX(B54:B55),10))</f>
        <v>0</v>
      </c>
      <c r="C56" s="46">
        <f>C54+ROUND(MAX(B54:B55)+0.5*10^B56,B56)</f>
        <v>224</v>
      </c>
      <c r="D56" s="46">
        <f>D54+ROUND(MAX(B54:B55)+0.5*10^B56,B56)</f>
        <v>234</v>
      </c>
      <c r="E56" s="46"/>
      <c r="F56" s="47"/>
    </row>
    <row r="57" spans="2:6" ht="15" thickTop="1" x14ac:dyDescent="0.3"/>
  </sheetData>
  <sheetProtection sheet="1" objects="1" scenarios="1"/>
  <pageMargins left="0.7" right="0.7" top="0.78740157499999996" bottom="0.78740157499999996"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0280D-3EA5-4EE4-80DC-036FFFDBB444}">
  <dimension ref="B1:J37"/>
  <sheetViews>
    <sheetView workbookViewId="0"/>
  </sheetViews>
  <sheetFormatPr baseColWidth="10" defaultRowHeight="14.4" x14ac:dyDescent="0.3"/>
  <sheetData>
    <row r="1" spans="2:10" ht="15" thickBot="1" x14ac:dyDescent="0.35"/>
    <row r="2" spans="2:10" ht="15.6" thickTop="1" thickBot="1" x14ac:dyDescent="0.35">
      <c r="B2" s="51" t="s">
        <v>30</v>
      </c>
      <c r="C2" s="52"/>
      <c r="D2" s="52"/>
      <c r="E2" s="52"/>
      <c r="F2" s="52"/>
      <c r="G2" s="52"/>
      <c r="H2" s="52"/>
      <c r="I2" s="52"/>
      <c r="J2" s="53"/>
    </row>
    <row r="3" spans="2:10" ht="15" thickTop="1" x14ac:dyDescent="0.3"/>
    <row r="4" spans="2:10" x14ac:dyDescent="0.3">
      <c r="C4" s="39" t="s">
        <v>26</v>
      </c>
      <c r="D4" s="40"/>
      <c r="E4" s="39" t="s">
        <v>27</v>
      </c>
      <c r="F4" s="40"/>
      <c r="G4" s="38" t="s">
        <v>28</v>
      </c>
      <c r="H4" s="41" t="s">
        <v>13</v>
      </c>
      <c r="I4" s="41" t="s">
        <v>29</v>
      </c>
      <c r="J4" s="41" t="s">
        <v>29</v>
      </c>
    </row>
    <row r="5" spans="2:10" ht="15.6" x14ac:dyDescent="0.3">
      <c r="C5" s="38" t="s">
        <v>93</v>
      </c>
      <c r="D5" s="38" t="s">
        <v>94</v>
      </c>
      <c r="E5" s="38" t="s">
        <v>96</v>
      </c>
      <c r="F5" s="38" t="s">
        <v>95</v>
      </c>
      <c r="G5" s="38" t="s">
        <v>6</v>
      </c>
      <c r="H5" s="38" t="s">
        <v>7</v>
      </c>
      <c r="I5" s="38" t="s">
        <v>33</v>
      </c>
      <c r="J5" s="38" t="s">
        <v>36</v>
      </c>
    </row>
    <row r="6" spans="2:10" x14ac:dyDescent="0.3">
      <c r="B6" s="13" t="s">
        <v>11</v>
      </c>
      <c r="C6" s="25">
        <v>1.2940315329303971</v>
      </c>
      <c r="D6" s="26">
        <v>-0.38330960296045102</v>
      </c>
      <c r="E6" s="8"/>
      <c r="F6" s="8"/>
      <c r="G6" s="8"/>
      <c r="H6" s="8"/>
      <c r="I6" s="8"/>
      <c r="J6" s="36"/>
    </row>
    <row r="7" spans="2:10" x14ac:dyDescent="0.3">
      <c r="B7" s="15" t="s">
        <v>31</v>
      </c>
      <c r="C7" s="43">
        <v>55</v>
      </c>
      <c r="D7" s="34">
        <v>-10</v>
      </c>
      <c r="J7" s="48"/>
    </row>
    <row r="8" spans="2:10" x14ac:dyDescent="0.3">
      <c r="B8" s="14" t="s">
        <v>32</v>
      </c>
      <c r="C8" s="9"/>
      <c r="D8" s="9"/>
      <c r="E8" s="12"/>
      <c r="F8" s="12"/>
      <c r="G8" s="12"/>
      <c r="H8" s="12"/>
      <c r="I8" s="31">
        <f>RADIANS(237+30/60+10/3600)</f>
        <v>4.1452054548546435</v>
      </c>
      <c r="J8" s="44" t="str">
        <f>IF(I8&lt;0,"-"," ")&amp;TEXT(ABS(DEGREES(I8))/24,"[hh]° mm' ss''")</f>
        <v xml:space="preserve"> 237° 30' 10''</v>
      </c>
    </row>
    <row r="9" spans="2:10" x14ac:dyDescent="0.3">
      <c r="B9" s="18" t="s">
        <v>21</v>
      </c>
      <c r="C9" s="22">
        <f>C7+(C6-C7)*COS(I8)-(D6-D7)*SIN(I8)</f>
        <v>91.964884732001593</v>
      </c>
      <c r="D9" s="23">
        <f>D7+(C6-C7)*SIN(I8)+(D6-D7)*COS(I8)</f>
        <v>30.129902565645757</v>
      </c>
      <c r="E9" s="9"/>
      <c r="F9" s="9"/>
      <c r="G9" s="9"/>
      <c r="H9" s="9"/>
      <c r="I9" s="9"/>
      <c r="J9" s="49"/>
    </row>
    <row r="10" spans="2:10" ht="15" thickBot="1" x14ac:dyDescent="0.35"/>
    <row r="11" spans="2:10" ht="15.6" thickTop="1" thickBot="1" x14ac:dyDescent="0.35">
      <c r="B11" s="72"/>
      <c r="C11" s="55" t="s">
        <v>44</v>
      </c>
      <c r="D11" s="55"/>
      <c r="E11" s="56"/>
    </row>
    <row r="12" spans="2:10" ht="15" thickBot="1" x14ac:dyDescent="0.35">
      <c r="B12" s="73" t="s">
        <v>6</v>
      </c>
      <c r="C12" s="58" t="s">
        <v>3</v>
      </c>
      <c r="D12" s="58" t="s">
        <v>45</v>
      </c>
      <c r="E12" s="59" t="s">
        <v>46</v>
      </c>
    </row>
    <row r="13" spans="2:10" ht="15" thickTop="1" x14ac:dyDescent="0.3">
      <c r="B13" s="74">
        <f>SQRT((C7-C6)^2+(D7-D6)^2)</f>
        <v>54.560166634444833</v>
      </c>
      <c r="C13">
        <f>C6</f>
        <v>1.2940315329303971</v>
      </c>
      <c r="D13">
        <f>D6</f>
        <v>-0.38330960296045102</v>
      </c>
      <c r="E13" s="45"/>
    </row>
    <row r="14" spans="2:10" x14ac:dyDescent="0.3">
      <c r="B14" s="74"/>
      <c r="C14">
        <f>C7</f>
        <v>55</v>
      </c>
      <c r="D14">
        <f>D7</f>
        <v>-10</v>
      </c>
      <c r="E14" s="45"/>
    </row>
    <row r="15" spans="2:10" x14ac:dyDescent="0.3">
      <c r="B15" s="74"/>
      <c r="C15">
        <f>C9</f>
        <v>91.964884732001593</v>
      </c>
      <c r="D15">
        <f>D9</f>
        <v>30.129902565645757</v>
      </c>
      <c r="E15" s="45"/>
    </row>
    <row r="16" spans="2:10" x14ac:dyDescent="0.3">
      <c r="B16" s="74"/>
      <c r="E16" s="45"/>
    </row>
    <row r="17" spans="2:5" ht="15" thickBot="1" x14ac:dyDescent="0.35">
      <c r="B17" s="74"/>
      <c r="E17" s="45"/>
    </row>
    <row r="18" spans="2:5" ht="15" thickBot="1" x14ac:dyDescent="0.35">
      <c r="B18" s="89" t="s">
        <v>4</v>
      </c>
      <c r="C18" s="37"/>
      <c r="D18" s="37"/>
      <c r="E18" s="97"/>
    </row>
    <row r="19" spans="2:5" ht="15" thickTop="1" x14ac:dyDescent="0.3">
      <c r="B19" s="74">
        <f>ATAN2(C6-C7,D6-D7)</f>
        <v>2.9644085657281511</v>
      </c>
      <c r="C19">
        <f>$C$7+$B$13*COS(B19)</f>
        <v>1.2940315329303971</v>
      </c>
      <c r="E19" s="45">
        <f>$D$7+$B$13*SIN(B19)</f>
        <v>-0.38330960296045191</v>
      </c>
    </row>
    <row r="20" spans="2:5" x14ac:dyDescent="0.3">
      <c r="B20" s="74">
        <f>B19+$B$31/10</f>
        <v>3.3789291112136155</v>
      </c>
      <c r="C20">
        <f t="shared" ref="C20:C29" si="0">$C$7+$B$13*COS(B20)</f>
        <v>1.9692825308075541</v>
      </c>
      <c r="E20" s="45">
        <f t="shared" ref="E20:E28" si="1">$D$7+$B$13*SIN(B20)</f>
        <v>-22.827891014546186</v>
      </c>
    </row>
    <row r="21" spans="2:5" x14ac:dyDescent="0.3">
      <c r="B21" s="74">
        <f t="shared" ref="B21:B28" si="2">B20+$B$31/10</f>
        <v>3.7934496566990799</v>
      </c>
      <c r="C21">
        <f t="shared" si="0"/>
        <v>11.626926669714088</v>
      </c>
      <c r="E21" s="45">
        <f t="shared" si="1"/>
        <v>-43.099672099040923</v>
      </c>
    </row>
    <row r="22" spans="2:5" x14ac:dyDescent="0.3">
      <c r="B22" s="74">
        <f t="shared" si="2"/>
        <v>4.2079702021845442</v>
      </c>
      <c r="C22">
        <f t="shared" si="0"/>
        <v>28.631143040339968</v>
      </c>
      <c r="E22" s="45">
        <f t="shared" si="1"/>
        <v>-57.764999380502204</v>
      </c>
    </row>
    <row r="23" spans="2:5" x14ac:dyDescent="0.3">
      <c r="B23" s="74">
        <f t="shared" si="2"/>
        <v>4.6224907476700086</v>
      </c>
      <c r="C23">
        <f t="shared" si="0"/>
        <v>50.10174137211569</v>
      </c>
      <c r="E23" s="45">
        <f t="shared" si="1"/>
        <v>-64.339845837035128</v>
      </c>
    </row>
    <row r="24" spans="2:5" x14ac:dyDescent="0.3">
      <c r="B24" s="74">
        <f t="shared" si="2"/>
        <v>5.0370112931554729</v>
      </c>
      <c r="C24">
        <f t="shared" si="0"/>
        <v>72.402011388564659</v>
      </c>
      <c r="E24" s="45">
        <f t="shared" si="1"/>
        <v>-61.710557749947476</v>
      </c>
    </row>
    <row r="25" spans="2:5" x14ac:dyDescent="0.3">
      <c r="B25" s="74">
        <f t="shared" si="2"/>
        <v>5.4515318386409373</v>
      </c>
      <c r="C25">
        <f t="shared" si="0"/>
        <v>91.754712237623707</v>
      </c>
      <c r="E25" s="45">
        <f t="shared" si="1"/>
        <v>-50.322486425168051</v>
      </c>
    </row>
    <row r="26" spans="2:5" x14ac:dyDescent="0.3">
      <c r="B26" s="74">
        <f t="shared" si="2"/>
        <v>5.8660523841264016</v>
      </c>
      <c r="C26">
        <f t="shared" si="0"/>
        <v>104.88186512392826</v>
      </c>
      <c r="E26" s="45">
        <f t="shared" si="1"/>
        <v>-32.1045541673343</v>
      </c>
    </row>
    <row r="27" spans="2:5" x14ac:dyDescent="0.3">
      <c r="B27" s="74">
        <f t="shared" si="2"/>
        <v>6.280572929611866</v>
      </c>
      <c r="C27">
        <f t="shared" si="0"/>
        <v>109.55998046117045</v>
      </c>
      <c r="E27" s="45">
        <f t="shared" si="1"/>
        <v>-10.142531593288584</v>
      </c>
    </row>
    <row r="28" spans="2:5" x14ac:dyDescent="0.3">
      <c r="B28" s="74">
        <f t="shared" si="2"/>
        <v>6.6950934750973303</v>
      </c>
      <c r="C28">
        <f t="shared" si="0"/>
        <v>104.99667464370509</v>
      </c>
      <c r="E28" s="45">
        <f t="shared" si="1"/>
        <v>11.843633116995036</v>
      </c>
    </row>
    <row r="29" spans="2:5" x14ac:dyDescent="0.3">
      <c r="B29" s="74">
        <f t="shared" ref="B29" si="3">B28+$B$31/10</f>
        <v>7.1096140205827947</v>
      </c>
      <c r="C29">
        <f t="shared" si="0"/>
        <v>91.964884732001607</v>
      </c>
      <c r="E29" s="45">
        <f t="shared" ref="E29" si="4">$D$7+$B$13*SIN(B29)</f>
        <v>30.129902565645757</v>
      </c>
    </row>
    <row r="30" spans="2:5" x14ac:dyDescent="0.3">
      <c r="B30" s="74"/>
      <c r="E30" s="45"/>
    </row>
    <row r="31" spans="2:5" ht="15" thickBot="1" x14ac:dyDescent="0.35">
      <c r="B31" s="90">
        <f>(MOD(ATAN2(C9-C7,D9-D7)-ATAN2(C6-C7,D6-D7),2*PI()))</f>
        <v>4.1452054548546435</v>
      </c>
      <c r="E31" s="45"/>
    </row>
    <row r="32" spans="2:5" x14ac:dyDescent="0.3">
      <c r="B32" s="94" t="s">
        <v>59</v>
      </c>
      <c r="C32" s="91"/>
      <c r="D32" s="91"/>
      <c r="E32" s="93"/>
    </row>
    <row r="33" spans="2:5" x14ac:dyDescent="0.3">
      <c r="B33" s="65"/>
      <c r="C33" s="98">
        <f>C14-B13*1.5</f>
        <v>-26.840249951667246</v>
      </c>
      <c r="D33" s="98">
        <f>D14-B13*1.5</f>
        <v>-91.840249951667246</v>
      </c>
      <c r="E33" s="45"/>
    </row>
    <row r="34" spans="2:5" x14ac:dyDescent="0.3">
      <c r="B34" s="65"/>
      <c r="C34" s="98"/>
      <c r="D34" s="98"/>
      <c r="E34" s="45"/>
    </row>
    <row r="35" spans="2:5" x14ac:dyDescent="0.3">
      <c r="B35" s="65"/>
      <c r="C35" s="98">
        <f>C14+B13*1.5</f>
        <v>136.84024995166726</v>
      </c>
      <c r="D35" s="98">
        <f>D14+B13*1.5</f>
        <v>71.840249951667246</v>
      </c>
      <c r="E35" s="45"/>
    </row>
    <row r="36" spans="2:5" ht="15" thickBot="1" x14ac:dyDescent="0.35">
      <c r="B36" s="67"/>
      <c r="C36" s="46"/>
      <c r="D36" s="46"/>
      <c r="E36" s="47"/>
    </row>
    <row r="37" spans="2:5" ht="15" thickTop="1" x14ac:dyDescent="0.3"/>
  </sheetData>
  <sheetProtection sheet="1" objects="1" scenarios="1"/>
  <pageMargins left="0.7" right="0.7" top="0.78740157499999996" bottom="0.78740157499999996"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30DCD-CC36-4983-B391-5C59F80EF08E}">
  <dimension ref="B1:J39"/>
  <sheetViews>
    <sheetView workbookViewId="0"/>
  </sheetViews>
  <sheetFormatPr baseColWidth="10" defaultRowHeight="14.4" x14ac:dyDescent="0.3"/>
  <sheetData>
    <row r="1" spans="2:10" ht="15" thickBot="1" x14ac:dyDescent="0.35"/>
    <row r="2" spans="2:10" ht="15.6" thickTop="1" thickBot="1" x14ac:dyDescent="0.35">
      <c r="B2" s="51" t="s">
        <v>100</v>
      </c>
      <c r="C2" s="52"/>
      <c r="D2" s="52"/>
      <c r="E2" s="52"/>
      <c r="F2" s="52"/>
      <c r="G2" s="52"/>
      <c r="H2" s="52"/>
      <c r="I2" s="52"/>
      <c r="J2" s="53"/>
    </row>
    <row r="3" spans="2:10" ht="15" thickTop="1" x14ac:dyDescent="0.3"/>
    <row r="4" spans="2:10" x14ac:dyDescent="0.3">
      <c r="C4" s="39" t="s">
        <v>26</v>
      </c>
      <c r="D4" s="40"/>
      <c r="E4" s="39" t="s">
        <v>27</v>
      </c>
      <c r="F4" s="40"/>
      <c r="G4" s="38" t="s">
        <v>28</v>
      </c>
      <c r="H4" s="41" t="s">
        <v>13</v>
      </c>
      <c r="I4" s="41" t="s">
        <v>29</v>
      </c>
      <c r="J4" s="41" t="s">
        <v>29</v>
      </c>
    </row>
    <row r="5" spans="2:10" ht="15.6" x14ac:dyDescent="0.3">
      <c r="C5" s="38" t="s">
        <v>93</v>
      </c>
      <c r="D5" s="38" t="s">
        <v>94</v>
      </c>
      <c r="E5" s="38" t="s">
        <v>96</v>
      </c>
      <c r="F5" s="38" t="s">
        <v>95</v>
      </c>
      <c r="G5" s="38" t="s">
        <v>6</v>
      </c>
      <c r="H5" s="38" t="s">
        <v>7</v>
      </c>
      <c r="I5" s="38" t="s">
        <v>33</v>
      </c>
      <c r="J5" s="38" t="s">
        <v>36</v>
      </c>
    </row>
    <row r="6" spans="2:10" x14ac:dyDescent="0.3">
      <c r="B6" s="13" t="s">
        <v>0</v>
      </c>
      <c r="C6" s="29">
        <v>0</v>
      </c>
      <c r="D6" s="25">
        <v>-30.443781853482946</v>
      </c>
      <c r="E6" s="31">
        <v>0.85188174650004</v>
      </c>
      <c r="F6" s="32">
        <v>0.52373417873959804</v>
      </c>
      <c r="G6" s="8" t="s">
        <v>98</v>
      </c>
      <c r="H6" s="8"/>
      <c r="I6" s="8"/>
      <c r="J6" s="36"/>
    </row>
    <row r="7" spans="2:10" ht="15.6" x14ac:dyDescent="0.35">
      <c r="B7" s="15" t="s">
        <v>38</v>
      </c>
      <c r="C7" s="33">
        <v>10</v>
      </c>
      <c r="D7" s="34">
        <v>26</v>
      </c>
      <c r="G7" t="s">
        <v>102</v>
      </c>
      <c r="J7" s="48"/>
    </row>
    <row r="8" spans="2:10" x14ac:dyDescent="0.3">
      <c r="B8" s="14" t="s">
        <v>32</v>
      </c>
      <c r="E8" s="12"/>
      <c r="F8" s="12"/>
      <c r="G8" s="12"/>
      <c r="H8" s="12"/>
      <c r="I8" s="31">
        <f>-RADIANS(55+7/60+30/3600)</f>
        <v>-0.96211275016187414</v>
      </c>
      <c r="J8" s="44" t="str">
        <f>IF(I8&lt;0,"-"," ")&amp;TEXT(ABS(DEGREES(I8))/24,"[hh]° mm' ss''")</f>
        <v>-55° 07' 30''</v>
      </c>
    </row>
    <row r="9" spans="2:10" ht="15.6" x14ac:dyDescent="0.35">
      <c r="B9" s="18" t="s">
        <v>2</v>
      </c>
      <c r="C9" s="22">
        <f>C7+(C6-C7)*COS(I8)-(D6-D7)*SIN(I8)</f>
        <v>-42.024439712912717</v>
      </c>
      <c r="D9" s="22">
        <f>D7+(C6-C7)*SIN(I8)+(D6-D7)*COS(I8)</f>
        <v>1.9301395417198037</v>
      </c>
      <c r="E9" s="22">
        <f>E6*COS(I8)-F6*SIN(I8)</f>
        <v>0.91676800244800938</v>
      </c>
      <c r="F9" s="23">
        <f>E6*SIN(I8)+F6*COS(I8)</f>
        <v>-0.39942011677866995</v>
      </c>
      <c r="G9" s="9" t="s">
        <v>104</v>
      </c>
      <c r="H9" s="9"/>
      <c r="I9" s="9"/>
      <c r="J9" s="49"/>
    </row>
    <row r="10" spans="2:10" ht="15" thickBot="1" x14ac:dyDescent="0.35"/>
    <row r="11" spans="2:10" ht="15.6" thickTop="1" thickBot="1" x14ac:dyDescent="0.35">
      <c r="B11" s="54" t="s">
        <v>44</v>
      </c>
      <c r="C11" s="55"/>
      <c r="D11" s="55"/>
      <c r="E11" s="56"/>
    </row>
    <row r="12" spans="2:10" ht="15" thickBot="1" x14ac:dyDescent="0.35">
      <c r="B12" s="57" t="s">
        <v>3</v>
      </c>
      <c r="C12" s="58" t="s">
        <v>45</v>
      </c>
      <c r="D12" s="58" t="s">
        <v>46</v>
      </c>
      <c r="E12" s="59" t="s">
        <v>47</v>
      </c>
    </row>
    <row r="13" spans="2:10" ht="15" thickTop="1" x14ac:dyDescent="0.3">
      <c r="B13" s="63">
        <f>C7+((D7-D6)*E6-(C7-C6)*F6)/(F6^2+E6^2)*F6</f>
        <v>32.439959494258616</v>
      </c>
      <c r="C13">
        <f>D7-((D7-D6)*E6-(C7-C6)*F6)/(F6^2+E6^2)*E6</f>
        <v>-10.499798297227038</v>
      </c>
      <c r="E13" s="45"/>
    </row>
    <row r="14" spans="2:10" x14ac:dyDescent="0.3">
      <c r="B14" s="63">
        <f>C7+((D7-D9)*E9-(C7-C9)*F9)/(F9^2+E9^2)*F9</f>
        <v>-7.1135885446227682</v>
      </c>
      <c r="C14">
        <f>D7-((D7-D9)*E9-(C7-C9)*F9)/(F9^2+E9^2)*E9</f>
        <v>-13.279920378834539</v>
      </c>
      <c r="E14" s="45"/>
    </row>
    <row r="15" spans="2:10" x14ac:dyDescent="0.3">
      <c r="B15" s="64"/>
      <c r="E15" s="45"/>
    </row>
    <row r="16" spans="2:10" x14ac:dyDescent="0.3">
      <c r="B16" s="63">
        <f>B13+E6/SQRT(E6^2+F6^2)*($C$38+1)</f>
        <v>54.588884903259661</v>
      </c>
      <c r="C16">
        <f>C13+F6/SQRT(E6^2+F6^2)*($C$38+1)</f>
        <v>3.1172903500025146</v>
      </c>
      <c r="D16" s="60"/>
      <c r="E16" s="45"/>
    </row>
    <row r="17" spans="2:5" x14ac:dyDescent="0.3">
      <c r="B17" s="63">
        <f>B13-E6/SQRT(E6^2+F6^2)*($C$38+1)</f>
        <v>10.291034085257571</v>
      </c>
      <c r="C17">
        <f>C13-F6/SQRT(E6^2+F6^2)*($C$38+1)</f>
        <v>-24.116886944456589</v>
      </c>
      <c r="D17" s="60"/>
      <c r="E17" s="45"/>
    </row>
    <row r="18" spans="2:5" x14ac:dyDescent="0.3">
      <c r="B18" s="63"/>
      <c r="D18" s="60"/>
      <c r="E18" s="45"/>
    </row>
    <row r="19" spans="2:5" x14ac:dyDescent="0.3">
      <c r="B19" s="63">
        <f>C6</f>
        <v>0</v>
      </c>
      <c r="C19">
        <f>D6</f>
        <v>-30.443781853482946</v>
      </c>
      <c r="D19" s="60"/>
      <c r="E19" s="45"/>
    </row>
    <row r="20" spans="2:5" x14ac:dyDescent="0.3">
      <c r="B20" s="63">
        <f>B17</f>
        <v>10.291034085257571</v>
      </c>
      <c r="C20">
        <f>C17</f>
        <v>-24.116886944456589</v>
      </c>
      <c r="D20" s="60"/>
      <c r="E20" s="45"/>
    </row>
    <row r="21" spans="2:5" x14ac:dyDescent="0.3">
      <c r="B21" s="63"/>
      <c r="D21" s="60"/>
      <c r="E21" s="45"/>
    </row>
    <row r="22" spans="2:5" x14ac:dyDescent="0.3">
      <c r="B22" s="63">
        <f>B14-E9/SQRT(E9^2+F9^2)*($C$38+1)</f>
        <v>-30.949556608271017</v>
      </c>
      <c r="C22">
        <f>C14-F9/SQRT(E9^2+F9^2)*($C$38+1)</f>
        <v>-2.894997342589118</v>
      </c>
      <c r="D22" s="60"/>
      <c r="E22" s="45"/>
    </row>
    <row r="23" spans="2:5" x14ac:dyDescent="0.3">
      <c r="B23" s="63">
        <f>B14+E9/SQRT(E9^2+F9^2)*($C$38+1)</f>
        <v>16.72237951902548</v>
      </c>
      <c r="C23">
        <f>C14+F9/SQRT(E9^2+F9^2)*($C$38+1)</f>
        <v>-23.664843415079961</v>
      </c>
      <c r="D23" s="60"/>
      <c r="E23" s="45"/>
    </row>
    <row r="24" spans="2:5" x14ac:dyDescent="0.3">
      <c r="B24" s="63"/>
      <c r="D24" s="60"/>
      <c r="E24" s="45"/>
    </row>
    <row r="25" spans="2:5" x14ac:dyDescent="0.3">
      <c r="B25" s="63">
        <f>C9</f>
        <v>-42.024439712912717</v>
      </c>
      <c r="C25">
        <f>D9</f>
        <v>1.9301395417198037</v>
      </c>
      <c r="D25" s="60"/>
      <c r="E25" s="45"/>
    </row>
    <row r="26" spans="2:5" x14ac:dyDescent="0.3">
      <c r="B26" s="63">
        <f>B23</f>
        <v>16.72237951902548</v>
      </c>
      <c r="C26">
        <f>C23</f>
        <v>-23.664843415079961</v>
      </c>
      <c r="D26" s="60"/>
      <c r="E26" s="45"/>
    </row>
    <row r="27" spans="2:5" x14ac:dyDescent="0.3">
      <c r="B27" s="64"/>
      <c r="C27" s="60"/>
      <c r="D27" s="60"/>
      <c r="E27" s="45"/>
    </row>
    <row r="28" spans="2:5" x14ac:dyDescent="0.3">
      <c r="B28" s="64">
        <f>C7</f>
        <v>10</v>
      </c>
      <c r="C28" s="60"/>
      <c r="D28" s="60">
        <f>D7</f>
        <v>26</v>
      </c>
      <c r="E28" s="45"/>
    </row>
    <row r="29" spans="2:5" x14ac:dyDescent="0.3">
      <c r="B29" s="65">
        <f>B28</f>
        <v>10</v>
      </c>
      <c r="D29" s="19"/>
      <c r="E29" s="66">
        <f>D7</f>
        <v>26</v>
      </c>
    </row>
    <row r="30" spans="2:5" x14ac:dyDescent="0.3">
      <c r="B30" s="65">
        <f>B13</f>
        <v>32.439959494258616</v>
      </c>
      <c r="D30" s="19"/>
      <c r="E30" s="45">
        <f>C13</f>
        <v>-10.499798297227038</v>
      </c>
    </row>
    <row r="31" spans="2:5" x14ac:dyDescent="0.3">
      <c r="B31" s="63"/>
      <c r="E31" s="45"/>
    </row>
    <row r="32" spans="2:5" x14ac:dyDescent="0.3">
      <c r="B32" s="64">
        <f>B28</f>
        <v>10</v>
      </c>
      <c r="E32" s="83">
        <f>D28</f>
        <v>26</v>
      </c>
    </row>
    <row r="33" spans="2:5" x14ac:dyDescent="0.3">
      <c r="B33" s="65">
        <f>B14</f>
        <v>-7.1135885446227682</v>
      </c>
      <c r="C33" s="19"/>
      <c r="D33" s="19"/>
      <c r="E33" s="45">
        <f>C14</f>
        <v>-13.279920378834539</v>
      </c>
    </row>
    <row r="34" spans="2:5" x14ac:dyDescent="0.3">
      <c r="B34" s="64"/>
      <c r="C34" s="60"/>
      <c r="D34" s="60"/>
      <c r="E34" s="45"/>
    </row>
    <row r="35" spans="2:5" x14ac:dyDescent="0.3">
      <c r="B35" s="103">
        <f>MIN(B16:B33)</f>
        <v>-42.024439712912717</v>
      </c>
      <c r="C35" s="98"/>
      <c r="D35" s="98"/>
      <c r="E35" s="104">
        <f>MIN(C16:C24,D28,E29:E33)</f>
        <v>-30.443781853482946</v>
      </c>
    </row>
    <row r="36" spans="2:5" x14ac:dyDescent="0.3">
      <c r="B36" s="103"/>
      <c r="C36" s="98"/>
      <c r="D36" s="98"/>
      <c r="E36" s="104"/>
    </row>
    <row r="37" spans="2:5" ht="15" thickBot="1" x14ac:dyDescent="0.35">
      <c r="B37" s="103">
        <f>B35+E38</f>
        <v>54.588884903259661</v>
      </c>
      <c r="C37" s="98"/>
      <c r="D37" s="98"/>
      <c r="E37" s="104">
        <f>E35+E38</f>
        <v>66.169542762689431</v>
      </c>
    </row>
    <row r="38" spans="2:5" ht="15.6" thickTop="1" thickBot="1" x14ac:dyDescent="0.35">
      <c r="B38" s="68" t="s">
        <v>52</v>
      </c>
      <c r="C38" s="101">
        <v>25</v>
      </c>
      <c r="D38" s="69"/>
      <c r="E38" s="102">
        <f>MAX(MAX(B16:B33)-MIN(B16:B33),MAX(C16:C26,D28,E29:E33)-MIN(C16:C26,D28,E29:E33))</f>
        <v>96.613324616172378</v>
      </c>
    </row>
    <row r="39" spans="2:5" ht="15" thickTop="1" x14ac:dyDescent="0.3"/>
  </sheetData>
  <sheetProtection sheet="1" objects="1" scenarios="1"/>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Tabelle1</vt:lpstr>
      <vt:lpstr>Tabelle2</vt:lpstr>
      <vt:lpstr>Tabelle3</vt:lpstr>
      <vt:lpstr>Tabelle4</vt:lpstr>
      <vt:lpstr>Tabelle5</vt:lpstr>
      <vt:lpstr>Tabelle6</vt:lpstr>
      <vt:lpstr>Tabelle7</vt:lpstr>
      <vt:lpstr>Tabelle8</vt:lpstr>
      <vt:lpstr>Tabelle9</vt:lpstr>
      <vt:lpstr>Tabelle10</vt:lpstr>
      <vt:lpstr>Tabelle11</vt:lpstr>
      <vt:lpstr>Tabelle12</vt:lpstr>
      <vt:lpstr>Tabelle13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Winfried Oestreicher</dc:creator>
  <cp:lastModifiedBy>Winfried Oestreicher</cp:lastModifiedBy>
  <dcterms:created xsi:type="dcterms:W3CDTF">2024-08-03T19:56:13Z</dcterms:created>
  <dcterms:modified xsi:type="dcterms:W3CDTF">2024-08-24T15:04:53Z</dcterms:modified>
</cp:coreProperties>
</file>