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omments1.xml" ContentType="application/vnd.openxmlformats-officedocument.spreadsheetml.comments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ate1904="1" codeName="DieseArbeitsmappe"/>
  <mc:AlternateContent xmlns:mc="http://schemas.openxmlformats.org/markup-compatibility/2006">
    <mc:Choice Requires="x15">
      <x15ac:absPath xmlns:x15ac="http://schemas.microsoft.com/office/spreadsheetml/2010/11/ac" url="C:\Users\sthieme\Desktop\ST\"/>
    </mc:Choice>
  </mc:AlternateContent>
  <xr:revisionPtr revIDLastSave="0" documentId="13_ncr:1_{8AEC1DBD-DE62-400F-B510-B08FFE8BBE5F}" xr6:coauthVersionLast="36" xr6:coauthVersionMax="36" xr10:uidLastSave="{00000000-0000-0000-0000-000000000000}"/>
  <bookViews>
    <workbookView xWindow="-90" yWindow="-90" windowWidth="21810" windowHeight="8610" tabRatio="808" activeTab="2" xr2:uid="{00000000-000D-0000-FFFF-FFFF00000000}"/>
  </bookViews>
  <sheets>
    <sheet name="Voreinstellungen" sheetId="1" r:id="rId1"/>
    <sheet name="Feiertage" sheetId="2" r:id="rId2"/>
    <sheet name="Januar" sheetId="3" r:id="rId3"/>
    <sheet name="Februar" sheetId="18" r:id="rId4"/>
    <sheet name="März" sheetId="5" r:id="rId5"/>
    <sheet name="April" sheetId="6" r:id="rId6"/>
    <sheet name="Mai" sheetId="7" r:id="rId7"/>
    <sheet name="Juni" sheetId="8" r:id="rId8"/>
    <sheet name="Juli" sheetId="9" r:id="rId9"/>
    <sheet name="August" sheetId="10" r:id="rId10"/>
    <sheet name="September" sheetId="11" r:id="rId11"/>
    <sheet name="Oktober" sheetId="12" r:id="rId12"/>
    <sheet name="November" sheetId="13" r:id="rId13"/>
    <sheet name="Dezember" sheetId="14" r:id="rId14"/>
    <sheet name="Jahresübersicht" sheetId="15" r:id="rId15"/>
    <sheet name="Fahrtkosten" sheetId="17" r:id="rId16"/>
  </sheets>
  <definedNames>
    <definedName name="Code">Voreinstellungen!$B$20:$C$33</definedName>
    <definedName name="CodeList">Voreinstellungen!$B$20:$B$33</definedName>
    <definedName name="_xlnm.Print_Area" localSheetId="5">April!$A$1:$W$47</definedName>
    <definedName name="_xlnm.Print_Area" localSheetId="9">August!$A$1:$W$47</definedName>
    <definedName name="_xlnm.Print_Area" localSheetId="13">Dezember!$A$1:$W$47</definedName>
    <definedName name="_xlnm.Print_Area" localSheetId="15">Fahrtkosten!$A$1:$E$15</definedName>
    <definedName name="_xlnm.Print_Area" localSheetId="3">Februar!$A$1:$AM$49</definedName>
    <definedName name="_xlnm.Print_Area" localSheetId="1">Feiertage!$A$1:$D$39</definedName>
    <definedName name="_xlnm.Print_Area" localSheetId="14">Jahresübersicht!$A$1:$AL$51</definedName>
    <definedName name="_xlnm.Print_Area" localSheetId="2">Januar!$A$1:$AN$49</definedName>
    <definedName name="_xlnm.Print_Area" localSheetId="8">Juli!$A$1:$W$47</definedName>
    <definedName name="_xlnm.Print_Area" localSheetId="7">Juni!$A$1:$W$47</definedName>
    <definedName name="_xlnm.Print_Area" localSheetId="6">Mai!$A$1:$W$47</definedName>
    <definedName name="_xlnm.Print_Area" localSheetId="4">März!$A$1:$W$47</definedName>
    <definedName name="_xlnm.Print_Area" localSheetId="12">November!$A$1:$W$47</definedName>
    <definedName name="_xlnm.Print_Area" localSheetId="11">Oktober!$A$1:$W$47</definedName>
    <definedName name="_xlnm.Print_Area" localSheetId="10">September!$A$1:$W$47</definedName>
    <definedName name="_xlnm.Print_Area" localSheetId="0">Voreinstellungen!$A$1:$J$38</definedName>
    <definedName name="Einsatzorte" localSheetId="3">Tabelle5[Ort]</definedName>
    <definedName name="Einsatzorte">Tabelle5[Ort]</definedName>
    <definedName name="Feiertage">Feiertage!$A$4:$C$39</definedName>
    <definedName name="Jahr">Voreinstellungen!$C$2</definedName>
    <definedName name="Ostern0">Feiertage!$A$2</definedName>
    <definedName name="Ostern1">Feiertage!$B$2</definedName>
    <definedName name="PauseGTime">Voreinstellungen!$E$8</definedName>
    <definedName name="PauseGWert">Voreinstellungen!$F$8</definedName>
    <definedName name="PauseKTime">Voreinstellungen!$E$7</definedName>
    <definedName name="PauseKWert">Voreinstellungen!$F$7</definedName>
    <definedName name="SOLL_AZ_Ab">Voreinstellungen!$B$12:$B$16</definedName>
    <definedName name="Tätigkeiten" localSheetId="3">Tabelle5[Tätigkeit]</definedName>
    <definedName name="Tätigkeiten">Tabelle5[Tätigkeit]</definedName>
  </definedNames>
  <calcPr calcId="191029"/>
</workbook>
</file>

<file path=xl/calcChain.xml><?xml version="1.0" encoding="utf-8"?>
<calcChain xmlns="http://schemas.openxmlformats.org/spreadsheetml/2006/main">
  <c r="Y14" i="3" l="1"/>
  <c r="Y13" i="3"/>
  <c r="Y12" i="3"/>
  <c r="Y11" i="3"/>
  <c r="W11" i="3" s="1"/>
  <c r="Y10" i="3"/>
  <c r="Y9" i="3"/>
  <c r="Y8" i="3"/>
  <c r="W8" i="3" s="1"/>
  <c r="Y7" i="3"/>
  <c r="Y6" i="3"/>
  <c r="Y5" i="3"/>
  <c r="W14" i="3"/>
  <c r="W13" i="3"/>
  <c r="W12" i="3"/>
  <c r="W10" i="3"/>
  <c r="W9" i="3"/>
  <c r="W7" i="3"/>
  <c r="W6" i="3"/>
  <c r="W5" i="3"/>
  <c r="E51" i="15"/>
  <c r="E50" i="15"/>
  <c r="E49" i="15"/>
  <c r="E48" i="15"/>
  <c r="E47" i="15"/>
  <c r="E46" i="15"/>
  <c r="E45" i="15"/>
  <c r="E44" i="15"/>
  <c r="E43" i="15"/>
  <c r="E42" i="15"/>
  <c r="E41" i="15"/>
  <c r="E40" i="15"/>
  <c r="E39" i="15"/>
  <c r="A1" i="18" l="1"/>
  <c r="AM49" i="18"/>
  <c r="Q49" i="18"/>
  <c r="O49" i="18"/>
  <c r="AM48" i="18"/>
  <c r="Q48" i="18"/>
  <c r="O48" i="18"/>
  <c r="AM47" i="18"/>
  <c r="Q47" i="18"/>
  <c r="O47" i="18"/>
  <c r="AM46" i="18"/>
  <c r="Q46" i="18"/>
  <c r="O46" i="18"/>
  <c r="AM45" i="18"/>
  <c r="Q45" i="18"/>
  <c r="O45" i="18"/>
  <c r="AM44" i="18"/>
  <c r="Q44" i="18"/>
  <c r="O44" i="18"/>
  <c r="Q43" i="18"/>
  <c r="O43" i="18"/>
  <c r="AM41" i="18"/>
  <c r="Q41" i="18"/>
  <c r="O41" i="18"/>
  <c r="Q40" i="18"/>
  <c r="O40" i="18"/>
  <c r="AM39" i="18"/>
  <c r="O39" i="18"/>
  <c r="AM38" i="18"/>
  <c r="Q38" i="18"/>
  <c r="O38" i="18"/>
  <c r="F38" i="18"/>
  <c r="AT35" i="18"/>
  <c r="AS35" i="18"/>
  <c r="AT34" i="18"/>
  <c r="AS34" i="18"/>
  <c r="AT33" i="18"/>
  <c r="AS33" i="18"/>
  <c r="AT32" i="18"/>
  <c r="AS32" i="18"/>
  <c r="AT31" i="18"/>
  <c r="AS31" i="18"/>
  <c r="AT30" i="18"/>
  <c r="AS30" i="18"/>
  <c r="AT29" i="18"/>
  <c r="AS29" i="18"/>
  <c r="AT28" i="18"/>
  <c r="AS28" i="18"/>
  <c r="AT27" i="18"/>
  <c r="AS27" i="18"/>
  <c r="AT26" i="18"/>
  <c r="AS26" i="18"/>
  <c r="AT25" i="18"/>
  <c r="AS25" i="18"/>
  <c r="AT24" i="18"/>
  <c r="AS24" i="18"/>
  <c r="AT23" i="18"/>
  <c r="AS23" i="18"/>
  <c r="AT22" i="18"/>
  <c r="AS22" i="18"/>
  <c r="AT21" i="18"/>
  <c r="AS21" i="18"/>
  <c r="AT20" i="18"/>
  <c r="AS20" i="18"/>
  <c r="AT19" i="18"/>
  <c r="AS19" i="18"/>
  <c r="AT18" i="18"/>
  <c r="AS18" i="18"/>
  <c r="AT17" i="18"/>
  <c r="AS17" i="18"/>
  <c r="AT16" i="18"/>
  <c r="AS16" i="18"/>
  <c r="AT15" i="18"/>
  <c r="AS15" i="18"/>
  <c r="AT14" i="18"/>
  <c r="AS14" i="18"/>
  <c r="AT13" i="18"/>
  <c r="AS13" i="18"/>
  <c r="AT12" i="18"/>
  <c r="AS12" i="18"/>
  <c r="AT11" i="18"/>
  <c r="AS11" i="18"/>
  <c r="AT10" i="18"/>
  <c r="AS10" i="18"/>
  <c r="AT9" i="18"/>
  <c r="AS9" i="18"/>
  <c r="AT8" i="18"/>
  <c r="AS8" i="18"/>
  <c r="AT7" i="18"/>
  <c r="AS7" i="18"/>
  <c r="AT6" i="18"/>
  <c r="AS6" i="18"/>
  <c r="AT5" i="18"/>
  <c r="AS5" i="18"/>
  <c r="AQ4" i="18"/>
  <c r="AO4" i="18"/>
  <c r="AL2" i="18"/>
  <c r="AL1" i="18"/>
  <c r="E39" i="18" l="1"/>
  <c r="E40" i="18"/>
  <c r="AV11" i="18"/>
  <c r="E38" i="18"/>
  <c r="A5" i="18"/>
  <c r="E4" i="15" l="1"/>
  <c r="AB5" i="18"/>
  <c r="AD5" i="18"/>
  <c r="A6" i="18"/>
  <c r="X5" i="18"/>
  <c r="W5" i="18"/>
  <c r="Y5" i="18" s="1"/>
  <c r="B5" i="18"/>
  <c r="T5" i="18" l="1"/>
  <c r="P5" i="18" s="1"/>
  <c r="R5" i="18" s="1"/>
  <c r="F4" i="15" s="1"/>
  <c r="E5" i="15"/>
  <c r="X6" i="18"/>
  <c r="W6" i="18"/>
  <c r="T6" i="18" s="1"/>
  <c r="B6" i="18"/>
  <c r="A7" i="18"/>
  <c r="H39" i="1"/>
  <c r="G39" i="1"/>
  <c r="F39" i="1"/>
  <c r="H38" i="1"/>
  <c r="G38" i="1"/>
  <c r="F38" i="1"/>
  <c r="E38" i="1"/>
  <c r="F40" i="1"/>
  <c r="F41" i="1" s="1"/>
  <c r="G40" i="1"/>
  <c r="H40" i="1"/>
  <c r="H41" i="1" s="1"/>
  <c r="G41" i="1"/>
  <c r="E6" i="15" l="1"/>
  <c r="AD7" i="18"/>
  <c r="AB7" i="18"/>
  <c r="Z5" i="18"/>
  <c r="AF5" i="18"/>
  <c r="AG5" i="18" s="1"/>
  <c r="Y6" i="18"/>
  <c r="AD6" i="18" s="1"/>
  <c r="P6" i="18"/>
  <c r="R6" i="18" s="1"/>
  <c r="F5" i="15" s="1"/>
  <c r="A8" i="18"/>
  <c r="X7" i="18"/>
  <c r="W7" i="18"/>
  <c r="T7" i="18" s="1"/>
  <c r="B7" i="18"/>
  <c r="F34" i="1"/>
  <c r="G34" i="1"/>
  <c r="H34" i="1"/>
  <c r="E7" i="15" l="1"/>
  <c r="AB8" i="18"/>
  <c r="AD8" i="18"/>
  <c r="Z6" i="18"/>
  <c r="AB6" i="18" s="1"/>
  <c r="AF6" i="18"/>
  <c r="AG6" i="18" s="1"/>
  <c r="Y7" i="18"/>
  <c r="X8" i="18"/>
  <c r="W8" i="18"/>
  <c r="B8" i="18"/>
  <c r="A9" i="18"/>
  <c r="P7" i="18"/>
  <c r="R7" i="18" s="1"/>
  <c r="F6" i="15" s="1"/>
  <c r="E40" i="1"/>
  <c r="E2" i="1"/>
  <c r="E4" i="1" s="1"/>
  <c r="Y8" i="18" l="1"/>
  <c r="E8" i="15"/>
  <c r="AB9" i="18"/>
  <c r="AD9" i="18"/>
  <c r="T8" i="18"/>
  <c r="P8" i="18" s="1"/>
  <c r="R8" i="18" s="1"/>
  <c r="F7" i="15" s="1"/>
  <c r="A10" i="18"/>
  <c r="W9" i="18"/>
  <c r="B9" i="18"/>
  <c r="X9" i="18"/>
  <c r="Z7" i="18"/>
  <c r="AF7" i="18"/>
  <c r="AG7" i="18" s="1"/>
  <c r="E34" i="1"/>
  <c r="AP4" i="3"/>
  <c r="AR4" i="3"/>
  <c r="T9" i="18" l="1"/>
  <c r="P9" i="18" s="1"/>
  <c r="R9" i="18" s="1"/>
  <c r="F8" i="15" s="1"/>
  <c r="E9" i="15"/>
  <c r="AD10" i="18"/>
  <c r="Y9" i="18"/>
  <c r="A11" i="18"/>
  <c r="X10" i="18"/>
  <c r="W10" i="18"/>
  <c r="T10" i="18" s="1"/>
  <c r="B10" i="18"/>
  <c r="Z8" i="18"/>
  <c r="AF8" i="18"/>
  <c r="AG8" i="18" s="1"/>
  <c r="AT35" i="3"/>
  <c r="Y10" i="18" l="1"/>
  <c r="E10" i="15"/>
  <c r="AD11" i="18"/>
  <c r="AB11" i="18"/>
  <c r="Z9" i="18"/>
  <c r="AF9" i="18"/>
  <c r="AG9" i="18" s="1"/>
  <c r="A12" i="18"/>
  <c r="X11" i="18"/>
  <c r="B11" i="18"/>
  <c r="W11" i="18"/>
  <c r="T11" i="18" s="1"/>
  <c r="P10" i="18"/>
  <c r="R10" i="18" s="1"/>
  <c r="F9" i="15" s="1"/>
  <c r="Y48" i="5"/>
  <c r="Y49" i="5"/>
  <c r="Y48" i="6"/>
  <c r="Y49" i="6"/>
  <c r="Y48" i="7"/>
  <c r="Y49" i="7"/>
  <c r="Y48" i="8"/>
  <c r="Y49" i="8"/>
  <c r="Y48" i="9"/>
  <c r="Y49" i="9"/>
  <c r="Y48" i="10"/>
  <c r="Y49" i="10"/>
  <c r="Y48" i="11"/>
  <c r="Y49" i="11"/>
  <c r="Y48" i="12"/>
  <c r="Y49" i="12"/>
  <c r="Y48" i="13"/>
  <c r="Y49" i="13"/>
  <c r="Y48" i="14"/>
  <c r="Y49" i="14"/>
  <c r="F69" i="1"/>
  <c r="E11" i="15" l="1"/>
  <c r="AB12" i="18"/>
  <c r="AD12" i="18"/>
  <c r="Y11" i="18"/>
  <c r="Z10" i="18"/>
  <c r="AF10" i="18"/>
  <c r="AG10" i="18" s="1"/>
  <c r="P11" i="18"/>
  <c r="R11" i="18" s="1"/>
  <c r="F10" i="15" s="1"/>
  <c r="W12" i="18"/>
  <c r="B12" i="18"/>
  <c r="A13" i="18"/>
  <c r="X12" i="18"/>
  <c r="F68" i="1"/>
  <c r="F67" i="1"/>
  <c r="F66" i="1"/>
  <c r="F65" i="1"/>
  <c r="T12" i="18" l="1"/>
  <c r="E12" i="15"/>
  <c r="AB10" i="18"/>
  <c r="Z11" i="18"/>
  <c r="AF11" i="18"/>
  <c r="AG11" i="18" s="1"/>
  <c r="Y12" i="18"/>
  <c r="P12" i="18"/>
  <c r="R12" i="18" s="1"/>
  <c r="F11" i="15" s="1"/>
  <c r="A14" i="18"/>
  <c r="W13" i="18"/>
  <c r="T13" i="18" s="1"/>
  <c r="B13" i="18"/>
  <c r="X13" i="18"/>
  <c r="F64" i="1"/>
  <c r="Y13" i="18" l="1"/>
  <c r="AD13" i="18" s="1"/>
  <c r="E13" i="15"/>
  <c r="AB14" i="18"/>
  <c r="AD14" i="18"/>
  <c r="Z12" i="18"/>
  <c r="AF12" i="18"/>
  <c r="AG12" i="18" s="1"/>
  <c r="P13" i="18"/>
  <c r="R13" i="18" s="1"/>
  <c r="F12" i="15" s="1"/>
  <c r="A15" i="18"/>
  <c r="X14" i="18"/>
  <c r="W14" i="18"/>
  <c r="T14" i="18" s="1"/>
  <c r="B14" i="18"/>
  <c r="F63" i="1"/>
  <c r="F62" i="1"/>
  <c r="F61" i="1"/>
  <c r="E14" i="15" l="1"/>
  <c r="AB15" i="18"/>
  <c r="AD15" i="18"/>
  <c r="Z13" i="18"/>
  <c r="AB13" i="18" s="1"/>
  <c r="AF13" i="18"/>
  <c r="AG13" i="18" s="1"/>
  <c r="Y14" i="18"/>
  <c r="P14" i="18"/>
  <c r="R14" i="18" s="1"/>
  <c r="F13" i="15" s="1"/>
  <c r="A16" i="18"/>
  <c r="X15" i="18"/>
  <c r="W15" i="18"/>
  <c r="B15" i="18"/>
  <c r="F60" i="1"/>
  <c r="Y15" i="18" l="1"/>
  <c r="E15" i="15"/>
  <c r="AD16" i="18"/>
  <c r="AB16" i="18"/>
  <c r="T15" i="18"/>
  <c r="P15" i="18" s="1"/>
  <c r="R15" i="18" s="1"/>
  <c r="F14" i="15" s="1"/>
  <c r="A17" i="18"/>
  <c r="X16" i="18"/>
  <c r="W16" i="18"/>
  <c r="B16" i="18"/>
  <c r="AF14" i="18"/>
  <c r="AG14" i="18" s="1"/>
  <c r="Z14" i="18"/>
  <c r="F59" i="1"/>
  <c r="Y16" i="18" l="1"/>
  <c r="T16" i="18"/>
  <c r="P16" i="18" s="1"/>
  <c r="R16" i="18" s="1"/>
  <c r="F15" i="15" s="1"/>
  <c r="E16" i="15"/>
  <c r="Z15" i="18"/>
  <c r="AF15" i="18"/>
  <c r="AG15" i="18" s="1"/>
  <c r="X17" i="18"/>
  <c r="W17" i="18"/>
  <c r="B17" i="18"/>
  <c r="A18" i="18"/>
  <c r="F58" i="1"/>
  <c r="Y17" i="18" l="1"/>
  <c r="AD17" i="18" s="1"/>
  <c r="E17" i="15"/>
  <c r="AB18" i="18"/>
  <c r="AD18" i="18"/>
  <c r="T17" i="18"/>
  <c r="P17" i="18" s="1"/>
  <c r="R17" i="18" s="1"/>
  <c r="F16" i="15" s="1"/>
  <c r="Z16" i="18"/>
  <c r="AF16" i="18"/>
  <c r="AG16" i="18" s="1"/>
  <c r="X18" i="18"/>
  <c r="A19" i="18"/>
  <c r="W18" i="18"/>
  <c r="B18" i="18"/>
  <c r="F57" i="1"/>
  <c r="T18" i="18" l="1"/>
  <c r="E18" i="15"/>
  <c r="AB19" i="18"/>
  <c r="AD19" i="18"/>
  <c r="P18" i="18"/>
  <c r="R18" i="18" s="1"/>
  <c r="F17" i="15" s="1"/>
  <c r="AF17" i="18"/>
  <c r="AG17" i="18" s="1"/>
  <c r="Z17" i="18"/>
  <c r="Y18" i="18"/>
  <c r="A20" i="18"/>
  <c r="X19" i="18"/>
  <c r="W19" i="18"/>
  <c r="B19" i="18"/>
  <c r="AA49" i="14"/>
  <c r="AB49" i="14" s="1"/>
  <c r="Z48" i="14"/>
  <c r="Y47" i="14"/>
  <c r="AA47" i="14" s="1"/>
  <c r="AB47" i="14" s="1"/>
  <c r="Y46" i="14"/>
  <c r="Z46" i="14" s="1"/>
  <c r="Y45" i="14"/>
  <c r="AA45" i="14" s="1"/>
  <c r="AB45" i="14" s="1"/>
  <c r="Y44" i="14"/>
  <c r="Z44" i="14" s="1"/>
  <c r="Y43" i="14"/>
  <c r="AA43" i="14" s="1"/>
  <c r="AB43" i="14" s="1"/>
  <c r="Y42" i="14"/>
  <c r="Y41" i="14"/>
  <c r="AA41" i="14" s="1"/>
  <c r="AB41" i="14" s="1"/>
  <c r="Y40" i="14"/>
  <c r="Z40" i="14" s="1"/>
  <c r="Y39" i="14"/>
  <c r="AA39" i="14" s="1"/>
  <c r="AB39" i="14" s="1"/>
  <c r="Y38" i="14"/>
  <c r="Z38" i="14" s="1"/>
  <c r="Y37" i="14"/>
  <c r="AA37" i="14" s="1"/>
  <c r="AA49" i="13"/>
  <c r="AB49" i="13" s="1"/>
  <c r="Z48" i="13"/>
  <c r="Y47" i="13"/>
  <c r="AA47" i="13" s="1"/>
  <c r="AB47" i="13" s="1"/>
  <c r="Y46" i="13"/>
  <c r="Z46" i="13" s="1"/>
  <c r="Y45" i="13"/>
  <c r="AA45" i="13" s="1"/>
  <c r="AB45" i="13" s="1"/>
  <c r="Y44" i="13"/>
  <c r="Z44" i="13" s="1"/>
  <c r="Y43" i="13"/>
  <c r="AA43" i="13" s="1"/>
  <c r="AB43" i="13" s="1"/>
  <c r="Y42" i="13"/>
  <c r="Y41" i="13"/>
  <c r="AA41" i="13" s="1"/>
  <c r="AB41" i="13" s="1"/>
  <c r="Y40" i="13"/>
  <c r="Z40" i="13" s="1"/>
  <c r="Y39" i="13"/>
  <c r="Y38" i="13"/>
  <c r="Z38" i="13" s="1"/>
  <c r="Y37" i="13"/>
  <c r="AA49" i="12"/>
  <c r="AB49" i="12" s="1"/>
  <c r="AA48" i="12"/>
  <c r="AB48" i="12" s="1"/>
  <c r="Y47" i="12"/>
  <c r="AA47" i="12" s="1"/>
  <c r="AB47" i="12" s="1"/>
  <c r="Y46" i="12"/>
  <c r="AA46" i="12" s="1"/>
  <c r="AB46" i="12" s="1"/>
  <c r="Y45" i="12"/>
  <c r="AA45" i="12" s="1"/>
  <c r="AB45" i="12" s="1"/>
  <c r="Y44" i="12"/>
  <c r="Y43" i="12"/>
  <c r="AA43" i="12" s="1"/>
  <c r="AB43" i="12" s="1"/>
  <c r="Y42" i="12"/>
  <c r="Y41" i="12"/>
  <c r="AA41" i="12" s="1"/>
  <c r="AB41" i="12" s="1"/>
  <c r="Y40" i="12"/>
  <c r="AA40" i="12" s="1"/>
  <c r="AB40" i="12" s="1"/>
  <c r="Y39" i="12"/>
  <c r="AA39" i="12" s="1"/>
  <c r="AB39" i="12" s="1"/>
  <c r="Y38" i="12"/>
  <c r="AA38" i="12" s="1"/>
  <c r="AB38" i="12" s="1"/>
  <c r="Y37" i="12"/>
  <c r="AA49" i="11"/>
  <c r="AB49" i="11" s="1"/>
  <c r="Z48" i="11"/>
  <c r="Y47" i="11"/>
  <c r="AA47" i="11" s="1"/>
  <c r="AB47" i="11" s="1"/>
  <c r="Y46" i="11"/>
  <c r="Z46" i="11" s="1"/>
  <c r="Y45" i="11"/>
  <c r="AA45" i="11" s="1"/>
  <c r="AB45" i="11" s="1"/>
  <c r="Y44" i="11"/>
  <c r="Z44" i="11" s="1"/>
  <c r="Y43" i="11"/>
  <c r="AA43" i="11" s="1"/>
  <c r="AB43" i="11" s="1"/>
  <c r="Y42" i="11"/>
  <c r="Y41" i="11"/>
  <c r="AA41" i="11" s="1"/>
  <c r="AB41" i="11" s="1"/>
  <c r="Y40" i="11"/>
  <c r="Y39" i="11"/>
  <c r="AA39" i="11" s="1"/>
  <c r="AB39" i="11" s="1"/>
  <c r="Y38" i="11"/>
  <c r="Z38" i="11" s="1"/>
  <c r="Y37" i="11"/>
  <c r="AA49" i="10"/>
  <c r="AB49" i="10" s="1"/>
  <c r="AA48" i="10"/>
  <c r="AB48" i="10" s="1"/>
  <c r="Y47" i="10"/>
  <c r="AA47" i="10" s="1"/>
  <c r="AB47" i="10" s="1"/>
  <c r="Y46" i="10"/>
  <c r="AA46" i="10" s="1"/>
  <c r="AB46" i="10" s="1"/>
  <c r="Y45" i="10"/>
  <c r="AA45" i="10" s="1"/>
  <c r="AB45" i="10" s="1"/>
  <c r="Y44" i="10"/>
  <c r="AA44" i="10" s="1"/>
  <c r="AB44" i="10" s="1"/>
  <c r="Y43" i="10"/>
  <c r="AA43" i="10" s="1"/>
  <c r="AB43" i="10" s="1"/>
  <c r="Y42" i="10"/>
  <c r="Y41" i="10"/>
  <c r="Y40" i="10"/>
  <c r="Y39" i="10"/>
  <c r="AA39" i="10" s="1"/>
  <c r="AB39" i="10" s="1"/>
  <c r="Y38" i="10"/>
  <c r="AA38" i="10" s="1"/>
  <c r="AB38" i="10" s="1"/>
  <c r="Y37" i="10"/>
  <c r="AA49" i="9"/>
  <c r="AB49" i="9" s="1"/>
  <c r="AA48" i="9"/>
  <c r="AB48" i="9" s="1"/>
  <c r="Y47" i="9"/>
  <c r="AA47" i="9" s="1"/>
  <c r="AB47" i="9" s="1"/>
  <c r="Y46" i="9"/>
  <c r="AA46" i="9" s="1"/>
  <c r="AB46" i="9" s="1"/>
  <c r="Y45" i="9"/>
  <c r="AA45" i="9" s="1"/>
  <c r="AB45" i="9" s="1"/>
  <c r="Y44" i="9"/>
  <c r="AA44" i="9" s="1"/>
  <c r="AB44" i="9" s="1"/>
  <c r="Y43" i="9"/>
  <c r="AA43" i="9" s="1"/>
  <c r="AB43" i="9" s="1"/>
  <c r="Y42" i="9"/>
  <c r="Y41" i="9"/>
  <c r="AA41" i="9" s="1"/>
  <c r="AB41" i="9" s="1"/>
  <c r="Y40" i="9"/>
  <c r="AA40" i="9" s="1"/>
  <c r="AB40" i="9" s="1"/>
  <c r="Y39" i="9"/>
  <c r="AA39" i="9" s="1"/>
  <c r="AB39" i="9" s="1"/>
  <c r="Y38" i="9"/>
  <c r="AA38" i="9" s="1"/>
  <c r="AB38" i="9" s="1"/>
  <c r="Y37" i="9"/>
  <c r="AA49" i="7"/>
  <c r="AB49" i="7" s="1"/>
  <c r="AA48" i="7"/>
  <c r="AB48" i="7" s="1"/>
  <c r="Y47" i="7"/>
  <c r="AA47" i="7" s="1"/>
  <c r="AB47" i="7" s="1"/>
  <c r="Y46" i="7"/>
  <c r="AA46" i="7" s="1"/>
  <c r="AB46" i="7" s="1"/>
  <c r="Y45" i="7"/>
  <c r="AA45" i="7" s="1"/>
  <c r="AB45" i="7" s="1"/>
  <c r="Y44" i="7"/>
  <c r="AA44" i="7" s="1"/>
  <c r="AB44" i="7" s="1"/>
  <c r="Y43" i="7"/>
  <c r="AA43" i="7" s="1"/>
  <c r="AB43" i="7" s="1"/>
  <c r="Y42" i="7"/>
  <c r="Y41" i="7"/>
  <c r="AA41" i="7" s="1"/>
  <c r="AB41" i="7" s="1"/>
  <c r="Y40" i="7"/>
  <c r="Y39" i="7"/>
  <c r="AA39" i="7" s="1"/>
  <c r="AB39" i="7" s="1"/>
  <c r="Y38" i="7"/>
  <c r="Y37" i="7"/>
  <c r="Z37" i="7" s="1"/>
  <c r="AA49" i="6"/>
  <c r="AB49" i="6" s="1"/>
  <c r="AA48" i="6"/>
  <c r="AB48" i="6" s="1"/>
  <c r="Y47" i="6"/>
  <c r="AA47" i="6" s="1"/>
  <c r="AB47" i="6" s="1"/>
  <c r="Y46" i="6"/>
  <c r="AA46" i="6" s="1"/>
  <c r="AB46" i="6" s="1"/>
  <c r="Y45" i="6"/>
  <c r="AA45" i="6" s="1"/>
  <c r="AB45" i="6" s="1"/>
  <c r="Y44" i="6"/>
  <c r="AA44" i="6" s="1"/>
  <c r="AB44" i="6" s="1"/>
  <c r="Y43" i="6"/>
  <c r="Y42" i="6"/>
  <c r="AA42" i="6" s="1"/>
  <c r="AB42" i="6" s="1"/>
  <c r="Y41" i="6"/>
  <c r="AA41" i="6" s="1"/>
  <c r="AB41" i="6" s="1"/>
  <c r="Y40" i="6"/>
  <c r="Y39" i="6"/>
  <c r="AA39" i="6" s="1"/>
  <c r="AB39" i="6" s="1"/>
  <c r="Y38" i="6"/>
  <c r="Y37" i="6"/>
  <c r="AA49" i="5"/>
  <c r="AB49" i="5" s="1"/>
  <c r="AA48" i="5"/>
  <c r="AB48" i="5" s="1"/>
  <c r="Y47" i="5"/>
  <c r="AA47" i="5" s="1"/>
  <c r="AB47" i="5" s="1"/>
  <c r="Y46" i="5"/>
  <c r="AA46" i="5" s="1"/>
  <c r="AB46" i="5" s="1"/>
  <c r="Y45" i="5"/>
  <c r="AA45" i="5" s="1"/>
  <c r="AB45" i="5" s="1"/>
  <c r="Y44" i="5"/>
  <c r="AA44" i="5" s="1"/>
  <c r="AB44" i="5" s="1"/>
  <c r="Y43" i="5"/>
  <c r="AA43" i="5" s="1"/>
  <c r="AB43" i="5" s="1"/>
  <c r="Y42" i="5"/>
  <c r="Z42" i="5" s="1"/>
  <c r="Y41" i="5"/>
  <c r="Y40" i="5"/>
  <c r="Z40" i="5" s="1"/>
  <c r="Y39" i="5"/>
  <c r="Y38" i="5"/>
  <c r="AA38" i="5" s="1"/>
  <c r="AB38" i="5" s="1"/>
  <c r="Y37" i="5"/>
  <c r="Y38" i="8"/>
  <c r="Y39" i="8"/>
  <c r="Y40" i="8"/>
  <c r="Y41" i="8"/>
  <c r="Y42" i="8"/>
  <c r="Y43" i="8"/>
  <c r="Y44" i="8"/>
  <c r="Y45" i="8"/>
  <c r="Y46" i="8"/>
  <c r="Y47" i="8"/>
  <c r="Y37" i="8"/>
  <c r="AC34" i="14"/>
  <c r="AB34" i="14"/>
  <c r="AC33" i="14"/>
  <c r="AB33" i="14"/>
  <c r="AC32" i="14"/>
  <c r="AB32" i="14"/>
  <c r="AC31" i="14"/>
  <c r="AB31" i="14"/>
  <c r="AC30" i="14"/>
  <c r="AB30" i="14"/>
  <c r="AC29" i="14"/>
  <c r="AB29" i="14"/>
  <c r="AC28" i="14"/>
  <c r="AB28" i="14"/>
  <c r="AC27" i="14"/>
  <c r="AB27" i="14"/>
  <c r="AC26" i="14"/>
  <c r="AB26" i="14"/>
  <c r="AC25" i="14"/>
  <c r="AB25" i="14"/>
  <c r="AC24" i="14"/>
  <c r="AB24" i="14"/>
  <c r="AC23" i="14"/>
  <c r="AB23" i="14"/>
  <c r="AC22" i="14"/>
  <c r="AB22" i="14"/>
  <c r="AC21" i="14"/>
  <c r="AB21" i="14"/>
  <c r="AC20" i="14"/>
  <c r="AB20" i="14"/>
  <c r="AC19" i="14"/>
  <c r="AB19" i="14"/>
  <c r="AC18" i="14"/>
  <c r="AB18" i="14"/>
  <c r="AC17" i="14"/>
  <c r="AB17" i="14"/>
  <c r="AC16" i="14"/>
  <c r="AB16" i="14"/>
  <c r="AC15" i="14"/>
  <c r="AB15" i="14"/>
  <c r="AC14" i="14"/>
  <c r="AB14" i="14"/>
  <c r="AC13" i="14"/>
  <c r="AB13" i="14"/>
  <c r="AC12" i="14"/>
  <c r="AB12" i="14"/>
  <c r="AC11" i="14"/>
  <c r="AB11" i="14"/>
  <c r="AC10" i="14"/>
  <c r="AB10" i="14"/>
  <c r="AC9" i="14"/>
  <c r="AB9" i="14"/>
  <c r="AC8" i="14"/>
  <c r="AB8" i="14"/>
  <c r="AC7" i="14"/>
  <c r="AB7" i="14"/>
  <c r="AC6" i="14"/>
  <c r="AB6" i="14"/>
  <c r="AC5" i="14"/>
  <c r="AB5" i="14"/>
  <c r="AC4" i="14"/>
  <c r="AB4" i="14"/>
  <c r="AC34" i="13"/>
  <c r="AB34" i="13"/>
  <c r="AC33" i="13"/>
  <c r="AB33" i="13"/>
  <c r="AC32" i="13"/>
  <c r="AB32" i="13"/>
  <c r="AC31" i="13"/>
  <c r="AB31" i="13"/>
  <c r="AC30" i="13"/>
  <c r="AB30" i="13"/>
  <c r="AC29" i="13"/>
  <c r="AB29" i="13"/>
  <c r="AC28" i="13"/>
  <c r="AB28" i="13"/>
  <c r="AC27" i="13"/>
  <c r="AB27" i="13"/>
  <c r="AC26" i="13"/>
  <c r="AB26" i="13"/>
  <c r="AC25" i="13"/>
  <c r="AB25" i="13"/>
  <c r="AC24" i="13"/>
  <c r="AB24" i="13"/>
  <c r="AC23" i="13"/>
  <c r="AB23" i="13"/>
  <c r="AC22" i="13"/>
  <c r="AB22" i="13"/>
  <c r="AC21" i="13"/>
  <c r="AB21" i="13"/>
  <c r="AC20" i="13"/>
  <c r="AB20" i="13"/>
  <c r="AC19" i="13"/>
  <c r="AB19" i="13"/>
  <c r="AC18" i="13"/>
  <c r="AB18" i="13"/>
  <c r="AC17" i="13"/>
  <c r="AB17" i="13"/>
  <c r="AC16" i="13"/>
  <c r="AB16" i="13"/>
  <c r="AC15" i="13"/>
  <c r="AB15" i="13"/>
  <c r="AC14" i="13"/>
  <c r="AB14" i="13"/>
  <c r="AC13" i="13"/>
  <c r="AB13" i="13"/>
  <c r="AC12" i="13"/>
  <c r="AB12" i="13"/>
  <c r="AC11" i="13"/>
  <c r="AB11" i="13"/>
  <c r="AC10" i="13"/>
  <c r="AB10" i="13"/>
  <c r="AC9" i="13"/>
  <c r="AB9" i="13"/>
  <c r="AC8" i="13"/>
  <c r="AB8" i="13"/>
  <c r="AC7" i="13"/>
  <c r="AB7" i="13"/>
  <c r="AC6" i="13"/>
  <c r="AB6" i="13"/>
  <c r="AC5" i="13"/>
  <c r="AB5" i="13"/>
  <c r="AC4" i="13"/>
  <c r="AB4" i="13"/>
  <c r="AC34" i="12"/>
  <c r="AB34" i="12"/>
  <c r="AC33" i="12"/>
  <c r="AB33" i="12"/>
  <c r="AC32" i="12"/>
  <c r="AB32" i="12"/>
  <c r="AC31" i="12"/>
  <c r="AB31" i="12"/>
  <c r="AC30" i="12"/>
  <c r="AB30" i="12"/>
  <c r="AC29" i="12"/>
  <c r="AB29" i="12"/>
  <c r="AC28" i="12"/>
  <c r="AB28" i="12"/>
  <c r="AC27" i="12"/>
  <c r="AB27" i="12"/>
  <c r="AC26" i="12"/>
  <c r="AB26" i="12"/>
  <c r="AC25" i="12"/>
  <c r="AB25" i="12"/>
  <c r="AC24" i="12"/>
  <c r="AB24" i="12"/>
  <c r="AC23" i="12"/>
  <c r="AB23" i="12"/>
  <c r="AC22" i="12"/>
  <c r="AB22" i="12"/>
  <c r="AC21" i="12"/>
  <c r="AB21" i="12"/>
  <c r="AC20" i="12"/>
  <c r="AB20" i="12"/>
  <c r="AC19" i="12"/>
  <c r="AB19" i="12"/>
  <c r="AC18" i="12"/>
  <c r="AB18" i="12"/>
  <c r="AC17" i="12"/>
  <c r="AB17" i="12"/>
  <c r="AC16" i="12"/>
  <c r="AB16" i="12"/>
  <c r="AC15" i="12"/>
  <c r="AB15" i="12"/>
  <c r="AC14" i="12"/>
  <c r="AB14" i="12"/>
  <c r="AC13" i="12"/>
  <c r="AB13" i="12"/>
  <c r="AC12" i="12"/>
  <c r="AB12" i="12"/>
  <c r="AC11" i="12"/>
  <c r="AB11" i="12"/>
  <c r="AC10" i="12"/>
  <c r="AB10" i="12"/>
  <c r="AC9" i="12"/>
  <c r="AB9" i="12"/>
  <c r="AC8" i="12"/>
  <c r="AB8" i="12"/>
  <c r="AC7" i="12"/>
  <c r="AB7" i="12"/>
  <c r="AC6" i="12"/>
  <c r="AB6" i="12"/>
  <c r="AC5" i="12"/>
  <c r="AB5" i="12"/>
  <c r="AC4" i="12"/>
  <c r="AB4" i="12"/>
  <c r="AC34" i="11"/>
  <c r="AB34" i="11"/>
  <c r="AC33" i="11"/>
  <c r="AB33" i="11"/>
  <c r="AC32" i="11"/>
  <c r="AB32" i="11"/>
  <c r="AC31" i="11"/>
  <c r="AB31" i="11"/>
  <c r="AC30" i="11"/>
  <c r="AB30" i="11"/>
  <c r="AC29" i="11"/>
  <c r="AB29" i="11"/>
  <c r="AC28" i="11"/>
  <c r="AB28" i="11"/>
  <c r="AC27" i="11"/>
  <c r="AB27" i="11"/>
  <c r="AC26" i="11"/>
  <c r="AB26" i="11"/>
  <c r="AC25" i="11"/>
  <c r="AB25" i="11"/>
  <c r="AC24" i="11"/>
  <c r="AB24" i="11"/>
  <c r="AC23" i="11"/>
  <c r="AB23" i="11"/>
  <c r="AC22" i="11"/>
  <c r="AB22" i="11"/>
  <c r="AC21" i="11"/>
  <c r="AB21" i="11"/>
  <c r="AC20" i="11"/>
  <c r="AB20" i="11"/>
  <c r="AC19" i="11"/>
  <c r="AB19" i="11"/>
  <c r="AC18" i="11"/>
  <c r="AB18" i="11"/>
  <c r="AC17" i="11"/>
  <c r="AB17" i="11"/>
  <c r="AC16" i="11"/>
  <c r="AB16" i="11"/>
  <c r="AC15" i="11"/>
  <c r="AB15" i="11"/>
  <c r="AC14" i="11"/>
  <c r="AB14" i="11"/>
  <c r="AC13" i="11"/>
  <c r="AB13" i="11"/>
  <c r="AC12" i="11"/>
  <c r="AB12" i="11"/>
  <c r="AC11" i="11"/>
  <c r="AB11" i="11"/>
  <c r="AC10" i="11"/>
  <c r="AB10" i="11"/>
  <c r="AC9" i="11"/>
  <c r="AB9" i="11"/>
  <c r="AC8" i="11"/>
  <c r="AB8" i="11"/>
  <c r="AC7" i="11"/>
  <c r="AB7" i="11"/>
  <c r="AC6" i="11"/>
  <c r="AB6" i="11"/>
  <c r="AC5" i="11"/>
  <c r="AB5" i="11"/>
  <c r="AC4" i="11"/>
  <c r="AB4" i="11"/>
  <c r="AC34" i="10"/>
  <c r="AB34" i="10"/>
  <c r="AC33" i="10"/>
  <c r="AB33" i="10"/>
  <c r="AC32" i="10"/>
  <c r="AB32" i="10"/>
  <c r="AC31" i="10"/>
  <c r="AB31" i="10"/>
  <c r="AC30" i="10"/>
  <c r="AB30" i="10"/>
  <c r="AC29" i="10"/>
  <c r="AB29" i="10"/>
  <c r="AC28" i="10"/>
  <c r="AB28" i="10"/>
  <c r="AC27" i="10"/>
  <c r="AB27" i="10"/>
  <c r="AC26" i="10"/>
  <c r="AB26" i="10"/>
  <c r="AC25" i="10"/>
  <c r="AB25" i="10"/>
  <c r="AC24" i="10"/>
  <c r="AB24" i="10"/>
  <c r="AC23" i="10"/>
  <c r="AB23" i="10"/>
  <c r="AC22" i="10"/>
  <c r="AB22" i="10"/>
  <c r="AC21" i="10"/>
  <c r="AB21" i="10"/>
  <c r="AC20" i="10"/>
  <c r="AB20" i="10"/>
  <c r="AC19" i="10"/>
  <c r="AB19" i="10"/>
  <c r="AC18" i="10"/>
  <c r="AB18" i="10"/>
  <c r="AC17" i="10"/>
  <c r="AB17" i="10"/>
  <c r="AC16" i="10"/>
  <c r="AB16" i="10"/>
  <c r="AC15" i="10"/>
  <c r="AB15" i="10"/>
  <c r="AC14" i="10"/>
  <c r="AB14" i="10"/>
  <c r="AC13" i="10"/>
  <c r="AB13" i="10"/>
  <c r="AC12" i="10"/>
  <c r="AB12" i="10"/>
  <c r="AC11" i="10"/>
  <c r="AB11" i="10"/>
  <c r="AC10" i="10"/>
  <c r="AB10" i="10"/>
  <c r="AC9" i="10"/>
  <c r="AB9" i="10"/>
  <c r="AC8" i="10"/>
  <c r="AB8" i="10"/>
  <c r="AC7" i="10"/>
  <c r="AB7" i="10"/>
  <c r="AC6" i="10"/>
  <c r="AB6" i="10"/>
  <c r="AC5" i="10"/>
  <c r="AB5" i="10"/>
  <c r="AC4" i="10"/>
  <c r="AB4" i="10"/>
  <c r="AC34" i="9"/>
  <c r="AB34" i="9"/>
  <c r="AC33" i="9"/>
  <c r="AB33" i="9"/>
  <c r="AC32" i="9"/>
  <c r="AB32" i="9"/>
  <c r="AC31" i="9"/>
  <c r="AB31" i="9"/>
  <c r="AC30" i="9"/>
  <c r="AB30" i="9"/>
  <c r="AC29" i="9"/>
  <c r="AB29" i="9"/>
  <c r="AC28" i="9"/>
  <c r="AB28" i="9"/>
  <c r="AC27" i="9"/>
  <c r="AB27" i="9"/>
  <c r="AC26" i="9"/>
  <c r="AB26" i="9"/>
  <c r="AC25" i="9"/>
  <c r="AB25" i="9"/>
  <c r="AC24" i="9"/>
  <c r="AB24" i="9"/>
  <c r="AC23" i="9"/>
  <c r="AB23" i="9"/>
  <c r="AC22" i="9"/>
  <c r="AB22" i="9"/>
  <c r="AC21" i="9"/>
  <c r="AB21" i="9"/>
  <c r="AC20" i="9"/>
  <c r="AB20" i="9"/>
  <c r="AC19" i="9"/>
  <c r="AB19" i="9"/>
  <c r="AC18" i="9"/>
  <c r="AB18" i="9"/>
  <c r="AC17" i="9"/>
  <c r="AB17" i="9"/>
  <c r="AC16" i="9"/>
  <c r="AB16" i="9"/>
  <c r="AC15" i="9"/>
  <c r="AB15" i="9"/>
  <c r="AC14" i="9"/>
  <c r="AB14" i="9"/>
  <c r="AC13" i="9"/>
  <c r="AB13" i="9"/>
  <c r="AC12" i="9"/>
  <c r="AB12" i="9"/>
  <c r="AC11" i="9"/>
  <c r="AB11" i="9"/>
  <c r="AC10" i="9"/>
  <c r="AB10" i="9"/>
  <c r="AC9" i="9"/>
  <c r="AB9" i="9"/>
  <c r="AC8" i="9"/>
  <c r="AB8" i="9"/>
  <c r="AC7" i="9"/>
  <c r="AB7" i="9"/>
  <c r="AC6" i="9"/>
  <c r="AB6" i="9"/>
  <c r="AC5" i="9"/>
  <c r="AB5" i="9"/>
  <c r="AC4" i="9"/>
  <c r="AB4" i="9"/>
  <c r="AC34" i="7"/>
  <c r="AB34" i="7"/>
  <c r="AC33" i="7"/>
  <c r="AB33" i="7"/>
  <c r="AC32" i="7"/>
  <c r="AB32" i="7"/>
  <c r="AC31" i="7"/>
  <c r="AB31" i="7"/>
  <c r="AC30" i="7"/>
  <c r="AB30" i="7"/>
  <c r="AC29" i="7"/>
  <c r="AB29" i="7"/>
  <c r="AC28" i="7"/>
  <c r="AB28" i="7"/>
  <c r="AC27" i="7"/>
  <c r="AB27" i="7"/>
  <c r="AC26" i="7"/>
  <c r="AB26" i="7"/>
  <c r="AC25" i="7"/>
  <c r="AB25" i="7"/>
  <c r="AC24" i="7"/>
  <c r="AB24" i="7"/>
  <c r="AC23" i="7"/>
  <c r="AB23" i="7"/>
  <c r="AC22" i="7"/>
  <c r="AB22" i="7"/>
  <c r="AC21" i="7"/>
  <c r="AB21" i="7"/>
  <c r="AC20" i="7"/>
  <c r="AB20" i="7"/>
  <c r="AC19" i="7"/>
  <c r="AB19" i="7"/>
  <c r="AC18" i="7"/>
  <c r="AB18" i="7"/>
  <c r="AC17" i="7"/>
  <c r="AB17" i="7"/>
  <c r="AC16" i="7"/>
  <c r="AB16" i="7"/>
  <c r="AC15" i="7"/>
  <c r="AB15" i="7"/>
  <c r="AC14" i="7"/>
  <c r="AB14" i="7"/>
  <c r="AC13" i="7"/>
  <c r="AB13" i="7"/>
  <c r="AC12" i="7"/>
  <c r="AB12" i="7"/>
  <c r="AC11" i="7"/>
  <c r="AB11" i="7"/>
  <c r="AC10" i="7"/>
  <c r="AB10" i="7"/>
  <c r="AC9" i="7"/>
  <c r="AB9" i="7"/>
  <c r="AC8" i="7"/>
  <c r="AB8" i="7"/>
  <c r="AC7" i="7"/>
  <c r="AB7" i="7"/>
  <c r="AC6" i="7"/>
  <c r="AB6" i="7"/>
  <c r="AC5" i="7"/>
  <c r="AB5" i="7"/>
  <c r="AC4" i="7"/>
  <c r="AB4" i="7"/>
  <c r="AC34" i="6"/>
  <c r="AB34" i="6"/>
  <c r="AC33" i="6"/>
  <c r="AB33" i="6"/>
  <c r="AC32" i="6"/>
  <c r="AB32" i="6"/>
  <c r="AC31" i="6"/>
  <c r="AB31" i="6"/>
  <c r="AC30" i="6"/>
  <c r="AB30" i="6"/>
  <c r="AC29" i="6"/>
  <c r="AB29" i="6"/>
  <c r="AC28" i="6"/>
  <c r="AB28" i="6"/>
  <c r="AC27" i="6"/>
  <c r="AB27" i="6"/>
  <c r="AC26" i="6"/>
  <c r="AB26" i="6"/>
  <c r="AC25" i="6"/>
  <c r="AB25" i="6"/>
  <c r="AC24" i="6"/>
  <c r="AB24" i="6"/>
  <c r="AC23" i="6"/>
  <c r="AB23" i="6"/>
  <c r="AC22" i="6"/>
  <c r="AB22" i="6"/>
  <c r="AC21" i="6"/>
  <c r="AB21" i="6"/>
  <c r="AC20" i="6"/>
  <c r="AB20" i="6"/>
  <c r="AC19" i="6"/>
  <c r="AB19" i="6"/>
  <c r="AC18" i="6"/>
  <c r="AB18" i="6"/>
  <c r="AC17" i="6"/>
  <c r="AB17" i="6"/>
  <c r="AC16" i="6"/>
  <c r="AB16" i="6"/>
  <c r="AC15" i="6"/>
  <c r="AB15" i="6"/>
  <c r="AC14" i="6"/>
  <c r="AB14" i="6"/>
  <c r="AC13" i="6"/>
  <c r="AB13" i="6"/>
  <c r="AC12" i="6"/>
  <c r="AB12" i="6"/>
  <c r="AC11" i="6"/>
  <c r="AB11" i="6"/>
  <c r="AC10" i="6"/>
  <c r="AB10" i="6"/>
  <c r="AC9" i="6"/>
  <c r="AB9" i="6"/>
  <c r="AC8" i="6"/>
  <c r="AB8" i="6"/>
  <c r="AC7" i="6"/>
  <c r="AB7" i="6"/>
  <c r="AC6" i="6"/>
  <c r="AB6" i="6"/>
  <c r="AC5" i="6"/>
  <c r="AB5" i="6"/>
  <c r="AC4" i="6"/>
  <c r="AB4" i="6"/>
  <c r="AC34" i="5"/>
  <c r="AB34" i="5"/>
  <c r="AC33" i="5"/>
  <c r="AB33" i="5"/>
  <c r="AC32" i="5"/>
  <c r="AB32" i="5"/>
  <c r="AC31" i="5"/>
  <c r="AB31" i="5"/>
  <c r="AC30" i="5"/>
  <c r="AB30" i="5"/>
  <c r="AC29" i="5"/>
  <c r="AB29" i="5"/>
  <c r="AC28" i="5"/>
  <c r="AB28" i="5"/>
  <c r="AC27" i="5"/>
  <c r="AB27" i="5"/>
  <c r="AC26" i="5"/>
  <c r="AB26" i="5"/>
  <c r="AC25" i="5"/>
  <c r="AB25" i="5"/>
  <c r="AC24" i="5"/>
  <c r="AB24" i="5"/>
  <c r="AC23" i="5"/>
  <c r="AB23" i="5"/>
  <c r="AC22" i="5"/>
  <c r="AB22" i="5"/>
  <c r="AC21" i="5"/>
  <c r="AB21" i="5"/>
  <c r="AC20" i="5"/>
  <c r="AB20" i="5"/>
  <c r="AC19" i="5"/>
  <c r="AB19" i="5"/>
  <c r="AC18" i="5"/>
  <c r="AB18" i="5"/>
  <c r="AC17" i="5"/>
  <c r="AB17" i="5"/>
  <c r="AC16" i="5"/>
  <c r="AB16" i="5"/>
  <c r="AC15" i="5"/>
  <c r="AB15" i="5"/>
  <c r="AC14" i="5"/>
  <c r="AB14" i="5"/>
  <c r="AC13" i="5"/>
  <c r="AB13" i="5"/>
  <c r="AC12" i="5"/>
  <c r="AB12" i="5"/>
  <c r="AC11" i="5"/>
  <c r="AB11" i="5"/>
  <c r="AC10" i="5"/>
  <c r="AB10" i="5"/>
  <c r="AC9" i="5"/>
  <c r="AB9" i="5"/>
  <c r="AC8" i="5"/>
  <c r="AB8" i="5"/>
  <c r="AC7" i="5"/>
  <c r="AB7" i="5"/>
  <c r="AC6" i="5"/>
  <c r="AB6" i="5"/>
  <c r="AC5" i="5"/>
  <c r="AB5" i="5"/>
  <c r="AC4" i="5"/>
  <c r="AB4" i="5"/>
  <c r="AU35" i="3"/>
  <c r="AU34" i="3"/>
  <c r="AT34" i="3"/>
  <c r="AU33" i="3"/>
  <c r="AT33" i="3"/>
  <c r="AU32" i="3"/>
  <c r="AT32" i="3"/>
  <c r="AU31" i="3"/>
  <c r="AT31" i="3"/>
  <c r="AU30" i="3"/>
  <c r="AT30" i="3"/>
  <c r="AU29" i="3"/>
  <c r="AT29" i="3"/>
  <c r="AU28" i="3"/>
  <c r="AT28" i="3"/>
  <c r="AU27" i="3"/>
  <c r="AT27" i="3"/>
  <c r="AU26" i="3"/>
  <c r="AT26" i="3"/>
  <c r="AU25" i="3"/>
  <c r="AT25" i="3"/>
  <c r="AU24" i="3"/>
  <c r="AT24" i="3"/>
  <c r="AU23" i="3"/>
  <c r="AT23" i="3"/>
  <c r="AU22" i="3"/>
  <c r="AT22" i="3"/>
  <c r="AU21" i="3"/>
  <c r="AT21" i="3"/>
  <c r="AU20" i="3"/>
  <c r="AT20" i="3"/>
  <c r="AU19" i="3"/>
  <c r="AT19" i="3"/>
  <c r="AU18" i="3"/>
  <c r="AT18" i="3"/>
  <c r="AU17" i="3"/>
  <c r="AT17" i="3"/>
  <c r="AU16" i="3"/>
  <c r="AT16" i="3"/>
  <c r="AU15" i="3"/>
  <c r="AT15" i="3"/>
  <c r="AU14" i="3"/>
  <c r="AT14" i="3"/>
  <c r="AU13" i="3"/>
  <c r="AT13" i="3"/>
  <c r="AU12" i="3"/>
  <c r="AT12" i="3"/>
  <c r="AU11" i="3"/>
  <c r="AT11" i="3"/>
  <c r="AU10" i="3"/>
  <c r="AT10" i="3"/>
  <c r="AU9" i="3"/>
  <c r="AT9" i="3"/>
  <c r="AU8" i="3"/>
  <c r="AT8" i="3"/>
  <c r="AU7" i="3"/>
  <c r="AT7" i="3"/>
  <c r="AU6" i="3"/>
  <c r="AT6" i="3"/>
  <c r="AU5" i="3"/>
  <c r="AT5" i="3"/>
  <c r="Y19" i="18" l="1"/>
  <c r="E19" i="15"/>
  <c r="T19" i="18"/>
  <c r="P19" i="18" s="1"/>
  <c r="R19" i="18" s="1"/>
  <c r="F18" i="15" s="1"/>
  <c r="AB17" i="18"/>
  <c r="Z18" i="18"/>
  <c r="AF18" i="18"/>
  <c r="AG18" i="18" s="1"/>
  <c r="W20" i="18"/>
  <c r="T20" i="18" s="1"/>
  <c r="B20" i="18"/>
  <c r="A21" i="18"/>
  <c r="X20" i="18"/>
  <c r="Z44" i="10"/>
  <c r="Z41" i="7"/>
  <c r="AA48" i="11"/>
  <c r="AB48" i="11" s="1"/>
  <c r="Z40" i="10"/>
  <c r="Z48" i="5"/>
  <c r="Z41" i="14"/>
  <c r="Z38" i="5"/>
  <c r="AA40" i="13"/>
  <c r="AB40" i="13" s="1"/>
  <c r="AA48" i="14"/>
  <c r="AB48" i="14" s="1"/>
  <c r="Z39" i="7"/>
  <c r="Z43" i="14"/>
  <c r="Z49" i="14"/>
  <c r="Z47" i="14"/>
  <c r="Z47" i="7"/>
  <c r="Z38" i="10"/>
  <c r="Z45" i="14"/>
  <c r="Z43" i="7"/>
  <c r="Z49" i="7"/>
  <c r="AA38" i="11"/>
  <c r="AB38" i="11" s="1"/>
  <c r="AA48" i="13"/>
  <c r="AB48" i="13" s="1"/>
  <c r="AA40" i="14"/>
  <c r="AB40" i="14" s="1"/>
  <c r="Z37" i="14"/>
  <c r="Z48" i="10"/>
  <c r="AA38" i="13"/>
  <c r="AB38" i="13" s="1"/>
  <c r="Z39" i="14"/>
  <c r="Z42" i="14"/>
  <c r="AA46" i="14"/>
  <c r="AB46" i="14" s="1"/>
  <c r="Z46" i="10"/>
  <c r="AA46" i="11"/>
  <c r="AB46" i="11" s="1"/>
  <c r="Z46" i="5"/>
  <c r="Z45" i="7"/>
  <c r="Z42" i="13"/>
  <c r="AA44" i="14"/>
  <c r="AB44" i="14" s="1"/>
  <c r="AA44" i="11"/>
  <c r="AB44" i="11" s="1"/>
  <c r="AA44" i="13"/>
  <c r="AB44" i="13" s="1"/>
  <c r="Z44" i="5"/>
  <c r="Z40" i="11"/>
  <c r="Z42" i="11"/>
  <c r="Z42" i="10"/>
  <c r="AB37" i="14"/>
  <c r="Z37" i="13"/>
  <c r="Z39" i="13"/>
  <c r="Z41" i="13"/>
  <c r="Z43" i="13"/>
  <c r="Z45" i="13"/>
  <c r="Z47" i="13"/>
  <c r="Z49" i="13"/>
  <c r="Z37" i="12"/>
  <c r="Z39" i="12"/>
  <c r="Z41" i="12"/>
  <c r="Z43" i="12"/>
  <c r="Z45" i="12"/>
  <c r="Z47" i="12"/>
  <c r="Z49" i="12"/>
  <c r="Z38" i="12"/>
  <c r="Z40" i="12"/>
  <c r="Z42" i="12"/>
  <c r="Z44" i="12"/>
  <c r="Z48" i="12"/>
  <c r="Z46" i="12"/>
  <c r="Z37" i="11"/>
  <c r="Z39" i="11"/>
  <c r="Z41" i="11"/>
  <c r="Z43" i="11"/>
  <c r="Z45" i="11"/>
  <c r="Z47" i="11"/>
  <c r="Z49" i="11"/>
  <c r="Z37" i="10"/>
  <c r="Z39" i="10"/>
  <c r="Z41" i="10"/>
  <c r="Z43" i="10"/>
  <c r="Z45" i="10"/>
  <c r="Z47" i="10"/>
  <c r="Z49" i="10"/>
  <c r="Z37" i="9"/>
  <c r="Z39" i="9"/>
  <c r="Z41" i="9"/>
  <c r="Z43" i="9"/>
  <c r="Z45" i="9"/>
  <c r="Z47" i="9"/>
  <c r="Z49" i="9"/>
  <c r="Z38" i="9"/>
  <c r="Z40" i="9"/>
  <c r="Z42" i="9"/>
  <c r="Z44" i="9"/>
  <c r="Z46" i="9"/>
  <c r="Z48" i="9"/>
  <c r="Z40" i="7"/>
  <c r="Z42" i="7"/>
  <c r="Z44" i="7"/>
  <c r="Z48" i="7"/>
  <c r="Z46" i="7"/>
  <c r="Z38" i="7"/>
  <c r="Z37" i="6"/>
  <c r="Z39" i="6"/>
  <c r="Z41" i="6"/>
  <c r="Z43" i="6"/>
  <c r="Z45" i="6"/>
  <c r="Z47" i="6"/>
  <c r="Z49" i="6"/>
  <c r="Z38" i="6"/>
  <c r="Z40" i="6"/>
  <c r="Z42" i="6"/>
  <c r="Z44" i="6"/>
  <c r="Z46" i="6"/>
  <c r="Z48" i="6"/>
  <c r="Z37" i="5"/>
  <c r="Z39" i="5"/>
  <c r="Z41" i="5"/>
  <c r="Z43" i="5"/>
  <c r="Z45" i="5"/>
  <c r="Z47" i="5"/>
  <c r="Z49" i="5"/>
  <c r="E20" i="15" l="1"/>
  <c r="AD21" i="18"/>
  <c r="AB21" i="18"/>
  <c r="A22" i="18"/>
  <c r="W21" i="18"/>
  <c r="B21" i="18"/>
  <c r="X21" i="18"/>
  <c r="Y20" i="18"/>
  <c r="AD20" i="18" s="1"/>
  <c r="Z19" i="18"/>
  <c r="AF19" i="18"/>
  <c r="AG19" i="18" s="1"/>
  <c r="P20" i="18"/>
  <c r="R20" i="18" s="1"/>
  <c r="F19" i="15" s="1"/>
  <c r="Z52" i="14"/>
  <c r="Z52" i="11"/>
  <c r="Z52" i="7"/>
  <c r="Z52" i="13"/>
  <c r="Z52" i="12"/>
  <c r="Z52" i="10"/>
  <c r="Z52" i="9"/>
  <c r="Z52" i="6"/>
  <c r="Z52" i="5"/>
  <c r="T21" i="18" l="1"/>
  <c r="E21" i="15"/>
  <c r="AB22" i="18"/>
  <c r="AD22" i="18"/>
  <c r="Y21" i="18"/>
  <c r="Z20" i="18"/>
  <c r="AB20" i="18" s="1"/>
  <c r="AF20" i="18"/>
  <c r="AG20" i="18" s="1"/>
  <c r="A23" i="18"/>
  <c r="X22" i="18"/>
  <c r="W22" i="18"/>
  <c r="B22" i="18"/>
  <c r="P21" i="18"/>
  <c r="R21" i="18" s="1"/>
  <c r="F20" i="15" s="1"/>
  <c r="AA49" i="8"/>
  <c r="AB49" i="8" s="1"/>
  <c r="Z49" i="8"/>
  <c r="AA48" i="8"/>
  <c r="AB48" i="8" s="1"/>
  <c r="Z48" i="8"/>
  <c r="AA47" i="8"/>
  <c r="AB47" i="8" s="1"/>
  <c r="Z47" i="8"/>
  <c r="AA46" i="8"/>
  <c r="AB46" i="8" s="1"/>
  <c r="Z46" i="8"/>
  <c r="AA45" i="8"/>
  <c r="AB45" i="8" s="1"/>
  <c r="Z45" i="8"/>
  <c r="AA44" i="8"/>
  <c r="AB44" i="8" s="1"/>
  <c r="Z44" i="8"/>
  <c r="AA43" i="8"/>
  <c r="AB43" i="8" s="1"/>
  <c r="Z43" i="8"/>
  <c r="AA39" i="8"/>
  <c r="AB39" i="8" s="1"/>
  <c r="Z39" i="8"/>
  <c r="AA38" i="8"/>
  <c r="AB38" i="8" s="1"/>
  <c r="Z38" i="8"/>
  <c r="AC34" i="8"/>
  <c r="AB34" i="8"/>
  <c r="AC33" i="8"/>
  <c r="AB33" i="8"/>
  <c r="AC32" i="8"/>
  <c r="AB32" i="8"/>
  <c r="AC31" i="8"/>
  <c r="AB31" i="8"/>
  <c r="Z37" i="8" s="1"/>
  <c r="AC30" i="8"/>
  <c r="AB30" i="8"/>
  <c r="AC29" i="8"/>
  <c r="AB29" i="8"/>
  <c r="AC28" i="8"/>
  <c r="AB28" i="8"/>
  <c r="AC27" i="8"/>
  <c r="AB27" i="8"/>
  <c r="AC26" i="8"/>
  <c r="AB26" i="8"/>
  <c r="AC25" i="8"/>
  <c r="AB25" i="8"/>
  <c r="AC24" i="8"/>
  <c r="AB24" i="8"/>
  <c r="Z40" i="8" s="1"/>
  <c r="AC23" i="8"/>
  <c r="AB23" i="8"/>
  <c r="Z41" i="8" s="1"/>
  <c r="AC22" i="8"/>
  <c r="AB22" i="8"/>
  <c r="AC21" i="8"/>
  <c r="AB21" i="8"/>
  <c r="AC20" i="8"/>
  <c r="AB20" i="8"/>
  <c r="AC19" i="8"/>
  <c r="AB19" i="8"/>
  <c r="AC18" i="8"/>
  <c r="AB18" i="8"/>
  <c r="AC17" i="8"/>
  <c r="AB17" i="8"/>
  <c r="AC16" i="8"/>
  <c r="AB16" i="8"/>
  <c r="AC15" i="8"/>
  <c r="AB15" i="8"/>
  <c r="AC14" i="8"/>
  <c r="AB14" i="8"/>
  <c r="AC13" i="8"/>
  <c r="AB13" i="8"/>
  <c r="AC12" i="8"/>
  <c r="AB12" i="8"/>
  <c r="AC11" i="8"/>
  <c r="AB11" i="8"/>
  <c r="AC10" i="8"/>
  <c r="AB10" i="8"/>
  <c r="AC9" i="8"/>
  <c r="AB9" i="8"/>
  <c r="AC8" i="8"/>
  <c r="AB8" i="8"/>
  <c r="AC7" i="8"/>
  <c r="AB7" i="8"/>
  <c r="AC6" i="8"/>
  <c r="AB6" i="8"/>
  <c r="AC5" i="8"/>
  <c r="AB5" i="8"/>
  <c r="AC4" i="8"/>
  <c r="AB4" i="8"/>
  <c r="T22" i="18" l="1"/>
  <c r="E22" i="15"/>
  <c r="AB23" i="18"/>
  <c r="AD23" i="18"/>
  <c r="Z21" i="18"/>
  <c r="AF21" i="18"/>
  <c r="AG21" i="18" s="1"/>
  <c r="P22" i="18"/>
  <c r="R22" i="18" s="1"/>
  <c r="F21" i="15" s="1"/>
  <c r="W23" i="18"/>
  <c r="T23" i="18" s="1"/>
  <c r="B23" i="18"/>
  <c r="A24" i="18"/>
  <c r="X23" i="18"/>
  <c r="Y22" i="18"/>
  <c r="Z42" i="8"/>
  <c r="Z52" i="8" s="1"/>
  <c r="E23" i="15" l="1"/>
  <c r="Y23" i="18"/>
  <c r="Z22" i="18"/>
  <c r="AF22" i="18"/>
  <c r="AG22" i="18" s="1"/>
  <c r="P23" i="18"/>
  <c r="R23" i="18" s="1"/>
  <c r="F22" i="15" s="1"/>
  <c r="A25" i="18"/>
  <c r="X24" i="18"/>
  <c r="B24" i="18"/>
  <c r="W24" i="18"/>
  <c r="X3" i="5"/>
  <c r="X3" i="6"/>
  <c r="X3" i="7"/>
  <c r="X3" i="8"/>
  <c r="X3" i="9"/>
  <c r="X3" i="10"/>
  <c r="X3" i="11"/>
  <c r="X3" i="12"/>
  <c r="X3" i="13"/>
  <c r="X3" i="14"/>
  <c r="F56" i="1"/>
  <c r="F55" i="1"/>
  <c r="T24" i="18" l="1"/>
  <c r="E24" i="15"/>
  <c r="AD25" i="18"/>
  <c r="AB25" i="18"/>
  <c r="Y24" i="18"/>
  <c r="AD24" i="18" s="1"/>
  <c r="Z23" i="18"/>
  <c r="AF23" i="18"/>
  <c r="AG23" i="18" s="1"/>
  <c r="P24" i="18"/>
  <c r="R24" i="18" s="1"/>
  <c r="F23" i="15" s="1"/>
  <c r="A26" i="18"/>
  <c r="X25" i="18"/>
  <c r="W25" i="18"/>
  <c r="T25" i="18" s="1"/>
  <c r="B25" i="18"/>
  <c r="F54" i="1"/>
  <c r="E25" i="15" l="1"/>
  <c r="AD26" i="18"/>
  <c r="AB26" i="18"/>
  <c r="Y25" i="18"/>
  <c r="Z24" i="18"/>
  <c r="AF24" i="18"/>
  <c r="AG24" i="18" s="1"/>
  <c r="P25" i="18"/>
  <c r="R25" i="18" s="1"/>
  <c r="F24" i="15" s="1"/>
  <c r="X26" i="18"/>
  <c r="A27" i="18"/>
  <c r="B26" i="18"/>
  <c r="W26" i="18"/>
  <c r="F53" i="1"/>
  <c r="F52" i="1"/>
  <c r="F51" i="1"/>
  <c r="F50" i="1"/>
  <c r="F49" i="1"/>
  <c r="F48" i="1"/>
  <c r="F47" i="1"/>
  <c r="F46" i="1"/>
  <c r="F45" i="1"/>
  <c r="A1" i="14"/>
  <c r="A4" i="14" s="1"/>
  <c r="A1" i="13"/>
  <c r="F36" i="13" s="1"/>
  <c r="A1" i="12"/>
  <c r="A4" i="12" s="1"/>
  <c r="A1" i="11"/>
  <c r="F36" i="11" s="1"/>
  <c r="A1" i="10"/>
  <c r="F36" i="10" s="1"/>
  <c r="A1" i="9"/>
  <c r="A4" i="9" s="1"/>
  <c r="S4" i="9" s="1"/>
  <c r="B12" i="1"/>
  <c r="E41" i="1" s="1"/>
  <c r="E39" i="1" s="1"/>
  <c r="A4" i="2"/>
  <c r="B2" i="2"/>
  <c r="A2" i="2"/>
  <c r="A12" i="2"/>
  <c r="A20" i="2"/>
  <c r="A22" i="2"/>
  <c r="A24" i="2"/>
  <c r="A26" i="2"/>
  <c r="A27" i="2"/>
  <c r="A28" i="2"/>
  <c r="A29" i="2"/>
  <c r="A1" i="8"/>
  <c r="A4" i="8" s="1"/>
  <c r="A1" i="7"/>
  <c r="F36" i="7" s="1"/>
  <c r="A1" i="6"/>
  <c r="F36" i="6" s="1"/>
  <c r="A1" i="3"/>
  <c r="AW11" i="3" s="1"/>
  <c r="A1" i="5"/>
  <c r="A4" i="5" s="1"/>
  <c r="P36" i="9"/>
  <c r="T42" i="15" s="1"/>
  <c r="P37" i="9"/>
  <c r="T44" i="15" s="1"/>
  <c r="P38" i="9"/>
  <c r="T41" i="15" s="1"/>
  <c r="P39" i="9"/>
  <c r="T43" i="15" s="1"/>
  <c r="P41" i="9"/>
  <c r="T40" i="15" s="1"/>
  <c r="P42" i="9"/>
  <c r="T45" i="15" s="1"/>
  <c r="P43" i="9"/>
  <c r="T46" i="15" s="1"/>
  <c r="P44" i="9"/>
  <c r="T47" i="15" s="1"/>
  <c r="P45" i="9"/>
  <c r="T48" i="15" s="1"/>
  <c r="P46" i="9"/>
  <c r="T49" i="15" s="1"/>
  <c r="P47" i="9"/>
  <c r="T50" i="15" s="1"/>
  <c r="P36" i="7"/>
  <c r="N42" i="15" s="1"/>
  <c r="P37" i="7"/>
  <c r="N44" i="15" s="1"/>
  <c r="P38" i="7"/>
  <c r="N41" i="15" s="1"/>
  <c r="P39" i="7"/>
  <c r="N43" i="15" s="1"/>
  <c r="P41" i="7"/>
  <c r="N40" i="15" s="1"/>
  <c r="P42" i="7"/>
  <c r="N45" i="15" s="1"/>
  <c r="P43" i="7"/>
  <c r="N46" i="15" s="1"/>
  <c r="P44" i="7"/>
  <c r="N47" i="15" s="1"/>
  <c r="P45" i="7"/>
  <c r="N48" i="15" s="1"/>
  <c r="P46" i="7"/>
  <c r="N49" i="15" s="1"/>
  <c r="P47" i="7"/>
  <c r="N50" i="15" s="1"/>
  <c r="W39" i="6"/>
  <c r="K51" i="15" s="1"/>
  <c r="W39" i="8"/>
  <c r="Q51" i="15" s="1"/>
  <c r="W39" i="11"/>
  <c r="Z51" i="15" s="1"/>
  <c r="W39" i="13"/>
  <c r="AF51" i="15" s="1"/>
  <c r="W39" i="5"/>
  <c r="H51" i="15" s="1"/>
  <c r="W39" i="9"/>
  <c r="T51" i="15" s="1"/>
  <c r="W39" i="7"/>
  <c r="N51" i="15" s="1"/>
  <c r="W39" i="10"/>
  <c r="W51" i="15" s="1"/>
  <c r="W39" i="12"/>
  <c r="AC51" i="15" s="1"/>
  <c r="W39" i="14"/>
  <c r="AI51" i="15" s="1"/>
  <c r="P47" i="6"/>
  <c r="K50" i="15" s="1"/>
  <c r="P47" i="8"/>
  <c r="Q50" i="15" s="1"/>
  <c r="P47" i="10"/>
  <c r="W50" i="15" s="1"/>
  <c r="P47" i="5"/>
  <c r="H50" i="15" s="1"/>
  <c r="P47" i="11"/>
  <c r="Z50" i="15" s="1"/>
  <c r="P47" i="12"/>
  <c r="AC50" i="15" s="1"/>
  <c r="P47" i="13"/>
  <c r="AF50" i="15" s="1"/>
  <c r="P47" i="14"/>
  <c r="AI50" i="15" s="1"/>
  <c r="O49" i="3"/>
  <c r="B50" i="15" s="1"/>
  <c r="P46" i="6"/>
  <c r="K49" i="15" s="1"/>
  <c r="P46" i="8"/>
  <c r="Q49" i="15" s="1"/>
  <c r="P46" i="10"/>
  <c r="W49" i="15" s="1"/>
  <c r="P46" i="5"/>
  <c r="H49" i="15" s="1"/>
  <c r="P46" i="11"/>
  <c r="Z49" i="15" s="1"/>
  <c r="P46" i="12"/>
  <c r="AC49" i="15" s="1"/>
  <c r="P46" i="13"/>
  <c r="AF49" i="15" s="1"/>
  <c r="P46" i="14"/>
  <c r="AI49" i="15" s="1"/>
  <c r="O48" i="3"/>
  <c r="B49" i="15" s="1"/>
  <c r="P45" i="6"/>
  <c r="K48" i="15" s="1"/>
  <c r="P45" i="8"/>
  <c r="Q48" i="15" s="1"/>
  <c r="P45" i="10"/>
  <c r="W48" i="15" s="1"/>
  <c r="P45" i="5"/>
  <c r="H48" i="15" s="1"/>
  <c r="P45" i="11"/>
  <c r="Z48" i="15" s="1"/>
  <c r="P45" i="12"/>
  <c r="AC48" i="15" s="1"/>
  <c r="P45" i="13"/>
  <c r="AF48" i="15" s="1"/>
  <c r="P45" i="14"/>
  <c r="AI48" i="15" s="1"/>
  <c r="O47" i="3"/>
  <c r="B48" i="15" s="1"/>
  <c r="P44" i="6"/>
  <c r="K47" i="15" s="1"/>
  <c r="P44" i="8"/>
  <c r="Q47" i="15" s="1"/>
  <c r="P44" i="10"/>
  <c r="W47" i="15" s="1"/>
  <c r="P44" i="5"/>
  <c r="H47" i="15" s="1"/>
  <c r="P44" i="11"/>
  <c r="Z47" i="15" s="1"/>
  <c r="P44" i="12"/>
  <c r="AC47" i="15" s="1"/>
  <c r="P44" i="13"/>
  <c r="AF47" i="15" s="1"/>
  <c r="P44" i="14"/>
  <c r="AI47" i="15" s="1"/>
  <c r="O46" i="3"/>
  <c r="B47" i="15" s="1"/>
  <c r="P43" i="6"/>
  <c r="K46" i="15" s="1"/>
  <c r="P43" i="8"/>
  <c r="Q46" i="15" s="1"/>
  <c r="P43" i="10"/>
  <c r="W46" i="15" s="1"/>
  <c r="P43" i="5"/>
  <c r="H46" i="15" s="1"/>
  <c r="P43" i="11"/>
  <c r="Z46" i="15" s="1"/>
  <c r="P43" i="12"/>
  <c r="AC46" i="15" s="1"/>
  <c r="P43" i="13"/>
  <c r="AF46" i="15" s="1"/>
  <c r="P43" i="14"/>
  <c r="AI46" i="15" s="1"/>
  <c r="O45" i="3"/>
  <c r="B46" i="15" s="1"/>
  <c r="P42" i="6"/>
  <c r="K45" i="15" s="1"/>
  <c r="P42" i="8"/>
  <c r="Q45" i="15" s="1"/>
  <c r="P42" i="10"/>
  <c r="W45" i="15" s="1"/>
  <c r="P42" i="5"/>
  <c r="H45" i="15" s="1"/>
  <c r="P42" i="11"/>
  <c r="Z45" i="15" s="1"/>
  <c r="P42" i="12"/>
  <c r="AC45" i="15" s="1"/>
  <c r="P42" i="13"/>
  <c r="AF45" i="15" s="1"/>
  <c r="P42" i="14"/>
  <c r="AI45" i="15" s="1"/>
  <c r="O44" i="3"/>
  <c r="B45" i="15" s="1"/>
  <c r="P37" i="5"/>
  <c r="H44" i="15" s="1"/>
  <c r="P37" i="6"/>
  <c r="K44" i="15" s="1"/>
  <c r="P37" i="8"/>
  <c r="Q44" i="15" s="1"/>
  <c r="P37" i="10"/>
  <c r="W44" i="15" s="1"/>
  <c r="P37" i="11"/>
  <c r="Z44" i="15" s="1"/>
  <c r="P37" i="12"/>
  <c r="AC44" i="15" s="1"/>
  <c r="P37" i="13"/>
  <c r="AF44" i="15" s="1"/>
  <c r="P37" i="14"/>
  <c r="AI44" i="15" s="1"/>
  <c r="O39" i="3"/>
  <c r="B44" i="15" s="1"/>
  <c r="C38" i="1" s="1"/>
  <c r="P39" i="6"/>
  <c r="K43" i="15" s="1"/>
  <c r="P39" i="8"/>
  <c r="Q43" i="15" s="1"/>
  <c r="P39" i="11"/>
  <c r="Z43" i="15" s="1"/>
  <c r="P39" i="13"/>
  <c r="AF43" i="15" s="1"/>
  <c r="P39" i="5"/>
  <c r="H43" i="15" s="1"/>
  <c r="P39" i="10"/>
  <c r="W43" i="15" s="1"/>
  <c r="P39" i="12"/>
  <c r="AC43" i="15" s="1"/>
  <c r="P39" i="14"/>
  <c r="AI43" i="15" s="1"/>
  <c r="P36" i="6"/>
  <c r="K42" i="15" s="1"/>
  <c r="P36" i="8"/>
  <c r="Q42" i="15" s="1"/>
  <c r="P36" i="11"/>
  <c r="Z42" i="15" s="1"/>
  <c r="P36" i="13"/>
  <c r="AF42" i="15" s="1"/>
  <c r="P36" i="5"/>
  <c r="H42" i="15" s="1"/>
  <c r="P36" i="10"/>
  <c r="W42" i="15" s="1"/>
  <c r="P36" i="12"/>
  <c r="AC42" i="15" s="1"/>
  <c r="P36" i="14"/>
  <c r="AI42" i="15" s="1"/>
  <c r="P38" i="5"/>
  <c r="H41" i="15" s="1"/>
  <c r="P38" i="6"/>
  <c r="K41" i="15" s="1"/>
  <c r="P38" i="8"/>
  <c r="Q41" i="15" s="1"/>
  <c r="P38" i="10"/>
  <c r="W41" i="15" s="1"/>
  <c r="P38" i="11"/>
  <c r="Z41" i="15" s="1"/>
  <c r="P38" i="12"/>
  <c r="AC41" i="15" s="1"/>
  <c r="P38" i="13"/>
  <c r="AF41" i="15" s="1"/>
  <c r="P38" i="14"/>
  <c r="AI41" i="15" s="1"/>
  <c r="O40" i="3"/>
  <c r="B41" i="15" s="1"/>
  <c r="P41" i="5"/>
  <c r="H40" i="15" s="1"/>
  <c r="P41" i="6"/>
  <c r="K40" i="15" s="1"/>
  <c r="P41" i="8"/>
  <c r="Q40" i="15" s="1"/>
  <c r="P41" i="10"/>
  <c r="W40" i="15" s="1"/>
  <c r="P41" i="11"/>
  <c r="Z40" i="15" s="1"/>
  <c r="P41" i="12"/>
  <c r="AC40" i="15" s="1"/>
  <c r="P41" i="13"/>
  <c r="AF40" i="15" s="1"/>
  <c r="P41" i="14"/>
  <c r="AI40" i="15" s="1"/>
  <c r="O43" i="3"/>
  <c r="B40" i="15" s="1"/>
  <c r="AM2" i="3"/>
  <c r="AM1" i="3"/>
  <c r="A40" i="15"/>
  <c r="A51" i="15"/>
  <c r="Q41" i="5"/>
  <c r="Q41" i="6"/>
  <c r="Q41" i="7"/>
  <c r="Q41" i="8"/>
  <c r="Q41" i="9"/>
  <c r="Q41" i="10"/>
  <c r="Q41" i="11"/>
  <c r="Q41" i="12"/>
  <c r="Q41" i="13"/>
  <c r="Q41" i="14"/>
  <c r="Q43" i="3"/>
  <c r="Q39" i="5"/>
  <c r="Q39" i="6"/>
  <c r="Q39" i="7"/>
  <c r="Q39" i="8"/>
  <c r="Q39" i="9"/>
  <c r="Q39" i="10"/>
  <c r="Q39" i="11"/>
  <c r="Q39" i="12"/>
  <c r="Q39" i="13"/>
  <c r="Q39" i="14"/>
  <c r="Q41" i="3"/>
  <c r="Q38" i="5"/>
  <c r="Q38" i="6"/>
  <c r="Q38" i="7"/>
  <c r="Q38" i="8"/>
  <c r="Q38" i="9"/>
  <c r="Q38" i="10"/>
  <c r="Q38" i="11"/>
  <c r="Q38" i="12"/>
  <c r="Q38" i="13"/>
  <c r="Q38" i="14"/>
  <c r="Q40" i="3"/>
  <c r="Q36" i="5"/>
  <c r="Q36" i="6"/>
  <c r="Q36" i="7"/>
  <c r="Q36" i="8"/>
  <c r="Q36" i="9"/>
  <c r="Q36" i="10"/>
  <c r="Q36" i="11"/>
  <c r="Q36" i="12"/>
  <c r="Q36" i="13"/>
  <c r="Q36" i="14"/>
  <c r="Q38" i="3"/>
  <c r="B6" i="17"/>
  <c r="E6" i="17"/>
  <c r="E5" i="17"/>
  <c r="W42" i="5"/>
  <c r="W42" i="6"/>
  <c r="W42" i="7"/>
  <c r="W42" i="8"/>
  <c r="W42" i="9"/>
  <c r="W42" i="10"/>
  <c r="W42" i="11"/>
  <c r="W42" i="12"/>
  <c r="W42" i="13"/>
  <c r="W42" i="14"/>
  <c r="AN44" i="3"/>
  <c r="W47" i="5"/>
  <c r="W47" i="6"/>
  <c r="W47" i="7"/>
  <c r="W47" i="8"/>
  <c r="W47" i="9"/>
  <c r="W47" i="10"/>
  <c r="W47" i="11"/>
  <c r="W47" i="12"/>
  <c r="W47" i="13"/>
  <c r="W47" i="14"/>
  <c r="AN49" i="3"/>
  <c r="W46" i="5"/>
  <c r="W46" i="6"/>
  <c r="W46" i="7"/>
  <c r="W46" i="8"/>
  <c r="W46" i="9"/>
  <c r="W46" i="10"/>
  <c r="W46" i="11"/>
  <c r="W46" i="12"/>
  <c r="W46" i="13"/>
  <c r="W46" i="14"/>
  <c r="AN48" i="3"/>
  <c r="W45" i="5"/>
  <c r="W45" i="6"/>
  <c r="W45" i="7"/>
  <c r="W45" i="8"/>
  <c r="W45" i="9"/>
  <c r="W45" i="10"/>
  <c r="W45" i="11"/>
  <c r="W45" i="12"/>
  <c r="W45" i="13"/>
  <c r="W45" i="14"/>
  <c r="AN47" i="3"/>
  <c r="W44" i="5"/>
  <c r="W44" i="6"/>
  <c r="W44" i="7"/>
  <c r="W44" i="8"/>
  <c r="W44" i="9"/>
  <c r="W44" i="10"/>
  <c r="W44" i="11"/>
  <c r="W44" i="12"/>
  <c r="W44" i="13"/>
  <c r="W44" i="14"/>
  <c r="AN46" i="3"/>
  <c r="W43" i="5"/>
  <c r="W43" i="6"/>
  <c r="W43" i="7"/>
  <c r="W43" i="8"/>
  <c r="W43" i="9"/>
  <c r="W43" i="10"/>
  <c r="W43" i="11"/>
  <c r="W43" i="12"/>
  <c r="W43" i="13"/>
  <c r="W43" i="14"/>
  <c r="C29" i="2"/>
  <c r="D19" i="2"/>
  <c r="D8" i="2"/>
  <c r="B8" i="1"/>
  <c r="B7" i="1"/>
  <c r="B9" i="1"/>
  <c r="A38" i="1"/>
  <c r="A37" i="1"/>
  <c r="A36" i="1"/>
  <c r="A1" i="2"/>
  <c r="A1" i="17"/>
  <c r="E1" i="15"/>
  <c r="D22" i="2"/>
  <c r="W37" i="5"/>
  <c r="W37" i="6"/>
  <c r="W37" i="8"/>
  <c r="W37" i="9"/>
  <c r="W37" i="10"/>
  <c r="Q47" i="14"/>
  <c r="Q46" i="14"/>
  <c r="Q45" i="14"/>
  <c r="Q44" i="14"/>
  <c r="Q43" i="14"/>
  <c r="Q42" i="14"/>
  <c r="Q47" i="13"/>
  <c r="Q46" i="13"/>
  <c r="Q45" i="13"/>
  <c r="Q44" i="13"/>
  <c r="Q43" i="13"/>
  <c r="Q42" i="13"/>
  <c r="Q47" i="12"/>
  <c r="Q46" i="12"/>
  <c r="Q45" i="12"/>
  <c r="Q44" i="12"/>
  <c r="Q43" i="12"/>
  <c r="Q42" i="12"/>
  <c r="Q47" i="11"/>
  <c r="Q46" i="11"/>
  <c r="Q45" i="11"/>
  <c r="Q44" i="11"/>
  <c r="Q43" i="11"/>
  <c r="Q42" i="11"/>
  <c r="Q47" i="10"/>
  <c r="Q46" i="10"/>
  <c r="Q45" i="10"/>
  <c r="Q44" i="10"/>
  <c r="Q43" i="10"/>
  <c r="Q42" i="10"/>
  <c r="Q47" i="9"/>
  <c r="Q46" i="9"/>
  <c r="Q45" i="9"/>
  <c r="Q44" i="9"/>
  <c r="Q43" i="9"/>
  <c r="Q42" i="9"/>
  <c r="Q47" i="8"/>
  <c r="Q46" i="8"/>
  <c r="Q45" i="8"/>
  <c r="Q44" i="8"/>
  <c r="Q43" i="8"/>
  <c r="Q42" i="8"/>
  <c r="Q47" i="7"/>
  <c r="Q46" i="7"/>
  <c r="Q45" i="7"/>
  <c r="Q44" i="7"/>
  <c r="Q43" i="7"/>
  <c r="Q42" i="7"/>
  <c r="Q47" i="6"/>
  <c r="Q46" i="6"/>
  <c r="Q45" i="6"/>
  <c r="Q44" i="6"/>
  <c r="Q43" i="6"/>
  <c r="Q42" i="6"/>
  <c r="Q47" i="5"/>
  <c r="Q46" i="5"/>
  <c r="Q45" i="5"/>
  <c r="Q44" i="5"/>
  <c r="Q43" i="5"/>
  <c r="Q42" i="5"/>
  <c r="AI2" i="15"/>
  <c r="AI1" i="15"/>
  <c r="D25" i="2"/>
  <c r="Q44" i="3"/>
  <c r="Q45" i="3"/>
  <c r="Q47" i="3"/>
  <c r="Q48" i="3"/>
  <c r="Q49" i="3"/>
  <c r="Q46" i="3"/>
  <c r="V1" i="6"/>
  <c r="V2" i="6"/>
  <c r="V1" i="10"/>
  <c r="V2" i="10"/>
  <c r="V1" i="14"/>
  <c r="V2" i="14"/>
  <c r="D5" i="2"/>
  <c r="D17" i="2"/>
  <c r="D18" i="2"/>
  <c r="D20" i="2"/>
  <c r="D21" i="2"/>
  <c r="D23" i="2"/>
  <c r="D24" i="2"/>
  <c r="A41" i="15"/>
  <c r="A42" i="15"/>
  <c r="A43" i="15"/>
  <c r="A44" i="15"/>
  <c r="A45" i="15"/>
  <c r="A46" i="15"/>
  <c r="A47" i="15"/>
  <c r="A48" i="15"/>
  <c r="A49" i="15"/>
  <c r="A50" i="15"/>
  <c r="V1" i="9"/>
  <c r="V2" i="9"/>
  <c r="V1" i="8"/>
  <c r="V2" i="8"/>
  <c r="V1" i="7"/>
  <c r="V2" i="7"/>
  <c r="V1" i="5"/>
  <c r="V2" i="5"/>
  <c r="V1" i="13"/>
  <c r="V2" i="13"/>
  <c r="V1" i="12"/>
  <c r="V2" i="12"/>
  <c r="V1" i="11"/>
  <c r="V2" i="11"/>
  <c r="C9" i="1"/>
  <c r="F38" i="3" s="1"/>
  <c r="C12" i="1"/>
  <c r="C13" i="1"/>
  <c r="C14" i="1"/>
  <c r="C15" i="1"/>
  <c r="C16" i="1"/>
  <c r="W36" i="7"/>
  <c r="W36" i="13"/>
  <c r="W36" i="12"/>
  <c r="W36" i="9"/>
  <c r="W36" i="11"/>
  <c r="W36" i="6"/>
  <c r="W36" i="14"/>
  <c r="W36" i="5"/>
  <c r="W36" i="8"/>
  <c r="AN45" i="3"/>
  <c r="V26" i="18"/>
  <c r="U4" i="14"/>
  <c r="U4" i="9"/>
  <c r="U4" i="8"/>
  <c r="U4" i="12"/>
  <c r="U4" i="5"/>
  <c r="T26" i="18" l="1"/>
  <c r="E26" i="15"/>
  <c r="AB24" i="18"/>
  <c r="Y26" i="18"/>
  <c r="AF25" i="18"/>
  <c r="AG25" i="18" s="1"/>
  <c r="Z25" i="18"/>
  <c r="A28" i="18"/>
  <c r="X27" i="18"/>
  <c r="W27" i="18"/>
  <c r="B27" i="18"/>
  <c r="P26" i="18"/>
  <c r="R26" i="18" s="1"/>
  <c r="F25" i="15" s="1"/>
  <c r="G4" i="1"/>
  <c r="E3" i="1"/>
  <c r="E38" i="3"/>
  <c r="O4" i="9"/>
  <c r="Q4" i="9" s="1"/>
  <c r="U4" i="15" s="1"/>
  <c r="E7" i="17"/>
  <c r="S4" i="8"/>
  <c r="S4" i="14"/>
  <c r="N28" i="6"/>
  <c r="N20" i="6"/>
  <c r="N12" i="6"/>
  <c r="N4" i="6"/>
  <c r="N27" i="6"/>
  <c r="N19" i="6"/>
  <c r="N34" i="6"/>
  <c r="N26" i="6"/>
  <c r="N18" i="6"/>
  <c r="N10" i="6"/>
  <c r="N23" i="6"/>
  <c r="N7" i="6"/>
  <c r="N5" i="6"/>
  <c r="N33" i="6"/>
  <c r="N25" i="6"/>
  <c r="N17" i="6"/>
  <c r="N9" i="6"/>
  <c r="N31" i="6"/>
  <c r="N21" i="6"/>
  <c r="N32" i="6"/>
  <c r="N24" i="6"/>
  <c r="N16" i="6"/>
  <c r="N8" i="6"/>
  <c r="N15" i="6"/>
  <c r="N13" i="6"/>
  <c r="N30" i="6"/>
  <c r="N22" i="6"/>
  <c r="N14" i="6"/>
  <c r="N6" i="6"/>
  <c r="N29" i="6"/>
  <c r="N11" i="6"/>
  <c r="S4" i="12"/>
  <c r="S4" i="5"/>
  <c r="O4" i="5" s="1"/>
  <c r="I34" i="14"/>
  <c r="I26" i="14"/>
  <c r="I18" i="14"/>
  <c r="I10" i="14"/>
  <c r="I33" i="13"/>
  <c r="I25" i="13"/>
  <c r="I17" i="13"/>
  <c r="I9" i="13"/>
  <c r="I31" i="11"/>
  <c r="I23" i="11"/>
  <c r="I15" i="11"/>
  <c r="I7" i="11"/>
  <c r="I30" i="10"/>
  <c r="I22" i="10"/>
  <c r="I14" i="10"/>
  <c r="I6" i="10"/>
  <c r="I29" i="9"/>
  <c r="I21" i="9"/>
  <c r="I13" i="9"/>
  <c r="I5" i="9"/>
  <c r="I28" i="8"/>
  <c r="I20" i="8"/>
  <c r="I12" i="8"/>
  <c r="I4" i="8"/>
  <c r="I27" i="7"/>
  <c r="I19" i="7"/>
  <c r="I11" i="7"/>
  <c r="I34" i="6"/>
  <c r="I26" i="6"/>
  <c r="I18" i="6"/>
  <c r="I10" i="6"/>
  <c r="I33" i="5"/>
  <c r="I25" i="5"/>
  <c r="I17" i="5"/>
  <c r="I9" i="5"/>
  <c r="N31" i="14"/>
  <c r="N23" i="14"/>
  <c r="N15" i="14"/>
  <c r="N7" i="14"/>
  <c r="N30" i="13"/>
  <c r="N22" i="13"/>
  <c r="N14" i="13"/>
  <c r="N6" i="13"/>
  <c r="N29" i="12"/>
  <c r="N21" i="12"/>
  <c r="N13" i="12"/>
  <c r="N5" i="12"/>
  <c r="N28" i="11"/>
  <c r="N20" i="11"/>
  <c r="N12" i="11"/>
  <c r="N4" i="11"/>
  <c r="N27" i="10"/>
  <c r="N19" i="10"/>
  <c r="N11" i="10"/>
  <c r="N34" i="9"/>
  <c r="N26" i="9"/>
  <c r="N18" i="9"/>
  <c r="N10" i="9"/>
  <c r="N33" i="8"/>
  <c r="N25" i="8"/>
  <c r="N17" i="8"/>
  <c r="N9" i="8"/>
  <c r="N32" i="7"/>
  <c r="N24" i="7"/>
  <c r="N16" i="7"/>
  <c r="N8" i="7"/>
  <c r="N30" i="5"/>
  <c r="N22" i="5"/>
  <c r="N14" i="5"/>
  <c r="N6" i="5"/>
  <c r="I33" i="14"/>
  <c r="I25" i="14"/>
  <c r="I17" i="14"/>
  <c r="I9" i="14"/>
  <c r="I32" i="13"/>
  <c r="I24" i="13"/>
  <c r="I16" i="13"/>
  <c r="I8" i="13"/>
  <c r="I30" i="11"/>
  <c r="I22" i="11"/>
  <c r="I14" i="11"/>
  <c r="AA40" i="11" s="1"/>
  <c r="AB40" i="11" s="1"/>
  <c r="I6" i="11"/>
  <c r="I29" i="10"/>
  <c r="I21" i="10"/>
  <c r="I13" i="10"/>
  <c r="I5" i="10"/>
  <c r="I28" i="9"/>
  <c r="I20" i="9"/>
  <c r="I12" i="9"/>
  <c r="I4" i="9"/>
  <c r="I27" i="8"/>
  <c r="I19" i="8"/>
  <c r="I11" i="8"/>
  <c r="I34" i="7"/>
  <c r="I26" i="7"/>
  <c r="AA38" i="7" s="1"/>
  <c r="AB38" i="7" s="1"/>
  <c r="I18" i="7"/>
  <c r="I10" i="7"/>
  <c r="I33" i="6"/>
  <c r="I25" i="6"/>
  <c r="I17" i="6"/>
  <c r="I9" i="6"/>
  <c r="I32" i="5"/>
  <c r="I24" i="5"/>
  <c r="AA41" i="5" s="1"/>
  <c r="AB41" i="5" s="1"/>
  <c r="I16" i="5"/>
  <c r="I8" i="5"/>
  <c r="AA40" i="5" s="1"/>
  <c r="AB40" i="5" s="1"/>
  <c r="N30" i="14"/>
  <c r="N22" i="14"/>
  <c r="N14" i="14"/>
  <c r="N6" i="14"/>
  <c r="N29" i="13"/>
  <c r="N21" i="13"/>
  <c r="N13" i="13"/>
  <c r="N5" i="13"/>
  <c r="N28" i="12"/>
  <c r="N20" i="12"/>
  <c r="N12" i="12"/>
  <c r="N4" i="12"/>
  <c r="N27" i="11"/>
  <c r="N19" i="11"/>
  <c r="N11" i="11"/>
  <c r="N34" i="10"/>
  <c r="N26" i="10"/>
  <c r="N18" i="10"/>
  <c r="N10" i="10"/>
  <c r="N33" i="9"/>
  <c r="N25" i="9"/>
  <c r="N17" i="9"/>
  <c r="N9" i="9"/>
  <c r="N32" i="8"/>
  <c r="N24" i="8"/>
  <c r="N16" i="8"/>
  <c r="N8" i="8"/>
  <c r="N31" i="7"/>
  <c r="N23" i="7"/>
  <c r="N15" i="7"/>
  <c r="N7" i="7"/>
  <c r="N29" i="5"/>
  <c r="N21" i="5"/>
  <c r="N13" i="5"/>
  <c r="N5" i="5"/>
  <c r="I32" i="14"/>
  <c r="I24" i="14"/>
  <c r="I16" i="14"/>
  <c r="I8" i="14"/>
  <c r="I31" i="13"/>
  <c r="I23" i="13"/>
  <c r="I15" i="13"/>
  <c r="I7" i="13"/>
  <c r="I29" i="11"/>
  <c r="I21" i="11"/>
  <c r="I13" i="11"/>
  <c r="I5" i="11"/>
  <c r="I28" i="10"/>
  <c r="I20" i="10"/>
  <c r="I12" i="10"/>
  <c r="I4" i="10"/>
  <c r="I27" i="9"/>
  <c r="I19" i="9"/>
  <c r="I11" i="9"/>
  <c r="I34" i="8"/>
  <c r="I26" i="8"/>
  <c r="I18" i="8"/>
  <c r="I10" i="8"/>
  <c r="I33" i="7"/>
  <c r="I25" i="7"/>
  <c r="I17" i="7"/>
  <c r="I9" i="7"/>
  <c r="I32" i="6"/>
  <c r="I24" i="6"/>
  <c r="I16" i="6"/>
  <c r="I8" i="6"/>
  <c r="I31" i="5"/>
  <c r="I23" i="5"/>
  <c r="I15" i="5"/>
  <c r="I7" i="5"/>
  <c r="N29" i="14"/>
  <c r="N21" i="14"/>
  <c r="N13" i="14"/>
  <c r="N5" i="14"/>
  <c r="N28" i="13"/>
  <c r="N20" i="13"/>
  <c r="N12" i="13"/>
  <c r="N4" i="13"/>
  <c r="N27" i="12"/>
  <c r="N19" i="12"/>
  <c r="N11" i="12"/>
  <c r="N34" i="11"/>
  <c r="N26" i="11"/>
  <c r="N18" i="11"/>
  <c r="N10" i="11"/>
  <c r="N33" i="10"/>
  <c r="N25" i="10"/>
  <c r="N17" i="10"/>
  <c r="N9" i="10"/>
  <c r="N32" i="9"/>
  <c r="N24" i="9"/>
  <c r="N16" i="9"/>
  <c r="N8" i="9"/>
  <c r="N31" i="8"/>
  <c r="N23" i="8"/>
  <c r="N15" i="8"/>
  <c r="N7" i="8"/>
  <c r="N30" i="7"/>
  <c r="N22" i="7"/>
  <c r="N14" i="7"/>
  <c r="N6" i="7"/>
  <c r="N28" i="5"/>
  <c r="N20" i="5"/>
  <c r="N12" i="5"/>
  <c r="N4" i="5"/>
  <c r="I31" i="14"/>
  <c r="I23" i="14"/>
  <c r="I15" i="14"/>
  <c r="I7" i="14"/>
  <c r="I30" i="13"/>
  <c r="I22" i="13"/>
  <c r="AA46" i="13" s="1"/>
  <c r="AB46" i="13" s="1"/>
  <c r="I14" i="13"/>
  <c r="I6" i="13"/>
  <c r="I28" i="11"/>
  <c r="I20" i="11"/>
  <c r="I12" i="11"/>
  <c r="I4" i="11"/>
  <c r="I27" i="10"/>
  <c r="I19" i="10"/>
  <c r="I11" i="10"/>
  <c r="I34" i="9"/>
  <c r="I26" i="9"/>
  <c r="I18" i="9"/>
  <c r="I10" i="9"/>
  <c r="I33" i="8"/>
  <c r="I25" i="8"/>
  <c r="I17" i="8"/>
  <c r="I9" i="8"/>
  <c r="I32" i="7"/>
  <c r="I24" i="7"/>
  <c r="I16" i="7"/>
  <c r="I8" i="7"/>
  <c r="I31" i="6"/>
  <c r="I23" i="6"/>
  <c r="I15" i="6"/>
  <c r="I7" i="6"/>
  <c r="I30" i="5"/>
  <c r="I22" i="5"/>
  <c r="I14" i="5"/>
  <c r="I6" i="5"/>
  <c r="N28" i="14"/>
  <c r="N20" i="14"/>
  <c r="N12" i="14"/>
  <c r="N4" i="14"/>
  <c r="N27" i="13"/>
  <c r="N19" i="13"/>
  <c r="N11" i="13"/>
  <c r="N34" i="12"/>
  <c r="N26" i="12"/>
  <c r="N18" i="12"/>
  <c r="N10" i="12"/>
  <c r="N33" i="11"/>
  <c r="N25" i="11"/>
  <c r="N17" i="11"/>
  <c r="N9" i="11"/>
  <c r="N32" i="10"/>
  <c r="N24" i="10"/>
  <c r="N16" i="10"/>
  <c r="N8" i="10"/>
  <c r="N31" i="9"/>
  <c r="N23" i="9"/>
  <c r="N15" i="9"/>
  <c r="N7" i="9"/>
  <c r="N30" i="8"/>
  <c r="N22" i="8"/>
  <c r="N14" i="8"/>
  <c r="N6" i="8"/>
  <c r="N29" i="7"/>
  <c r="N21" i="7"/>
  <c r="N13" i="7"/>
  <c r="N5" i="7"/>
  <c r="N27" i="5"/>
  <c r="N19" i="5"/>
  <c r="N11" i="5"/>
  <c r="I30" i="14"/>
  <c r="I22" i="14"/>
  <c r="I14" i="14"/>
  <c r="I6" i="14"/>
  <c r="I29" i="13"/>
  <c r="I21" i="13"/>
  <c r="I13" i="13"/>
  <c r="I5" i="13"/>
  <c r="I27" i="11"/>
  <c r="I19" i="11"/>
  <c r="I11" i="11"/>
  <c r="I34" i="10"/>
  <c r="I26" i="10"/>
  <c r="I18" i="10"/>
  <c r="I10" i="10"/>
  <c r="I33" i="9"/>
  <c r="I25" i="9"/>
  <c r="I17" i="9"/>
  <c r="I9" i="9"/>
  <c r="I32" i="8"/>
  <c r="I24" i="8"/>
  <c r="I16" i="8"/>
  <c r="I8" i="8"/>
  <c r="I31" i="7"/>
  <c r="I23" i="7"/>
  <c r="I15" i="7"/>
  <c r="I7" i="7"/>
  <c r="I30" i="6"/>
  <c r="I22" i="6"/>
  <c r="I14" i="6"/>
  <c r="I6" i="6"/>
  <c r="I29" i="5"/>
  <c r="I21" i="5"/>
  <c r="I13" i="5"/>
  <c r="I5" i="5"/>
  <c r="N27" i="14"/>
  <c r="N19" i="14"/>
  <c r="N11" i="14"/>
  <c r="N34" i="13"/>
  <c r="N26" i="13"/>
  <c r="N18" i="13"/>
  <c r="N10" i="13"/>
  <c r="N33" i="12"/>
  <c r="N25" i="12"/>
  <c r="N17" i="12"/>
  <c r="N9" i="12"/>
  <c r="N32" i="11"/>
  <c r="N24" i="11"/>
  <c r="N16" i="11"/>
  <c r="N8" i="11"/>
  <c r="N31" i="10"/>
  <c r="N23" i="10"/>
  <c r="N15" i="10"/>
  <c r="N7" i="10"/>
  <c r="N30" i="9"/>
  <c r="N22" i="9"/>
  <c r="N14" i="9"/>
  <c r="N6" i="9"/>
  <c r="N29" i="8"/>
  <c r="N21" i="8"/>
  <c r="N13" i="8"/>
  <c r="N5" i="8"/>
  <c r="N28" i="7"/>
  <c r="N20" i="7"/>
  <c r="N12" i="7"/>
  <c r="N4" i="7"/>
  <c r="N34" i="5"/>
  <c r="N26" i="5"/>
  <c r="N18" i="5"/>
  <c r="N10" i="5"/>
  <c r="I29" i="14"/>
  <c r="I21" i="14"/>
  <c r="I13" i="14"/>
  <c r="I5" i="14"/>
  <c r="I28" i="13"/>
  <c r="AA37" i="13" s="1"/>
  <c r="AB37" i="13" s="1"/>
  <c r="I20" i="13"/>
  <c r="I12" i="13"/>
  <c r="I4" i="13"/>
  <c r="AA44" i="12"/>
  <c r="AB44" i="12" s="1"/>
  <c r="I34" i="11"/>
  <c r="I26" i="11"/>
  <c r="I18" i="11"/>
  <c r="I10" i="11"/>
  <c r="I33" i="10"/>
  <c r="I25" i="10"/>
  <c r="I17" i="10"/>
  <c r="I9" i="10"/>
  <c r="I32" i="9"/>
  <c r="I24" i="9"/>
  <c r="I16" i="9"/>
  <c r="I8" i="9"/>
  <c r="I31" i="8"/>
  <c r="I23" i="8"/>
  <c r="AA41" i="8" s="1"/>
  <c r="AB41" i="8" s="1"/>
  <c r="I15" i="8"/>
  <c r="I7" i="8"/>
  <c r="I30" i="7"/>
  <c r="I22" i="7"/>
  <c r="I14" i="7"/>
  <c r="I6" i="7"/>
  <c r="I29" i="6"/>
  <c r="I21" i="6"/>
  <c r="I13" i="6"/>
  <c r="I5" i="6"/>
  <c r="I28" i="5"/>
  <c r="I20" i="5"/>
  <c r="I12" i="5"/>
  <c r="I4" i="5"/>
  <c r="N34" i="14"/>
  <c r="N26" i="14"/>
  <c r="N18" i="14"/>
  <c r="N10" i="14"/>
  <c r="N33" i="13"/>
  <c r="N25" i="13"/>
  <c r="N17" i="13"/>
  <c r="N9" i="13"/>
  <c r="N32" i="12"/>
  <c r="N24" i="12"/>
  <c r="N16" i="12"/>
  <c r="N8" i="12"/>
  <c r="N31" i="11"/>
  <c r="N23" i="11"/>
  <c r="N15" i="11"/>
  <c r="N7" i="11"/>
  <c r="N30" i="10"/>
  <c r="N22" i="10"/>
  <c r="N14" i="10"/>
  <c r="N6" i="10"/>
  <c r="N29" i="9"/>
  <c r="N21" i="9"/>
  <c r="N13" i="9"/>
  <c r="N5" i="9"/>
  <c r="N28" i="8"/>
  <c r="N20" i="8"/>
  <c r="N12" i="8"/>
  <c r="N4" i="8"/>
  <c r="N27" i="7"/>
  <c r="N19" i="7"/>
  <c r="N11" i="7"/>
  <c r="N33" i="5"/>
  <c r="N25" i="5"/>
  <c r="N17" i="5"/>
  <c r="N9" i="5"/>
  <c r="I28" i="14"/>
  <c r="I20" i="14"/>
  <c r="I12" i="14"/>
  <c r="I4" i="14"/>
  <c r="I27" i="13"/>
  <c r="I19" i="13"/>
  <c r="I11" i="13"/>
  <c r="I33" i="11"/>
  <c r="I25" i="11"/>
  <c r="I17" i="11"/>
  <c r="I9" i="11"/>
  <c r="I32" i="10"/>
  <c r="I24" i="10"/>
  <c r="I16" i="10"/>
  <c r="I8" i="10"/>
  <c r="I31" i="9"/>
  <c r="I23" i="9"/>
  <c r="I15" i="9"/>
  <c r="I7" i="9"/>
  <c r="I30" i="8"/>
  <c r="I22" i="8"/>
  <c r="I14" i="8"/>
  <c r="I6" i="8"/>
  <c r="I29" i="7"/>
  <c r="I21" i="7"/>
  <c r="I13" i="7"/>
  <c r="I5" i="7"/>
  <c r="I28" i="6"/>
  <c r="I20" i="6"/>
  <c r="I12" i="6"/>
  <c r="AA43" i="6" s="1"/>
  <c r="AB43" i="6" s="1"/>
  <c r="I4" i="6"/>
  <c r="I27" i="5"/>
  <c r="I19" i="5"/>
  <c r="I11" i="5"/>
  <c r="N33" i="14"/>
  <c r="N25" i="14"/>
  <c r="N17" i="14"/>
  <c r="N9" i="14"/>
  <c r="N32" i="13"/>
  <c r="N24" i="13"/>
  <c r="N16" i="13"/>
  <c r="N8" i="13"/>
  <c r="N31" i="12"/>
  <c r="N23" i="12"/>
  <c r="N15" i="12"/>
  <c r="N7" i="12"/>
  <c r="N30" i="11"/>
  <c r="N22" i="11"/>
  <c r="N14" i="11"/>
  <c r="N6" i="11"/>
  <c r="N29" i="10"/>
  <c r="N21" i="10"/>
  <c r="N13" i="10"/>
  <c r="N5" i="10"/>
  <c r="N28" i="9"/>
  <c r="N20" i="9"/>
  <c r="N12" i="9"/>
  <c r="N4" i="9"/>
  <c r="N27" i="8"/>
  <c r="N19" i="8"/>
  <c r="N11" i="8"/>
  <c r="N34" i="7"/>
  <c r="N26" i="7"/>
  <c r="N18" i="7"/>
  <c r="N10" i="7"/>
  <c r="N32" i="5"/>
  <c r="N24" i="5"/>
  <c r="N16" i="5"/>
  <c r="N8" i="5"/>
  <c r="I27" i="14"/>
  <c r="I19" i="14"/>
  <c r="I11" i="14"/>
  <c r="I34" i="13"/>
  <c r="I26" i="13"/>
  <c r="I18" i="13"/>
  <c r="I10" i="13"/>
  <c r="I32" i="11"/>
  <c r="I24" i="11"/>
  <c r="I16" i="11"/>
  <c r="I8" i="11"/>
  <c r="I31" i="10"/>
  <c r="I23" i="10"/>
  <c r="I15" i="10"/>
  <c r="I7" i="10"/>
  <c r="I30" i="9"/>
  <c r="I22" i="9"/>
  <c r="I14" i="9"/>
  <c r="I6" i="9"/>
  <c r="I29" i="8"/>
  <c r="I21" i="8"/>
  <c r="I13" i="8"/>
  <c r="I5" i="8"/>
  <c r="I28" i="7"/>
  <c r="I20" i="7"/>
  <c r="I12" i="7"/>
  <c r="I4" i="7"/>
  <c r="I27" i="6"/>
  <c r="I19" i="6"/>
  <c r="I11" i="6"/>
  <c r="AA37" i="6" s="1"/>
  <c r="I34" i="5"/>
  <c r="I26" i="5"/>
  <c r="I18" i="5"/>
  <c r="I10" i="5"/>
  <c r="N32" i="14"/>
  <c r="N24" i="14"/>
  <c r="N16" i="14"/>
  <c r="N8" i="14"/>
  <c r="N31" i="13"/>
  <c r="N29" i="11"/>
  <c r="N27" i="9"/>
  <c r="N25" i="7"/>
  <c r="N23" i="5"/>
  <c r="N6" i="12"/>
  <c r="N23" i="13"/>
  <c r="N21" i="11"/>
  <c r="N19" i="9"/>
  <c r="N17" i="7"/>
  <c r="N15" i="5"/>
  <c r="N4" i="10"/>
  <c r="N15" i="13"/>
  <c r="N13" i="11"/>
  <c r="N11" i="9"/>
  <c r="N9" i="7"/>
  <c r="N7" i="5"/>
  <c r="N31" i="5"/>
  <c r="N7" i="13"/>
  <c r="N5" i="11"/>
  <c r="N34" i="8"/>
  <c r="N33" i="7"/>
  <c r="N30" i="12"/>
  <c r="N28" i="10"/>
  <c r="N26" i="8"/>
  <c r="N22" i="12"/>
  <c r="N20" i="10"/>
  <c r="N18" i="8"/>
  <c r="N14" i="12"/>
  <c r="N12" i="10"/>
  <c r="N10" i="8"/>
  <c r="T4" i="15"/>
  <c r="B4" i="8"/>
  <c r="F36" i="12"/>
  <c r="A5" i="9"/>
  <c r="S5" i="9" s="1"/>
  <c r="A4" i="6"/>
  <c r="A4" i="11"/>
  <c r="F37" i="7"/>
  <c r="F38" i="13"/>
  <c r="A4" i="10"/>
  <c r="S4" i="10" s="1"/>
  <c r="A4" i="7"/>
  <c r="A5" i="14"/>
  <c r="S5" i="14" s="1"/>
  <c r="F38" i="10"/>
  <c r="F38" i="11"/>
  <c r="F38" i="8"/>
  <c r="F37" i="12"/>
  <c r="A5" i="12"/>
  <c r="AC4" i="15"/>
  <c r="F37" i="6"/>
  <c r="F37" i="10"/>
  <c r="F38" i="6"/>
  <c r="F37" i="11"/>
  <c r="F37" i="8"/>
  <c r="E40" i="3"/>
  <c r="A10" i="2"/>
  <c r="A11" i="2" s="1"/>
  <c r="H4" i="15"/>
  <c r="B4" i="5"/>
  <c r="A5" i="5"/>
  <c r="F36" i="5"/>
  <c r="F36" i="14"/>
  <c r="B4" i="14"/>
  <c r="F37" i="14"/>
  <c r="F38" i="5"/>
  <c r="F37" i="5"/>
  <c r="F37" i="9"/>
  <c r="F36" i="9"/>
  <c r="F38" i="14"/>
  <c r="AI4" i="15"/>
  <c r="F38" i="9"/>
  <c r="Q4" i="15"/>
  <c r="AL45" i="15"/>
  <c r="AL40" i="15"/>
  <c r="AL44" i="15"/>
  <c r="B4" i="12"/>
  <c r="AL41" i="15"/>
  <c r="AL48" i="15"/>
  <c r="B4" i="9"/>
  <c r="F38" i="7"/>
  <c r="AL46" i="15"/>
  <c r="F36" i="8"/>
  <c r="A5" i="8"/>
  <c r="F38" i="12"/>
  <c r="A5" i="3"/>
  <c r="E39" i="3"/>
  <c r="A4" i="13"/>
  <c r="F37" i="13"/>
  <c r="AL50" i="15"/>
  <c r="AL49" i="15"/>
  <c r="AL47" i="15"/>
  <c r="V20" i="18"/>
  <c r="U5" i="14"/>
  <c r="U4" i="13"/>
  <c r="V5" i="18"/>
  <c r="V9" i="18"/>
  <c r="V24" i="18"/>
  <c r="V15" i="18"/>
  <c r="V6" i="18"/>
  <c r="U4" i="10"/>
  <c r="V13" i="18"/>
  <c r="V16" i="18"/>
  <c r="V5" i="3"/>
  <c r="U5" i="8"/>
  <c r="U5" i="9"/>
  <c r="V18" i="18"/>
  <c r="V11" i="18"/>
  <c r="V12" i="18"/>
  <c r="V17" i="18"/>
  <c r="V23" i="18"/>
  <c r="V10" i="18"/>
  <c r="V7" i="18"/>
  <c r="V21" i="18"/>
  <c r="U4" i="6"/>
  <c r="V27" i="18"/>
  <c r="U5" i="5"/>
  <c r="V22" i="18"/>
  <c r="U5" i="12"/>
  <c r="U4" i="7"/>
  <c r="V25" i="18"/>
  <c r="V14" i="18"/>
  <c r="V8" i="18"/>
  <c r="U4" i="11"/>
  <c r="V19" i="18"/>
  <c r="Y27" i="18" l="1"/>
  <c r="AD27" i="18" s="1"/>
  <c r="T27" i="18"/>
  <c r="P27" i="18" s="1"/>
  <c r="R27" i="18" s="1"/>
  <c r="F26" i="15" s="1"/>
  <c r="E27" i="15"/>
  <c r="AB28" i="18"/>
  <c r="AD28" i="18"/>
  <c r="AB5" i="3"/>
  <c r="AI5" i="3" s="1"/>
  <c r="Q37" i="12"/>
  <c r="Q39" i="18"/>
  <c r="Z26" i="18"/>
  <c r="AF26" i="18"/>
  <c r="AG26" i="18" s="1"/>
  <c r="A29" i="18"/>
  <c r="X28" i="18"/>
  <c r="W28" i="18"/>
  <c r="T28" i="18" s="1"/>
  <c r="B28" i="18"/>
  <c r="AE5" i="3"/>
  <c r="AC5" i="3"/>
  <c r="AV5" i="3"/>
  <c r="X5" i="3"/>
  <c r="O5" i="14"/>
  <c r="Q5" i="14" s="1"/>
  <c r="AJ5" i="15" s="1"/>
  <c r="O5" i="9"/>
  <c r="Q5" i="9" s="1"/>
  <c r="U5" i="15" s="1"/>
  <c r="O4" i="12"/>
  <c r="Q4" i="12" s="1"/>
  <c r="AD4" i="15" s="1"/>
  <c r="O4" i="14"/>
  <c r="Q4" i="14" s="1"/>
  <c r="AJ4" i="15" s="1"/>
  <c r="O4" i="10"/>
  <c r="Q4" i="10" s="1"/>
  <c r="X4" i="15" s="1"/>
  <c r="O4" i="8"/>
  <c r="Q4" i="8" s="1"/>
  <c r="R4" i="15" s="1"/>
  <c r="Z4" i="15"/>
  <c r="Q4" i="5"/>
  <c r="I4" i="15" s="1"/>
  <c r="S5" i="12"/>
  <c r="S5" i="8"/>
  <c r="S5" i="5"/>
  <c r="AA38" i="14"/>
  <c r="AB38" i="14" s="1"/>
  <c r="AA42" i="14"/>
  <c r="AB42" i="14" s="1"/>
  <c r="AA39" i="13"/>
  <c r="AB39" i="13" s="1"/>
  <c r="AA42" i="13"/>
  <c r="AA37" i="12"/>
  <c r="AB37" i="12" s="1"/>
  <c r="AA42" i="12"/>
  <c r="AB42" i="12" s="1"/>
  <c r="AA37" i="11"/>
  <c r="AB37" i="11" s="1"/>
  <c r="AA42" i="11"/>
  <c r="AB42" i="11" s="1"/>
  <c r="AA40" i="10"/>
  <c r="AB40" i="10" s="1"/>
  <c r="AA41" i="10"/>
  <c r="AB41" i="10" s="1"/>
  <c r="AA37" i="10"/>
  <c r="AB37" i="10" s="1"/>
  <c r="AA42" i="10"/>
  <c r="AA42" i="9"/>
  <c r="AB42" i="9" s="1"/>
  <c r="AA37" i="9"/>
  <c r="AA40" i="8"/>
  <c r="AB40" i="8" s="1"/>
  <c r="AA38" i="6"/>
  <c r="AB38" i="6" s="1"/>
  <c r="AA42" i="7"/>
  <c r="AB42" i="7" s="1"/>
  <c r="AA40" i="6"/>
  <c r="AB40" i="6" s="1"/>
  <c r="AA40" i="7"/>
  <c r="AB40" i="7" s="1"/>
  <c r="AA37" i="5"/>
  <c r="AB37" i="5" s="1"/>
  <c r="AA42" i="5"/>
  <c r="AB42" i="5" s="1"/>
  <c r="AA39" i="5"/>
  <c r="AB39" i="5" s="1"/>
  <c r="AB37" i="6"/>
  <c r="AA37" i="8"/>
  <c r="AB37" i="8" s="1"/>
  <c r="AA37" i="7"/>
  <c r="AA42" i="8"/>
  <c r="AB42" i="8" s="1"/>
  <c r="W48" i="14"/>
  <c r="W48" i="13"/>
  <c r="S4" i="13"/>
  <c r="W48" i="12"/>
  <c r="S4" i="11"/>
  <c r="O4" i="11" s="1"/>
  <c r="W48" i="11"/>
  <c r="W48" i="10"/>
  <c r="W48" i="9"/>
  <c r="W48" i="8"/>
  <c r="W48" i="7"/>
  <c r="S4" i="7"/>
  <c r="S4" i="6"/>
  <c r="O4" i="6" s="1"/>
  <c r="W48" i="6"/>
  <c r="W48" i="5"/>
  <c r="W4" i="15"/>
  <c r="H5" i="15"/>
  <c r="A6" i="14"/>
  <c r="T5" i="15"/>
  <c r="B4" i="11"/>
  <c r="A6" i="9"/>
  <c r="T6" i="15" s="1"/>
  <c r="B5" i="9"/>
  <c r="K4" i="15"/>
  <c r="A5" i="6"/>
  <c r="B4" i="6"/>
  <c r="A5" i="11"/>
  <c r="D7" i="2"/>
  <c r="AI5" i="15"/>
  <c r="B4" i="7"/>
  <c r="B4" i="10"/>
  <c r="A5" i="10"/>
  <c r="N4" i="15"/>
  <c r="A5" i="7"/>
  <c r="B5" i="14"/>
  <c r="A6" i="12"/>
  <c r="B5" i="12"/>
  <c r="AC5" i="15"/>
  <c r="Q37" i="9"/>
  <c r="A13" i="2"/>
  <c r="D9" i="2"/>
  <c r="A15" i="2"/>
  <c r="D6" i="2"/>
  <c r="A9" i="2"/>
  <c r="A14" i="2"/>
  <c r="D16" i="2"/>
  <c r="Q37" i="7"/>
  <c r="Q37" i="6"/>
  <c r="B5" i="5"/>
  <c r="A6" i="5"/>
  <c r="Q37" i="11"/>
  <c r="Q37" i="10"/>
  <c r="Q37" i="5"/>
  <c r="A6" i="8"/>
  <c r="Q5" i="15"/>
  <c r="B5" i="8"/>
  <c r="Q39" i="3"/>
  <c r="Q37" i="14"/>
  <c r="B4" i="15"/>
  <c r="B5" i="3"/>
  <c r="A6" i="3"/>
  <c r="Q37" i="8"/>
  <c r="Q37" i="13"/>
  <c r="A5" i="13"/>
  <c r="AF4" i="15"/>
  <c r="B4" i="13"/>
  <c r="V28" i="18"/>
  <c r="U6" i="8"/>
  <c r="U5" i="7"/>
  <c r="U5" i="11"/>
  <c r="U5" i="10"/>
  <c r="U6" i="14"/>
  <c r="U6" i="5"/>
  <c r="U5" i="13"/>
  <c r="V6" i="3"/>
  <c r="U6" i="12"/>
  <c r="U6" i="9"/>
  <c r="U5" i="6"/>
  <c r="AA25" i="18" l="1"/>
  <c r="T5" i="3"/>
  <c r="P5" i="3" s="1"/>
  <c r="AE27" i="18"/>
  <c r="AE28" i="18"/>
  <c r="AJ28" i="18" s="1"/>
  <c r="AC28" i="18"/>
  <c r="AA26" i="18"/>
  <c r="AH26" i="18" s="1"/>
  <c r="AE5" i="18"/>
  <c r="AJ5" i="18" s="1"/>
  <c r="AC8" i="18"/>
  <c r="AI8" i="18" s="1"/>
  <c r="AA9" i="18"/>
  <c r="AH9" i="18" s="1"/>
  <c r="AE13" i="18"/>
  <c r="AJ13" i="18" s="1"/>
  <c r="AC16" i="18"/>
  <c r="AA17" i="18"/>
  <c r="AH17" i="18" s="1"/>
  <c r="AC21" i="18"/>
  <c r="AC24" i="18"/>
  <c r="AI24" i="18" s="1"/>
  <c r="AA6" i="18"/>
  <c r="AH6" i="18" s="1"/>
  <c r="AE8" i="18"/>
  <c r="AJ8" i="18" s="1"/>
  <c r="AC11" i="18"/>
  <c r="AI11" i="18" s="1"/>
  <c r="AC13" i="18"/>
  <c r="AI13" i="18" s="1"/>
  <c r="AA14" i="18"/>
  <c r="AE19" i="18"/>
  <c r="AJ19" i="18" s="1"/>
  <c r="AA19" i="18"/>
  <c r="AA22" i="18"/>
  <c r="AH22" i="18" s="1"/>
  <c r="AU5" i="18"/>
  <c r="AC5" i="18"/>
  <c r="AI5" i="18" s="1"/>
  <c r="AE9" i="18"/>
  <c r="AJ9" i="18" s="1"/>
  <c r="AE11" i="18"/>
  <c r="AJ11" i="18" s="1"/>
  <c r="AC14" i="18"/>
  <c r="AA15" i="18"/>
  <c r="AH15" i="18" s="1"/>
  <c r="AC19" i="18"/>
  <c r="AE22" i="18"/>
  <c r="AJ22" i="18" s="1"/>
  <c r="AA23" i="18"/>
  <c r="AH23" i="18" s="1"/>
  <c r="AE25" i="18"/>
  <c r="C5" i="18"/>
  <c r="AC6" i="18"/>
  <c r="AI6" i="18" s="1"/>
  <c r="AC9" i="18"/>
  <c r="AA13" i="18"/>
  <c r="AH13" i="18" s="1"/>
  <c r="AE14" i="18"/>
  <c r="AC17" i="18"/>
  <c r="AI17" i="18" s="1"/>
  <c r="AA20" i="18"/>
  <c r="AH20" i="18" s="1"/>
  <c r="AC22" i="18"/>
  <c r="AI22" i="18" s="1"/>
  <c r="AE26" i="18"/>
  <c r="AJ26" i="18" s="1"/>
  <c r="AA24" i="18"/>
  <c r="AH24" i="18" s="1"/>
  <c r="AE6" i="18"/>
  <c r="AA7" i="18"/>
  <c r="AH7" i="18" s="1"/>
  <c r="AE12" i="18"/>
  <c r="AA12" i="18"/>
  <c r="AH12" i="18" s="1"/>
  <c r="AE17" i="18"/>
  <c r="AJ17" i="18" s="1"/>
  <c r="AE20" i="18"/>
  <c r="AJ20" i="18" s="1"/>
  <c r="AE23" i="18"/>
  <c r="AJ23" i="18" s="1"/>
  <c r="AC26" i="18"/>
  <c r="AI26" i="18" s="1"/>
  <c r="AA5" i="18"/>
  <c r="AH5" i="18" s="1"/>
  <c r="AC10" i="18"/>
  <c r="AI10" i="18" s="1"/>
  <c r="AC12" i="18"/>
  <c r="AC15" i="18"/>
  <c r="AI15" i="18" s="1"/>
  <c r="AE18" i="18"/>
  <c r="AJ18" i="18" s="1"/>
  <c r="AA18" i="18"/>
  <c r="AH18" i="18" s="1"/>
  <c r="AC23" i="18"/>
  <c r="AI23" i="18" s="1"/>
  <c r="AC25" i="18"/>
  <c r="AI25" i="18" s="1"/>
  <c r="AC7" i="18"/>
  <c r="AE10" i="18"/>
  <c r="AJ10" i="18" s="1"/>
  <c r="AA10" i="18"/>
  <c r="AE15" i="18"/>
  <c r="AJ15" i="18" s="1"/>
  <c r="AC18" i="18"/>
  <c r="AI18" i="18" s="1"/>
  <c r="AC20" i="18"/>
  <c r="AI20" i="18" s="1"/>
  <c r="AA21" i="18"/>
  <c r="AH21" i="18" s="1"/>
  <c r="AE7" i="18"/>
  <c r="AJ7" i="18" s="1"/>
  <c r="AA8" i="18"/>
  <c r="AA11" i="18"/>
  <c r="AH11" i="18" s="1"/>
  <c r="AE16" i="18"/>
  <c r="AA16" i="18"/>
  <c r="AH16" i="18" s="1"/>
  <c r="AE21" i="18"/>
  <c r="AJ21" i="18" s="1"/>
  <c r="AE24" i="18"/>
  <c r="AJ24" i="18" s="1"/>
  <c r="E28" i="15"/>
  <c r="AD29" i="18"/>
  <c r="AB29" i="18"/>
  <c r="AC27" i="18"/>
  <c r="Y28" i="18"/>
  <c r="A30" i="18"/>
  <c r="W29" i="18"/>
  <c r="T29" i="18" s="1"/>
  <c r="B29" i="18"/>
  <c r="X29" i="18"/>
  <c r="Z27" i="18"/>
  <c r="AB27" i="18" s="1"/>
  <c r="AF27" i="18"/>
  <c r="AG27" i="18" s="1"/>
  <c r="AJ27" i="18"/>
  <c r="C28" i="18"/>
  <c r="AI28" i="18"/>
  <c r="C27" i="18"/>
  <c r="D1" i="3"/>
  <c r="AI7" i="18"/>
  <c r="C9" i="18"/>
  <c r="C15" i="18"/>
  <c r="C21" i="18"/>
  <c r="AH8" i="18"/>
  <c r="AH10" i="18"/>
  <c r="C13" i="18"/>
  <c r="C17" i="18"/>
  <c r="AI19" i="18"/>
  <c r="C23" i="18"/>
  <c r="C8" i="18"/>
  <c r="C12" i="18"/>
  <c r="AJ16" i="18"/>
  <c r="C22" i="18"/>
  <c r="AH25" i="18"/>
  <c r="D1" i="18"/>
  <c r="AJ6" i="18"/>
  <c r="AI12" i="18"/>
  <c r="C14" i="18"/>
  <c r="C18" i="18"/>
  <c r="C10" i="18"/>
  <c r="AJ12" i="18"/>
  <c r="AJ14" i="18"/>
  <c r="AI16" i="18"/>
  <c r="AH19" i="18"/>
  <c r="C24" i="18"/>
  <c r="AJ25" i="18"/>
  <c r="C6" i="18"/>
  <c r="AI14" i="18"/>
  <c r="C16" i="18"/>
  <c r="C20" i="18"/>
  <c r="AI9" i="18"/>
  <c r="AH14" i="18"/>
  <c r="AI21" i="18"/>
  <c r="C7" i="18"/>
  <c r="C11" i="18"/>
  <c r="C19" i="18"/>
  <c r="C26" i="18"/>
  <c r="C25" i="18"/>
  <c r="P28" i="18"/>
  <c r="R28" i="18" s="1"/>
  <c r="F27" i="15" s="1"/>
  <c r="Z5" i="3"/>
  <c r="AF5" i="3" s="1"/>
  <c r="AK5" i="3" s="1"/>
  <c r="C5" i="3"/>
  <c r="S5" i="3" s="1"/>
  <c r="X6" i="3"/>
  <c r="O4" i="7"/>
  <c r="Q4" i="7" s="1"/>
  <c r="O4" i="15" s="1"/>
  <c r="O4" i="13"/>
  <c r="Q4" i="13" s="1"/>
  <c r="AG4" i="15" s="1"/>
  <c r="O5" i="5"/>
  <c r="Q5" i="5" s="1"/>
  <c r="I5" i="15" s="1"/>
  <c r="O5" i="8"/>
  <c r="Q5" i="8" s="1"/>
  <c r="R5" i="15" s="1"/>
  <c r="O5" i="12"/>
  <c r="Q5" i="12" s="1"/>
  <c r="AD5" i="15" s="1"/>
  <c r="A7" i="9"/>
  <c r="B7" i="9" s="1"/>
  <c r="S6" i="5"/>
  <c r="S6" i="8"/>
  <c r="S5" i="6"/>
  <c r="S6" i="12"/>
  <c r="Q4" i="6"/>
  <c r="L4" i="15" s="1"/>
  <c r="Q4" i="11"/>
  <c r="AA4" i="15" s="1"/>
  <c r="AB52" i="14"/>
  <c r="AA52" i="14"/>
  <c r="AA52" i="13"/>
  <c r="AB52" i="11"/>
  <c r="AB42" i="13"/>
  <c r="AB52" i="13" s="1"/>
  <c r="AB52" i="12"/>
  <c r="AA52" i="12"/>
  <c r="AA52" i="11"/>
  <c r="AA52" i="10"/>
  <c r="AB42" i="10"/>
  <c r="AB52" i="10" s="1"/>
  <c r="AA52" i="9"/>
  <c r="AB37" i="9"/>
  <c r="AB52" i="9" s="1"/>
  <c r="AB52" i="6"/>
  <c r="AA52" i="6"/>
  <c r="AA52" i="7"/>
  <c r="AB52" i="5"/>
  <c r="AA52" i="5"/>
  <c r="AB52" i="8"/>
  <c r="AB37" i="7"/>
  <c r="AB52" i="7" s="1"/>
  <c r="AA52" i="8"/>
  <c r="AI6" i="15"/>
  <c r="S6" i="14"/>
  <c r="O6" i="14" s="1"/>
  <c r="S5" i="13"/>
  <c r="S5" i="11"/>
  <c r="O5" i="11" s="1"/>
  <c r="S5" i="10"/>
  <c r="O5" i="10" s="1"/>
  <c r="S6" i="9"/>
  <c r="O6" i="9" s="1"/>
  <c r="S5" i="7"/>
  <c r="A6" i="6"/>
  <c r="K6" i="15" s="1"/>
  <c r="B6" i="5"/>
  <c r="C6" i="5" s="1"/>
  <c r="J6" i="15" s="1"/>
  <c r="A7" i="14"/>
  <c r="A8" i="14" s="1"/>
  <c r="S8" i="14" s="1"/>
  <c r="A7" i="12"/>
  <c r="A8" i="12" s="1"/>
  <c r="B6" i="14"/>
  <c r="C6" i="14" s="1"/>
  <c r="AK6" i="15" s="1"/>
  <c r="B6" i="9"/>
  <c r="C6" i="9" s="1"/>
  <c r="V6" i="15" s="1"/>
  <c r="B5" i="6"/>
  <c r="C5" i="6" s="1"/>
  <c r="M5" i="15" s="1"/>
  <c r="K5" i="15"/>
  <c r="Z5" i="15"/>
  <c r="A6" i="11"/>
  <c r="B5" i="11"/>
  <c r="C5" i="11" s="1"/>
  <c r="AB5" i="15" s="1"/>
  <c r="C5" i="5"/>
  <c r="J5" i="15" s="1"/>
  <c r="C4" i="8"/>
  <c r="S4" i="15" s="1"/>
  <c r="C4" i="7"/>
  <c r="P4" i="15" s="1"/>
  <c r="A6" i="10"/>
  <c r="B5" i="10"/>
  <c r="C5" i="10" s="1"/>
  <c r="Y5" i="15" s="1"/>
  <c r="W5" i="15"/>
  <c r="A6" i="7"/>
  <c r="B5" i="7"/>
  <c r="C5" i="7" s="1"/>
  <c r="P5" i="15" s="1"/>
  <c r="N5" i="15"/>
  <c r="C4" i="11"/>
  <c r="AB4" i="15" s="1"/>
  <c r="M1" i="13"/>
  <c r="M1" i="14"/>
  <c r="M1" i="10"/>
  <c r="M1" i="11"/>
  <c r="M1" i="9"/>
  <c r="C4" i="10"/>
  <c r="Y4" i="15" s="1"/>
  <c r="C5" i="9"/>
  <c r="AC6" i="15"/>
  <c r="B6" i="12"/>
  <c r="C6" i="12" s="1"/>
  <c r="R6" i="12" s="1"/>
  <c r="C4" i="9"/>
  <c r="H6" i="15"/>
  <c r="A7" i="5"/>
  <c r="C4" i="13"/>
  <c r="AH4" i="15" s="1"/>
  <c r="C4" i="6"/>
  <c r="M4" i="15" s="1"/>
  <c r="C4" i="14"/>
  <c r="AK4" i="15" s="1"/>
  <c r="C5" i="14"/>
  <c r="AK5" i="15" s="1"/>
  <c r="M1" i="6"/>
  <c r="M1" i="7"/>
  <c r="C4" i="12"/>
  <c r="R4" i="12" s="1"/>
  <c r="M1" i="8"/>
  <c r="C5" i="12"/>
  <c r="AE5" i="15" s="1"/>
  <c r="C4" i="5"/>
  <c r="J4" i="15" s="1"/>
  <c r="C5" i="8"/>
  <c r="R5" i="8" s="1"/>
  <c r="J1" i="5"/>
  <c r="M1" i="12"/>
  <c r="B6" i="3"/>
  <c r="A7" i="3"/>
  <c r="B5" i="15"/>
  <c r="A6" i="13"/>
  <c r="B5" i="13"/>
  <c r="C5" i="13" s="1"/>
  <c r="AF5" i="15"/>
  <c r="B6" i="8"/>
  <c r="C6" i="8" s="1"/>
  <c r="Q6" i="15"/>
  <c r="A7" i="8"/>
  <c r="U7" i="9"/>
  <c r="U7" i="5"/>
  <c r="U6" i="7"/>
  <c r="V7" i="3"/>
  <c r="V29" i="18"/>
  <c r="U8" i="14"/>
  <c r="U7" i="8"/>
  <c r="U8" i="12"/>
  <c r="U6" i="6"/>
  <c r="U7" i="14"/>
  <c r="U6" i="10"/>
  <c r="U6" i="11"/>
  <c r="U7" i="12"/>
  <c r="U6" i="13"/>
  <c r="R5" i="3" l="1"/>
  <c r="T6" i="3"/>
  <c r="P6" i="3" s="1"/>
  <c r="R6" i="3" s="1"/>
  <c r="AA6" i="3" s="1"/>
  <c r="S26" i="18"/>
  <c r="U26" i="18" s="1"/>
  <c r="G25" i="15"/>
  <c r="S11" i="18"/>
  <c r="U11" i="18" s="1"/>
  <c r="G10" i="15"/>
  <c r="S24" i="18"/>
  <c r="U24" i="18" s="1"/>
  <c r="G23" i="15"/>
  <c r="S15" i="18"/>
  <c r="U15" i="18" s="1"/>
  <c r="G14" i="15"/>
  <c r="S16" i="18"/>
  <c r="U16" i="18" s="1"/>
  <c r="G15" i="15"/>
  <c r="S23" i="18"/>
  <c r="U23" i="18" s="1"/>
  <c r="G22" i="15"/>
  <c r="S28" i="18"/>
  <c r="U28" i="18" s="1"/>
  <c r="G27" i="15"/>
  <c r="E29" i="15"/>
  <c r="AB30" i="18"/>
  <c r="AD30" i="18"/>
  <c r="S7" i="18"/>
  <c r="U7" i="18" s="1"/>
  <c r="G6" i="15"/>
  <c r="AA27" i="18"/>
  <c r="AH27" i="18" s="1"/>
  <c r="AK19" i="18"/>
  <c r="S9" i="18"/>
  <c r="U9" i="18" s="1"/>
  <c r="G8" i="15"/>
  <c r="S19" i="18"/>
  <c r="U19" i="18" s="1"/>
  <c r="G18" i="15"/>
  <c r="AK24" i="18"/>
  <c r="S12" i="18"/>
  <c r="U12" i="18" s="1"/>
  <c r="G11" i="15"/>
  <c r="S17" i="18"/>
  <c r="U17" i="18" s="1"/>
  <c r="G16" i="15"/>
  <c r="S18" i="18"/>
  <c r="U18" i="18" s="1"/>
  <c r="G17" i="15"/>
  <c r="S21" i="18"/>
  <c r="U21" i="18" s="1"/>
  <c r="G20" i="15"/>
  <c r="AI27" i="18"/>
  <c r="AK5" i="18"/>
  <c r="S6" i="18"/>
  <c r="U6" i="18" s="1"/>
  <c r="G5" i="15"/>
  <c r="S8" i="18"/>
  <c r="U8" i="18" s="1"/>
  <c r="G7" i="15"/>
  <c r="S13" i="18"/>
  <c r="U13" i="18" s="1"/>
  <c r="G12" i="15"/>
  <c r="S27" i="18"/>
  <c r="U27" i="18" s="1"/>
  <c r="G26" i="15"/>
  <c r="S25" i="18"/>
  <c r="U25" i="18" s="1"/>
  <c r="G24" i="15"/>
  <c r="S20" i="18"/>
  <c r="U20" i="18" s="1"/>
  <c r="G19" i="15"/>
  <c r="S10" i="18"/>
  <c r="U10" i="18" s="1"/>
  <c r="G9" i="15"/>
  <c r="S14" i="18"/>
  <c r="U14" i="18" s="1"/>
  <c r="G13" i="15"/>
  <c r="S22" i="18"/>
  <c r="U22" i="18" s="1"/>
  <c r="G21" i="15"/>
  <c r="AE29" i="18"/>
  <c r="AJ29" i="18" s="1"/>
  <c r="AC29" i="18"/>
  <c r="AI29" i="18" s="1"/>
  <c r="G4" i="15"/>
  <c r="S5" i="18"/>
  <c r="U5" i="18" s="1"/>
  <c r="AM5" i="18" s="1"/>
  <c r="AK16" i="18"/>
  <c r="AK14" i="18"/>
  <c r="AK7" i="18"/>
  <c r="AK8" i="18"/>
  <c r="AK11" i="18"/>
  <c r="AK26" i="18"/>
  <c r="AK20" i="18"/>
  <c r="AK10" i="18"/>
  <c r="P29" i="18"/>
  <c r="R29" i="18" s="1"/>
  <c r="F28" i="15" s="1"/>
  <c r="AK22" i="18"/>
  <c r="AK6" i="18"/>
  <c r="AK12" i="18"/>
  <c r="AK13" i="18"/>
  <c r="AK15" i="18"/>
  <c r="AK21" i="18"/>
  <c r="C29" i="18"/>
  <c r="AF28" i="18"/>
  <c r="AG28" i="18" s="1"/>
  <c r="Z28" i="18"/>
  <c r="AK9" i="18"/>
  <c r="Y29" i="18"/>
  <c r="AK23" i="18"/>
  <c r="AK17" i="18"/>
  <c r="AK25" i="18"/>
  <c r="A31" i="18"/>
  <c r="X30" i="18"/>
  <c r="W30" i="18"/>
  <c r="B30" i="18"/>
  <c r="AK18" i="18"/>
  <c r="Z6" i="3"/>
  <c r="AE6" i="3" s="1"/>
  <c r="AE7" i="3"/>
  <c r="AC7" i="3"/>
  <c r="AF6" i="3"/>
  <c r="AD6" i="3"/>
  <c r="AA5" i="3"/>
  <c r="T7" i="3"/>
  <c r="P7" i="3" s="1"/>
  <c r="D4" i="15"/>
  <c r="C6" i="3"/>
  <c r="D5" i="15" s="1"/>
  <c r="AG5" i="3"/>
  <c r="AH5" i="3" s="1"/>
  <c r="X7" i="3"/>
  <c r="T5" i="8"/>
  <c r="O5" i="13"/>
  <c r="Q5" i="13" s="1"/>
  <c r="AG5" i="15" s="1"/>
  <c r="O6" i="8"/>
  <c r="Q6" i="8" s="1"/>
  <c r="R6" i="15" s="1"/>
  <c r="O6" i="5"/>
  <c r="Q6" i="5" s="1"/>
  <c r="I6" i="15" s="1"/>
  <c r="O8" i="14"/>
  <c r="Q8" i="14" s="1"/>
  <c r="AJ8" i="15" s="1"/>
  <c r="O5" i="7"/>
  <c r="Q5" i="7" s="1"/>
  <c r="O5" i="15" s="1"/>
  <c r="O6" i="12"/>
  <c r="Q6" i="12" s="1"/>
  <c r="O5" i="6"/>
  <c r="Q5" i="6" s="1"/>
  <c r="L5" i="15" s="1"/>
  <c r="A7" i="6"/>
  <c r="S7" i="6" s="1"/>
  <c r="O7" i="6" s="1"/>
  <c r="B6" i="6"/>
  <c r="C6" i="6" s="1"/>
  <c r="R6" i="6" s="1"/>
  <c r="A8" i="9"/>
  <c r="A9" i="9" s="1"/>
  <c r="AC7" i="15"/>
  <c r="S7" i="9"/>
  <c r="O7" i="9" s="1"/>
  <c r="Q7" i="9" s="1"/>
  <c r="U7" i="15" s="1"/>
  <c r="T7" i="15"/>
  <c r="B7" i="12"/>
  <c r="C7" i="12" s="1"/>
  <c r="R7" i="12" s="1"/>
  <c r="AN39" i="3"/>
  <c r="S7" i="12"/>
  <c r="S6" i="10"/>
  <c r="S7" i="5"/>
  <c r="S7" i="8"/>
  <c r="S6" i="6"/>
  <c r="Q6" i="14"/>
  <c r="AJ6" i="15" s="1"/>
  <c r="Q5" i="11"/>
  <c r="AA5" i="15" s="1"/>
  <c r="Q5" i="10"/>
  <c r="X5" i="15" s="1"/>
  <c r="Q6" i="9"/>
  <c r="U6" i="15" s="1"/>
  <c r="B7" i="14"/>
  <c r="C7" i="14" s="1"/>
  <c r="AK7" i="15" s="1"/>
  <c r="S7" i="14"/>
  <c r="O7" i="14" s="1"/>
  <c r="S6" i="13"/>
  <c r="O6" i="13" s="1"/>
  <c r="S8" i="12"/>
  <c r="O8" i="12" s="1"/>
  <c r="S6" i="11"/>
  <c r="O6" i="11" s="1"/>
  <c r="V5" i="15"/>
  <c r="R5" i="9"/>
  <c r="T5" i="9" s="1"/>
  <c r="R6" i="9"/>
  <c r="V4" i="15"/>
  <c r="R4" i="9"/>
  <c r="T4" i="9" s="1"/>
  <c r="S6" i="7"/>
  <c r="O6" i="7" s="1"/>
  <c r="W37" i="12"/>
  <c r="A8" i="5"/>
  <c r="AI7" i="15"/>
  <c r="B8" i="14"/>
  <c r="C8" i="14" s="1"/>
  <c r="AK8" i="15" s="1"/>
  <c r="W6" i="15"/>
  <c r="B6" i="11"/>
  <c r="C6" i="11" s="1"/>
  <c r="AB6" i="15" s="1"/>
  <c r="A7" i="11"/>
  <c r="Z6" i="15"/>
  <c r="R4" i="11"/>
  <c r="T4" i="11" s="1"/>
  <c r="R5" i="5"/>
  <c r="T5" i="5" s="1"/>
  <c r="R4" i="8"/>
  <c r="T4" i="8" s="1"/>
  <c r="AI8" i="15"/>
  <c r="R4" i="7"/>
  <c r="T4" i="7" s="1"/>
  <c r="B6" i="10"/>
  <c r="C6" i="10" s="1"/>
  <c r="R6" i="10" s="1"/>
  <c r="A7" i="10"/>
  <c r="A9" i="14"/>
  <c r="R4" i="6"/>
  <c r="T4" i="6" s="1"/>
  <c r="R6" i="5"/>
  <c r="N6" i="15"/>
  <c r="B6" i="7"/>
  <c r="C6" i="7" s="1"/>
  <c r="R6" i="7" s="1"/>
  <c r="A7" i="7"/>
  <c r="R5" i="10"/>
  <c r="R5" i="6"/>
  <c r="AE6" i="15"/>
  <c r="R4" i="10"/>
  <c r="T4" i="10" s="1"/>
  <c r="R5" i="7"/>
  <c r="AE4" i="15"/>
  <c r="R6" i="14"/>
  <c r="R4" i="13"/>
  <c r="T4" i="13" s="1"/>
  <c r="S5" i="15"/>
  <c r="H7" i="15"/>
  <c r="B7" i="5"/>
  <c r="C7" i="5" s="1"/>
  <c r="J7" i="15" s="1"/>
  <c r="R4" i="5"/>
  <c r="T4" i="5" s="1"/>
  <c r="R5" i="14"/>
  <c r="T5" i="14" s="1"/>
  <c r="R5" i="12"/>
  <c r="T5" i="12" s="1"/>
  <c r="R4" i="14"/>
  <c r="T4" i="14" s="1"/>
  <c r="R5" i="11"/>
  <c r="A9" i="12"/>
  <c r="B8" i="12"/>
  <c r="C8" i="12" s="1"/>
  <c r="AC8" i="15"/>
  <c r="AH5" i="15"/>
  <c r="R5" i="13"/>
  <c r="C7" i="9"/>
  <c r="B7" i="8"/>
  <c r="C7" i="8" s="1"/>
  <c r="A8" i="8"/>
  <c r="Q7" i="15"/>
  <c r="B6" i="13"/>
  <c r="C6" i="13" s="1"/>
  <c r="AF6" i="15"/>
  <c r="A7" i="13"/>
  <c r="S6" i="15"/>
  <c r="R6" i="8"/>
  <c r="A8" i="3"/>
  <c r="B7" i="3"/>
  <c r="B6" i="15"/>
  <c r="T4" i="12"/>
  <c r="U7" i="11"/>
  <c r="V8" i="3"/>
  <c r="U7" i="13"/>
  <c r="U8" i="8"/>
  <c r="U8" i="5"/>
  <c r="U9" i="12"/>
  <c r="U7" i="10"/>
  <c r="V30" i="18"/>
  <c r="U7" i="6"/>
  <c r="U7" i="7"/>
  <c r="U9" i="9"/>
  <c r="U8" i="9"/>
  <c r="U9" i="14"/>
  <c r="T30" i="18" l="1"/>
  <c r="P30" i="18" s="1"/>
  <c r="R30" i="18" s="1"/>
  <c r="F29" i="15" s="1"/>
  <c r="AK27" i="18"/>
  <c r="AK6" i="3"/>
  <c r="AM6" i="18"/>
  <c r="AM7" i="18" s="1"/>
  <c r="AM8" i="18" s="1"/>
  <c r="AM9" i="18" s="1"/>
  <c r="AM10" i="18" s="1"/>
  <c r="AM11" i="18" s="1"/>
  <c r="AM12" i="18" s="1"/>
  <c r="AM13" i="18" s="1"/>
  <c r="AM14" i="18" s="1"/>
  <c r="AM15" i="18" s="1"/>
  <c r="AM16" i="18" s="1"/>
  <c r="AM17" i="18" s="1"/>
  <c r="AM18" i="18" s="1"/>
  <c r="AM19" i="18" s="1"/>
  <c r="AM20" i="18" s="1"/>
  <c r="AM21" i="18" s="1"/>
  <c r="AM22" i="18" s="1"/>
  <c r="AM23" i="18" s="1"/>
  <c r="AM24" i="18" s="1"/>
  <c r="AM25" i="18" s="1"/>
  <c r="AM26" i="18" s="1"/>
  <c r="AM27" i="18" s="1"/>
  <c r="AM28" i="18" s="1"/>
  <c r="S29" i="18"/>
  <c r="U29" i="18" s="1"/>
  <c r="G28" i="15"/>
  <c r="AB6" i="3"/>
  <c r="AI6" i="3" s="1"/>
  <c r="AC6" i="3"/>
  <c r="AJ6" i="3" s="1"/>
  <c r="AE30" i="18"/>
  <c r="AJ30" i="18" s="1"/>
  <c r="AC30" i="18"/>
  <c r="Y30" i="18"/>
  <c r="E30" i="15"/>
  <c r="A32" i="18"/>
  <c r="AA28" i="18"/>
  <c r="AH28" i="18" s="1"/>
  <c r="AK28" i="18" s="1"/>
  <c r="Z29" i="18"/>
  <c r="AF29" i="18"/>
  <c r="AG29" i="18" s="1"/>
  <c r="C30" i="18"/>
  <c r="X31" i="18"/>
  <c r="W31" i="18"/>
  <c r="T31" i="18" s="1"/>
  <c r="B31" i="18"/>
  <c r="AF7" i="3"/>
  <c r="AK7" i="3" s="1"/>
  <c r="AD7" i="3"/>
  <c r="AJ7" i="3" s="1"/>
  <c r="Z7" i="3"/>
  <c r="AE8" i="3"/>
  <c r="AC8" i="3"/>
  <c r="S6" i="3"/>
  <c r="U6" i="3" s="1"/>
  <c r="AG6" i="3"/>
  <c r="AH6" i="3" s="1"/>
  <c r="C5" i="15"/>
  <c r="AD5" i="3"/>
  <c r="AJ5" i="3" s="1"/>
  <c r="C7" i="3"/>
  <c r="D6" i="15" s="1"/>
  <c r="X8" i="3"/>
  <c r="B8" i="9"/>
  <c r="C8" i="9" s="1"/>
  <c r="M6" i="15"/>
  <c r="AD6" i="15"/>
  <c r="T6" i="12"/>
  <c r="T5" i="6"/>
  <c r="O6" i="6"/>
  <c r="Q6" i="6" s="1"/>
  <c r="T6" i="8"/>
  <c r="T5" i="13"/>
  <c r="O7" i="8"/>
  <c r="Q7" i="8" s="1"/>
  <c r="R7" i="15" s="1"/>
  <c r="T5" i="7"/>
  <c r="O7" i="5"/>
  <c r="Q7" i="5" s="1"/>
  <c r="I7" i="15" s="1"/>
  <c r="O6" i="10"/>
  <c r="Q6" i="10" s="1"/>
  <c r="T6" i="5"/>
  <c r="O7" i="12"/>
  <c r="Q7" i="12" s="1"/>
  <c r="R7" i="3"/>
  <c r="AA7" i="3" s="1"/>
  <c r="AB7" i="3" s="1"/>
  <c r="AI7" i="3" s="1"/>
  <c r="A8" i="6"/>
  <c r="S8" i="9"/>
  <c r="K7" i="15"/>
  <c r="B7" i="6"/>
  <c r="C7" i="6" s="1"/>
  <c r="M7" i="15" s="1"/>
  <c r="T8" i="15"/>
  <c r="AE7" i="15"/>
  <c r="R8" i="14"/>
  <c r="T8" i="14" s="1"/>
  <c r="R7" i="14"/>
  <c r="T5" i="11"/>
  <c r="Q8" i="12"/>
  <c r="AD8" i="15" s="1"/>
  <c r="S7" i="10"/>
  <c r="S8" i="5"/>
  <c r="Q6" i="7"/>
  <c r="O6" i="15" s="1"/>
  <c r="Q6" i="13"/>
  <c r="AG6" i="15" s="1"/>
  <c r="S8" i="8"/>
  <c r="Q7" i="6"/>
  <c r="L7" i="15" s="1"/>
  <c r="Q7" i="14"/>
  <c r="AJ7" i="15" s="1"/>
  <c r="T6" i="14"/>
  <c r="Q6" i="11"/>
  <c r="AA6" i="15" s="1"/>
  <c r="T5" i="10"/>
  <c r="T6" i="9"/>
  <c r="S9" i="14"/>
  <c r="O9" i="14" s="1"/>
  <c r="S7" i="13"/>
  <c r="O7" i="13" s="1"/>
  <c r="S9" i="12"/>
  <c r="O9" i="12" s="1"/>
  <c r="S7" i="11"/>
  <c r="O7" i="11" s="1"/>
  <c r="S9" i="9"/>
  <c r="V7" i="15"/>
  <c r="R7" i="9"/>
  <c r="T7" i="9" s="1"/>
  <c r="S7" i="7"/>
  <c r="H8" i="15"/>
  <c r="A9" i="5"/>
  <c r="B9" i="5" s="1"/>
  <c r="C9" i="5" s="1"/>
  <c r="B8" i="5"/>
  <c r="C8" i="5" s="1"/>
  <c r="J8" i="15" s="1"/>
  <c r="A8" i="10"/>
  <c r="S8" i="10" s="1"/>
  <c r="B9" i="14"/>
  <c r="C9" i="14" s="1"/>
  <c r="R9" i="14" s="1"/>
  <c r="A10" i="14"/>
  <c r="AI9" i="15"/>
  <c r="R6" i="11"/>
  <c r="Y6" i="15"/>
  <c r="AN38" i="3"/>
  <c r="A8" i="11"/>
  <c r="B7" i="11"/>
  <c r="C7" i="11" s="1"/>
  <c r="Z7" i="15"/>
  <c r="W7" i="15"/>
  <c r="B7" i="10"/>
  <c r="C7" i="10" s="1"/>
  <c r="Y7" i="15" s="1"/>
  <c r="P6" i="15"/>
  <c r="B7" i="7"/>
  <c r="C7" i="7" s="1"/>
  <c r="N7" i="15"/>
  <c r="A8" i="7"/>
  <c r="R7" i="5"/>
  <c r="K8" i="15"/>
  <c r="B7" i="15"/>
  <c r="A9" i="3"/>
  <c r="B8" i="3"/>
  <c r="R7" i="6"/>
  <c r="AH6" i="15"/>
  <c r="R6" i="13"/>
  <c r="B8" i="8"/>
  <c r="C8" i="8" s="1"/>
  <c r="A9" i="8"/>
  <c r="Q8" i="15"/>
  <c r="S7" i="15"/>
  <c r="R7" i="8"/>
  <c r="A10" i="9"/>
  <c r="T9" i="15"/>
  <c r="B9" i="9"/>
  <c r="AE8" i="15"/>
  <c r="R8" i="12"/>
  <c r="B7" i="13"/>
  <c r="C7" i="13" s="1"/>
  <c r="AF7" i="15"/>
  <c r="A8" i="13"/>
  <c r="A10" i="12"/>
  <c r="AC9" i="15"/>
  <c r="B9" i="12"/>
  <c r="C9" i="12" s="1"/>
  <c r="U8" i="6"/>
  <c r="V31" i="18"/>
  <c r="U8" i="13"/>
  <c r="T8" i="3" l="1"/>
  <c r="P8" i="3" s="1"/>
  <c r="AL6" i="3"/>
  <c r="AE31" i="18"/>
  <c r="AC31" i="18"/>
  <c r="E31" i="15"/>
  <c r="AD32" i="18"/>
  <c r="AB32" i="18"/>
  <c r="S30" i="18"/>
  <c r="U30" i="18" s="1"/>
  <c r="G29" i="15"/>
  <c r="AA29" i="18"/>
  <c r="AH29" i="18" s="1"/>
  <c r="AK29" i="18" s="1"/>
  <c r="Y31" i="18"/>
  <c r="AD31" i="18" s="1"/>
  <c r="Z30" i="18"/>
  <c r="AA30" i="18" s="1"/>
  <c r="AF30" i="18"/>
  <c r="AG30" i="18" s="1"/>
  <c r="AL5" i="3"/>
  <c r="AM29" i="18"/>
  <c r="A35" i="18"/>
  <c r="A33" i="18"/>
  <c r="X32" i="18"/>
  <c r="W32" i="18"/>
  <c r="T32" i="18" s="1"/>
  <c r="B32" i="18"/>
  <c r="A34" i="18"/>
  <c r="C31" i="18"/>
  <c r="P31" i="18"/>
  <c r="R31" i="18" s="1"/>
  <c r="F30" i="15" s="1"/>
  <c r="Z8" i="3"/>
  <c r="AF8" i="3"/>
  <c r="AK8" i="3" s="1"/>
  <c r="AD8" i="3"/>
  <c r="AJ8" i="3" s="1"/>
  <c r="AG7" i="3"/>
  <c r="AH7" i="3" s="1"/>
  <c r="AL7" i="3" s="1"/>
  <c r="S7" i="3"/>
  <c r="O41" i="3" s="1"/>
  <c r="B43" i="15" s="1"/>
  <c r="AL43" i="15" s="1"/>
  <c r="C8" i="3"/>
  <c r="X9" i="3"/>
  <c r="O38" i="3"/>
  <c r="B42" i="15" s="1"/>
  <c r="AL42" i="15" s="1"/>
  <c r="AN41" i="3"/>
  <c r="B51" i="15" s="1"/>
  <c r="AL51" i="15" s="1"/>
  <c r="X6" i="15"/>
  <c r="T6" i="10"/>
  <c r="AD7" i="15"/>
  <c r="T7" i="12"/>
  <c r="L6" i="15"/>
  <c r="T6" i="6"/>
  <c r="O8" i="8"/>
  <c r="Q8" i="8" s="1"/>
  <c r="O8" i="9"/>
  <c r="Q8" i="9" s="1"/>
  <c r="U8" i="15" s="1"/>
  <c r="O7" i="7"/>
  <c r="Q7" i="7" s="1"/>
  <c r="O7" i="15" s="1"/>
  <c r="O8" i="5"/>
  <c r="Q8" i="5" s="1"/>
  <c r="I8" i="15" s="1"/>
  <c r="T7" i="8"/>
  <c r="O7" i="10"/>
  <c r="Q7" i="10" s="1"/>
  <c r="X7" i="15" s="1"/>
  <c r="O8" i="10"/>
  <c r="Q8" i="10" s="1"/>
  <c r="O9" i="9"/>
  <c r="Q9" i="9" s="1"/>
  <c r="T7" i="5"/>
  <c r="U9" i="5"/>
  <c r="U10" i="12"/>
  <c r="V9" i="3"/>
  <c r="U8" i="11"/>
  <c r="U8" i="10"/>
  <c r="U10" i="9"/>
  <c r="U10" i="14"/>
  <c r="U8" i="7"/>
  <c r="U9" i="8"/>
  <c r="V32" i="18"/>
  <c r="R8" i="3" l="1"/>
  <c r="AA8" i="3" s="1"/>
  <c r="AB8" i="3" s="1"/>
  <c r="AI8" i="3" s="1"/>
  <c r="AJ31" i="18"/>
  <c r="T9" i="3"/>
  <c r="P9" i="3" s="1"/>
  <c r="S31" i="18"/>
  <c r="U31" i="18" s="1"/>
  <c r="G30" i="15"/>
  <c r="E33" i="15"/>
  <c r="AD34" i="18"/>
  <c r="AB34" i="18"/>
  <c r="AA34" i="18"/>
  <c r="AE32" i="18"/>
  <c r="AJ32" i="18" s="1"/>
  <c r="AC32" i="18"/>
  <c r="AI32" i="18" s="1"/>
  <c r="E34" i="15"/>
  <c r="AD35" i="18"/>
  <c r="AB35" i="18"/>
  <c r="AA35" i="18"/>
  <c r="E32" i="15"/>
  <c r="AD33" i="18"/>
  <c r="AB33" i="18"/>
  <c r="AI30" i="18"/>
  <c r="AH30" i="18"/>
  <c r="C32" i="18"/>
  <c r="Y32" i="18"/>
  <c r="X33" i="18"/>
  <c r="C33" i="18"/>
  <c r="G32" i="15" s="1"/>
  <c r="W33" i="18"/>
  <c r="B33" i="18"/>
  <c r="X35" i="18"/>
  <c r="T35" i="18" s="1"/>
  <c r="C35" i="18"/>
  <c r="G34" i="15" s="1"/>
  <c r="W35" i="18"/>
  <c r="B35" i="18"/>
  <c r="AM30" i="18"/>
  <c r="AF31" i="18"/>
  <c r="AG31" i="18" s="1"/>
  <c r="Z31" i="18"/>
  <c r="AB31" i="18" s="1"/>
  <c r="AI31" i="18" s="1"/>
  <c r="X34" i="18"/>
  <c r="C34" i="18"/>
  <c r="G33" i="15" s="1"/>
  <c r="W34" i="18"/>
  <c r="B34" i="18"/>
  <c r="P32" i="18"/>
  <c r="R32" i="18" s="1"/>
  <c r="F31" i="15" s="1"/>
  <c r="Z9" i="3"/>
  <c r="AE9" i="3" s="1"/>
  <c r="U7" i="3"/>
  <c r="AG8" i="3"/>
  <c r="AH8" i="3" s="1"/>
  <c r="C6" i="15"/>
  <c r="B8" i="6"/>
  <c r="C8" i="6" s="1"/>
  <c r="M8" i="15" s="1"/>
  <c r="A9" i="6"/>
  <c r="A10" i="6" s="1"/>
  <c r="S8" i="6"/>
  <c r="T8" i="12"/>
  <c r="R8" i="5"/>
  <c r="T8" i="5" s="1"/>
  <c r="A10" i="5"/>
  <c r="B10" i="5" s="1"/>
  <c r="C10" i="5" s="1"/>
  <c r="H9" i="15"/>
  <c r="T6" i="7"/>
  <c r="T6" i="11"/>
  <c r="S9" i="8"/>
  <c r="A11" i="14"/>
  <c r="A12" i="14" s="1"/>
  <c r="Q9" i="12"/>
  <c r="AD9" i="15" s="1"/>
  <c r="T7" i="14"/>
  <c r="W8" i="15"/>
  <c r="T7" i="6"/>
  <c r="U9" i="15"/>
  <c r="Q9" i="14"/>
  <c r="AJ9" i="15" s="1"/>
  <c r="Q7" i="13"/>
  <c r="AG7" i="15" s="1"/>
  <c r="Q7" i="11"/>
  <c r="AA7" i="15" s="1"/>
  <c r="S10" i="14"/>
  <c r="S8" i="13"/>
  <c r="S10" i="12"/>
  <c r="S8" i="11"/>
  <c r="O8" i="11" s="1"/>
  <c r="B8" i="10"/>
  <c r="C8" i="10" s="1"/>
  <c r="R8" i="10" s="1"/>
  <c r="A9" i="10"/>
  <c r="W9" i="15" s="1"/>
  <c r="S10" i="9"/>
  <c r="V8" i="15"/>
  <c r="R8" i="9"/>
  <c r="T8" i="9" s="1"/>
  <c r="S8" i="7"/>
  <c r="S9" i="5"/>
  <c r="O9" i="5" s="1"/>
  <c r="X8" i="15"/>
  <c r="AK9" i="15"/>
  <c r="AI10" i="15"/>
  <c r="B10" i="14"/>
  <c r="C10" i="14" s="1"/>
  <c r="R10" i="14" s="1"/>
  <c r="AB7" i="15"/>
  <c r="R7" i="11"/>
  <c r="Z8" i="15"/>
  <c r="A9" i="11"/>
  <c r="B8" i="11"/>
  <c r="C8" i="11" s="1"/>
  <c r="R7" i="10"/>
  <c r="T7" i="10" s="1"/>
  <c r="A9" i="7"/>
  <c r="B8" i="7"/>
  <c r="C8" i="7" s="1"/>
  <c r="N8" i="15"/>
  <c r="P7" i="15"/>
  <c r="R7" i="7"/>
  <c r="T7" i="7" s="1"/>
  <c r="J9" i="15"/>
  <c r="R9" i="5"/>
  <c r="AE9" i="15"/>
  <c r="R9" i="12"/>
  <c r="B9" i="8"/>
  <c r="C9" i="8" s="1"/>
  <c r="A10" i="8"/>
  <c r="Q9" i="15"/>
  <c r="S8" i="15"/>
  <c r="R8" i="8"/>
  <c r="D7" i="15"/>
  <c r="S8" i="3"/>
  <c r="AC10" i="15"/>
  <c r="A11" i="12"/>
  <c r="B10" i="12"/>
  <c r="C10" i="12" s="1"/>
  <c r="R8" i="15"/>
  <c r="B8" i="15"/>
  <c r="A10" i="3"/>
  <c r="B9" i="3"/>
  <c r="B9" i="6"/>
  <c r="C9" i="6" s="1"/>
  <c r="K9" i="15"/>
  <c r="C9" i="9"/>
  <c r="T6" i="13"/>
  <c r="AH7" i="15"/>
  <c r="R7" i="13"/>
  <c r="A9" i="13"/>
  <c r="B8" i="13"/>
  <c r="C8" i="13" s="1"/>
  <c r="AF8" i="15"/>
  <c r="B10" i="9"/>
  <c r="A11" i="9"/>
  <c r="T10" i="15"/>
  <c r="V34" i="18"/>
  <c r="V35" i="18"/>
  <c r="U11" i="14"/>
  <c r="U9" i="13"/>
  <c r="U11" i="12"/>
  <c r="U10" i="8"/>
  <c r="U9" i="6"/>
  <c r="U10" i="5"/>
  <c r="V33" i="18"/>
  <c r="U12" i="14"/>
  <c r="U10" i="6"/>
  <c r="U9" i="11"/>
  <c r="U11" i="9"/>
  <c r="U9" i="7"/>
  <c r="U9" i="10"/>
  <c r="AL8" i="3" l="1"/>
  <c r="T34" i="18"/>
  <c r="P34" i="18" s="1"/>
  <c r="R34" i="18" s="1"/>
  <c r="F33" i="15" s="1"/>
  <c r="T33" i="18"/>
  <c r="AE34" i="18"/>
  <c r="AC34" i="18"/>
  <c r="S32" i="18"/>
  <c r="U32" i="18" s="1"/>
  <c r="G31" i="15"/>
  <c r="AK30" i="18"/>
  <c r="AC35" i="18"/>
  <c r="AI35" i="18" s="1"/>
  <c r="AE35" i="18"/>
  <c r="AJ35" i="18" s="1"/>
  <c r="AA31" i="18"/>
  <c r="AH31" i="18" s="1"/>
  <c r="AK31" i="18" s="1"/>
  <c r="Y34" i="18"/>
  <c r="AM31" i="18"/>
  <c r="Y35" i="18"/>
  <c r="Z32" i="18"/>
  <c r="AF32" i="18"/>
  <c r="AG32" i="18" s="1"/>
  <c r="S34" i="18"/>
  <c r="P35" i="18"/>
  <c r="R35" i="18" s="1"/>
  <c r="F34" i="15" s="1"/>
  <c r="S35" i="18"/>
  <c r="S9" i="6"/>
  <c r="O9" i="6" s="1"/>
  <c r="Q9" i="6" s="1"/>
  <c r="AE33" i="18"/>
  <c r="AJ33" i="18" s="1"/>
  <c r="AC33" i="18"/>
  <c r="AI33" i="18" s="1"/>
  <c r="Y33" i="18"/>
  <c r="P33" i="18"/>
  <c r="R33" i="18" s="1"/>
  <c r="F32" i="15" s="1"/>
  <c r="S33" i="18"/>
  <c r="AF9" i="3"/>
  <c r="AK9" i="3" s="1"/>
  <c r="AD9" i="3"/>
  <c r="AC10" i="3"/>
  <c r="AE10" i="3"/>
  <c r="C9" i="3"/>
  <c r="X10" i="3"/>
  <c r="C7" i="15"/>
  <c r="U8" i="3"/>
  <c r="R8" i="6"/>
  <c r="B11" i="14"/>
  <c r="C11" i="14" s="1"/>
  <c r="O8" i="7"/>
  <c r="Q8" i="7" s="1"/>
  <c r="O8" i="13"/>
  <c r="Q8" i="13" s="1"/>
  <c r="O10" i="14"/>
  <c r="Q10" i="14" s="1"/>
  <c r="O10" i="9"/>
  <c r="Q10" i="9" s="1"/>
  <c r="O8" i="6"/>
  <c r="Q8" i="6" s="1"/>
  <c r="L8" i="15" s="1"/>
  <c r="O9" i="8"/>
  <c r="Q9" i="8" s="1"/>
  <c r="O10" i="12"/>
  <c r="Q10" i="12" s="1"/>
  <c r="R9" i="3"/>
  <c r="AA9" i="3" s="1"/>
  <c r="V10" i="3"/>
  <c r="T10" i="3" l="1"/>
  <c r="P10" i="3" s="1"/>
  <c r="AC9" i="3"/>
  <c r="AJ9" i="3" s="1"/>
  <c r="AB9" i="3"/>
  <c r="AI9" i="3" s="1"/>
  <c r="AA32" i="18"/>
  <c r="AH32" i="18" s="1"/>
  <c r="AK32" i="18" s="1"/>
  <c r="AJ34" i="18"/>
  <c r="AP34" i="18" s="1"/>
  <c r="AM32" i="18"/>
  <c r="AF35" i="18"/>
  <c r="AG35" i="18" s="1"/>
  <c r="Z35" i="18"/>
  <c r="AH35" i="18" s="1"/>
  <c r="O42" i="18"/>
  <c r="F40" i="18"/>
  <c r="E36" i="15" s="1"/>
  <c r="U35" i="18"/>
  <c r="AF33" i="18"/>
  <c r="AG33" i="18" s="1"/>
  <c r="Z33" i="18"/>
  <c r="AA33" i="18" s="1"/>
  <c r="U33" i="18"/>
  <c r="F39" i="18"/>
  <c r="E35" i="15" s="1"/>
  <c r="Z34" i="18"/>
  <c r="AF34" i="18"/>
  <c r="AG34" i="18" s="1"/>
  <c r="U34" i="18"/>
  <c r="Z10" i="3"/>
  <c r="AG9" i="3"/>
  <c r="AH9" i="3" s="1"/>
  <c r="A10" i="10"/>
  <c r="B10" i="10" s="1"/>
  <c r="C10" i="10" s="1"/>
  <c r="B9" i="10"/>
  <c r="C9" i="10" s="1"/>
  <c r="Y9" i="15" s="1"/>
  <c r="H10" i="15"/>
  <c r="A11" i="5"/>
  <c r="B11" i="5" s="1"/>
  <c r="C11" i="5" s="1"/>
  <c r="S10" i="5"/>
  <c r="Y8" i="15"/>
  <c r="T7" i="11"/>
  <c r="S10" i="8"/>
  <c r="Q9" i="5"/>
  <c r="I9" i="15" s="1"/>
  <c r="O8" i="15"/>
  <c r="T9" i="14"/>
  <c r="AI11" i="15"/>
  <c r="S11" i="14"/>
  <c r="O11" i="14" s="1"/>
  <c r="AJ10" i="15"/>
  <c r="T7" i="13"/>
  <c r="Q8" i="11"/>
  <c r="AA8" i="15" s="1"/>
  <c r="S12" i="14"/>
  <c r="T10" i="14"/>
  <c r="S9" i="13"/>
  <c r="S11" i="12"/>
  <c r="S9" i="11"/>
  <c r="O9" i="11" s="1"/>
  <c r="S9" i="10"/>
  <c r="O9" i="10" s="1"/>
  <c r="V9" i="15"/>
  <c r="R9" i="9"/>
  <c r="T9" i="9" s="1"/>
  <c r="S11" i="9"/>
  <c r="O11" i="9" s="1"/>
  <c r="S9" i="7"/>
  <c r="S10" i="6"/>
  <c r="O10" i="6" s="1"/>
  <c r="T8" i="10"/>
  <c r="AK10" i="15"/>
  <c r="R8" i="11"/>
  <c r="AB8" i="15"/>
  <c r="A10" i="11"/>
  <c r="Z9" i="15"/>
  <c r="B9" i="11"/>
  <c r="C9" i="11" s="1"/>
  <c r="R8" i="7"/>
  <c r="T8" i="7" s="1"/>
  <c r="P8" i="15"/>
  <c r="N9" i="15"/>
  <c r="B9" i="7"/>
  <c r="C9" i="7" s="1"/>
  <c r="A10" i="7"/>
  <c r="Q10" i="15"/>
  <c r="A11" i="8"/>
  <c r="B10" i="8"/>
  <c r="C10" i="8" s="1"/>
  <c r="R9" i="15"/>
  <c r="S9" i="15"/>
  <c r="R9" i="8"/>
  <c r="T9" i="8" s="1"/>
  <c r="T11" i="15"/>
  <c r="B11" i="9"/>
  <c r="A12" i="9"/>
  <c r="K10" i="15"/>
  <c r="B10" i="6"/>
  <c r="C10" i="6" s="1"/>
  <c r="A11" i="6"/>
  <c r="AE10" i="15"/>
  <c r="R10" i="12"/>
  <c r="T10" i="12" s="1"/>
  <c r="J10" i="15"/>
  <c r="R10" i="5"/>
  <c r="T8" i="6"/>
  <c r="D8" i="15"/>
  <c r="S9" i="3"/>
  <c r="B10" i="3"/>
  <c r="B9" i="15"/>
  <c r="A11" i="3"/>
  <c r="T9" i="12"/>
  <c r="L9" i="15"/>
  <c r="M9" i="15"/>
  <c r="R9" i="6"/>
  <c r="T9" i="6" s="1"/>
  <c r="U10" i="15"/>
  <c r="C10" i="9"/>
  <c r="B11" i="12"/>
  <c r="C11" i="12" s="1"/>
  <c r="A12" i="12"/>
  <c r="AC11" i="15"/>
  <c r="AD10" i="15"/>
  <c r="AK11" i="15"/>
  <c r="R11" i="14"/>
  <c r="AH8" i="15"/>
  <c r="R8" i="13"/>
  <c r="T8" i="13" s="1"/>
  <c r="B12" i="14"/>
  <c r="C12" i="14" s="1"/>
  <c r="A13" i="14"/>
  <c r="AI12" i="15"/>
  <c r="B9" i="13"/>
  <c r="C9" i="13" s="1"/>
  <c r="A10" i="13"/>
  <c r="AF9" i="15"/>
  <c r="AG8" i="15"/>
  <c r="T8" i="8"/>
  <c r="U11" i="5"/>
  <c r="U13" i="14"/>
  <c r="U12" i="9"/>
  <c r="U10" i="7"/>
  <c r="U10" i="11"/>
  <c r="U11" i="6"/>
  <c r="U10" i="13"/>
  <c r="U12" i="12"/>
  <c r="U11" i="8"/>
  <c r="U10" i="10"/>
  <c r="AM33" i="18" l="1"/>
  <c r="AL9" i="3"/>
  <c r="AH34" i="18"/>
  <c r="AI34" i="18"/>
  <c r="AP33" i="18" s="1"/>
  <c r="AH33" i="18"/>
  <c r="AM34" i="18"/>
  <c r="AK35" i="18"/>
  <c r="AP31" i="18"/>
  <c r="AM35" i="18"/>
  <c r="F42" i="18"/>
  <c r="AE11" i="3"/>
  <c r="AC11" i="3"/>
  <c r="AD10" i="3"/>
  <c r="AJ10" i="3" s="1"/>
  <c r="AF10" i="3"/>
  <c r="AK10" i="3" s="1"/>
  <c r="C10" i="3"/>
  <c r="X11" i="3"/>
  <c r="C8" i="15"/>
  <c r="U9" i="3"/>
  <c r="O11" i="12"/>
  <c r="Q11" i="12" s="1"/>
  <c r="O9" i="13"/>
  <c r="Q9" i="13" s="1"/>
  <c r="O10" i="5"/>
  <c r="Q10" i="5" s="1"/>
  <c r="I10" i="15" s="1"/>
  <c r="O9" i="7"/>
  <c r="Q9" i="7" s="1"/>
  <c r="O12" i="14"/>
  <c r="Q12" i="14" s="1"/>
  <c r="O10" i="8"/>
  <c r="Q10" i="8" s="1"/>
  <c r="R10" i="3"/>
  <c r="AA10" i="3" s="1"/>
  <c r="AB10" i="3" s="1"/>
  <c r="AI10" i="3" s="1"/>
  <c r="V11" i="3"/>
  <c r="T11" i="3" l="1"/>
  <c r="P11" i="3" s="1"/>
  <c r="AK34" i="18"/>
  <c r="AP32" i="18"/>
  <c r="AP35" i="18" s="1"/>
  <c r="AK33" i="18"/>
  <c r="Z11" i="3"/>
  <c r="AG10" i="3"/>
  <c r="AH10" i="3" s="1"/>
  <c r="AL10" i="3" s="1"/>
  <c r="A11" i="10"/>
  <c r="A12" i="10" s="1"/>
  <c r="A12" i="5"/>
  <c r="S12" i="5" s="1"/>
  <c r="O12" i="5" s="1"/>
  <c r="T10" i="5"/>
  <c r="S10" i="10"/>
  <c r="W10" i="15"/>
  <c r="R9" i="10"/>
  <c r="S11" i="5"/>
  <c r="H11" i="15"/>
  <c r="T8" i="11"/>
  <c r="S11" i="8"/>
  <c r="T9" i="5"/>
  <c r="Q11" i="14"/>
  <c r="T11" i="14" s="1"/>
  <c r="O9" i="15"/>
  <c r="Q10" i="6"/>
  <c r="L10" i="15" s="1"/>
  <c r="Q9" i="11"/>
  <c r="AA9" i="15" s="1"/>
  <c r="Q9" i="10"/>
  <c r="X9" i="15" s="1"/>
  <c r="Q11" i="9"/>
  <c r="U11" i="15" s="1"/>
  <c r="S13" i="14"/>
  <c r="O13" i="14" s="1"/>
  <c r="S10" i="13"/>
  <c r="S12" i="12"/>
  <c r="S10" i="11"/>
  <c r="V10" i="15"/>
  <c r="R10" i="9"/>
  <c r="T10" i="9" s="1"/>
  <c r="S12" i="9"/>
  <c r="S10" i="7"/>
  <c r="S11" i="6"/>
  <c r="R9" i="11"/>
  <c r="AB9" i="15"/>
  <c r="B10" i="11"/>
  <c r="C10" i="11" s="1"/>
  <c r="Z10" i="15"/>
  <c r="A11" i="11"/>
  <c r="N10" i="15"/>
  <c r="B10" i="7"/>
  <c r="C10" i="7" s="1"/>
  <c r="A11" i="7"/>
  <c r="P9" i="15"/>
  <c r="R9" i="7"/>
  <c r="T9" i="7" s="1"/>
  <c r="S10" i="15"/>
  <c r="R10" i="8"/>
  <c r="T10" i="8" s="1"/>
  <c r="C11" i="9"/>
  <c r="A12" i="6"/>
  <c r="B11" i="6"/>
  <c r="C11" i="6" s="1"/>
  <c r="K11" i="15"/>
  <c r="M10" i="15"/>
  <c r="R10" i="6"/>
  <c r="A12" i="8"/>
  <c r="Q11" i="15"/>
  <c r="B11" i="8"/>
  <c r="C11" i="8" s="1"/>
  <c r="R10" i="15"/>
  <c r="Y10" i="15"/>
  <c r="R10" i="10"/>
  <c r="B12" i="9"/>
  <c r="A13" i="9"/>
  <c r="T12" i="15"/>
  <c r="AD11" i="15"/>
  <c r="AF10" i="15"/>
  <c r="A11" i="13"/>
  <c r="B10" i="13"/>
  <c r="C10" i="13" s="1"/>
  <c r="B12" i="12"/>
  <c r="C12" i="12" s="1"/>
  <c r="A13" i="12"/>
  <c r="AC12" i="15"/>
  <c r="AG9" i="15"/>
  <c r="AE11" i="15"/>
  <c r="R11" i="12"/>
  <c r="T11" i="12" s="1"/>
  <c r="B11" i="3"/>
  <c r="A12" i="3"/>
  <c r="B10" i="15"/>
  <c r="AH9" i="15"/>
  <c r="R9" i="13"/>
  <c r="T9" i="13" s="1"/>
  <c r="AJ12" i="15"/>
  <c r="A14" i="14"/>
  <c r="AI13" i="15"/>
  <c r="B13" i="14"/>
  <c r="C13" i="14" s="1"/>
  <c r="D9" i="15"/>
  <c r="S10" i="3"/>
  <c r="B12" i="5"/>
  <c r="C12" i="5" s="1"/>
  <c r="AK12" i="15"/>
  <c r="R12" i="14"/>
  <c r="T12" i="14" s="1"/>
  <c r="J11" i="15"/>
  <c r="R11" i="5"/>
  <c r="U11" i="7"/>
  <c r="U11" i="11"/>
  <c r="U13" i="12"/>
  <c r="U12" i="5"/>
  <c r="U11" i="13"/>
  <c r="U12" i="6"/>
  <c r="U11" i="10"/>
  <c r="U14" i="14"/>
  <c r="U12" i="8"/>
  <c r="U12" i="10"/>
  <c r="AE12" i="3" l="1"/>
  <c r="AC12" i="3"/>
  <c r="AF11" i="3"/>
  <c r="AK11" i="3" s="1"/>
  <c r="AD11" i="3"/>
  <c r="AJ11" i="3" s="1"/>
  <c r="C11" i="3"/>
  <c r="X12" i="3"/>
  <c r="C9" i="15"/>
  <c r="U10" i="3"/>
  <c r="O10" i="11"/>
  <c r="Q10" i="11" s="1"/>
  <c r="O11" i="5"/>
  <c r="Q11" i="5" s="1"/>
  <c r="O12" i="12"/>
  <c r="Q12" i="12" s="1"/>
  <c r="O10" i="13"/>
  <c r="Q10" i="13" s="1"/>
  <c r="O11" i="6"/>
  <c r="Q11" i="6" s="1"/>
  <c r="O10" i="10"/>
  <c r="Q10" i="10" s="1"/>
  <c r="X10" i="15" s="1"/>
  <c r="O10" i="7"/>
  <c r="Q10" i="7" s="1"/>
  <c r="O12" i="9"/>
  <c r="Q12" i="9" s="1"/>
  <c r="O11" i="8"/>
  <c r="Q11" i="8" s="1"/>
  <c r="R11" i="3"/>
  <c r="AA11" i="3" s="1"/>
  <c r="AB11" i="3" s="1"/>
  <c r="AI11" i="3" s="1"/>
  <c r="U13" i="9"/>
  <c r="V12" i="3"/>
  <c r="T12" i="3" l="1"/>
  <c r="P12" i="3" s="1"/>
  <c r="Z12" i="3"/>
  <c r="AG11" i="3"/>
  <c r="AH11" i="3" s="1"/>
  <c r="AL11" i="3" s="1"/>
  <c r="I11" i="15"/>
  <c r="T11" i="5"/>
  <c r="A13" i="5"/>
  <c r="A14" i="5" s="1"/>
  <c r="B11" i="10"/>
  <c r="C11" i="10" s="1"/>
  <c r="Y11" i="15" s="1"/>
  <c r="S11" i="10"/>
  <c r="W11" i="15"/>
  <c r="H12" i="15"/>
  <c r="T10" i="6"/>
  <c r="AJ11" i="15"/>
  <c r="T9" i="10"/>
  <c r="S12" i="8"/>
  <c r="AA10" i="15"/>
  <c r="Q12" i="5"/>
  <c r="I12" i="15" s="1"/>
  <c r="O10" i="15"/>
  <c r="Q13" i="14"/>
  <c r="AJ13" i="15" s="1"/>
  <c r="T9" i="11"/>
  <c r="S14" i="14"/>
  <c r="S11" i="13"/>
  <c r="S13" i="12"/>
  <c r="S11" i="11"/>
  <c r="O11" i="11" s="1"/>
  <c r="S12" i="10"/>
  <c r="V11" i="15"/>
  <c r="R11" i="9"/>
  <c r="T11" i="9" s="1"/>
  <c r="S13" i="9"/>
  <c r="O13" i="9" s="1"/>
  <c r="S11" i="7"/>
  <c r="S12" i="6"/>
  <c r="O12" i="6" s="1"/>
  <c r="B11" i="11"/>
  <c r="C11" i="11" s="1"/>
  <c r="Z11" i="15"/>
  <c r="A12" i="11"/>
  <c r="AB10" i="15"/>
  <c r="R10" i="11"/>
  <c r="T10" i="11" s="1"/>
  <c r="B11" i="7"/>
  <c r="C11" i="7" s="1"/>
  <c r="A12" i="7"/>
  <c r="N11" i="15"/>
  <c r="R10" i="7"/>
  <c r="T10" i="7" s="1"/>
  <c r="P10" i="15"/>
  <c r="S11" i="15"/>
  <c r="R11" i="8"/>
  <c r="A14" i="12"/>
  <c r="B13" i="12"/>
  <c r="C13" i="12" s="1"/>
  <c r="AC13" i="15"/>
  <c r="AE12" i="15"/>
  <c r="R12" i="12"/>
  <c r="L11" i="15"/>
  <c r="AH10" i="15"/>
  <c r="R10" i="13"/>
  <c r="T10" i="13" s="1"/>
  <c r="AG10" i="15"/>
  <c r="J12" i="15"/>
  <c r="R12" i="5"/>
  <c r="B12" i="3"/>
  <c r="A13" i="3"/>
  <c r="B11" i="15"/>
  <c r="A13" i="10"/>
  <c r="B12" i="10"/>
  <c r="C12" i="10" s="1"/>
  <c r="W12" i="15"/>
  <c r="D10" i="15"/>
  <c r="S11" i="3"/>
  <c r="A14" i="9"/>
  <c r="T13" i="15"/>
  <c r="B13" i="9"/>
  <c r="U12" i="15"/>
  <c r="C12" i="9"/>
  <c r="R11" i="15"/>
  <c r="B12" i="8"/>
  <c r="C12" i="8" s="1"/>
  <c r="A13" i="8"/>
  <c r="Q12" i="15"/>
  <c r="AK13" i="15"/>
  <c r="R13" i="14"/>
  <c r="A12" i="13"/>
  <c r="B11" i="13"/>
  <c r="C11" i="13" s="1"/>
  <c r="AF11" i="15"/>
  <c r="T10" i="10"/>
  <c r="AI14" i="15"/>
  <c r="B14" i="14"/>
  <c r="C14" i="14" s="1"/>
  <c r="A15" i="14"/>
  <c r="AD12" i="15"/>
  <c r="M11" i="15"/>
  <c r="R11" i="6"/>
  <c r="A13" i="6"/>
  <c r="K12" i="15"/>
  <c r="B12" i="6"/>
  <c r="C12" i="6" s="1"/>
  <c r="B13" i="5" l="1"/>
  <c r="C13" i="5" s="1"/>
  <c r="AD12" i="3"/>
  <c r="AJ12" i="3" s="1"/>
  <c r="AF12" i="3"/>
  <c r="AK12" i="3" s="1"/>
  <c r="C12" i="3"/>
  <c r="X13" i="3"/>
  <c r="T13" i="3" s="1"/>
  <c r="P13" i="3" s="1"/>
  <c r="C10" i="15"/>
  <c r="U11" i="3"/>
  <c r="H13" i="15"/>
  <c r="S13" i="5"/>
  <c r="O13" i="5" s="1"/>
  <c r="O12" i="10"/>
  <c r="Q12" i="10" s="1"/>
  <c r="O13" i="12"/>
  <c r="Q13" i="12" s="1"/>
  <c r="AD13" i="15" s="1"/>
  <c r="O11" i="10"/>
  <c r="Q11" i="10" s="1"/>
  <c r="X11" i="15" s="1"/>
  <c r="O11" i="13"/>
  <c r="Q11" i="13" s="1"/>
  <c r="AG11" i="15" s="1"/>
  <c r="O12" i="8"/>
  <c r="Q12" i="8" s="1"/>
  <c r="O11" i="7"/>
  <c r="Q11" i="7" s="1"/>
  <c r="O14" i="14"/>
  <c r="Q14" i="14" s="1"/>
  <c r="R12" i="3"/>
  <c r="AA12" i="3" s="1"/>
  <c r="AB12" i="3" s="1"/>
  <c r="AI12" i="3" s="1"/>
  <c r="U12" i="11"/>
  <c r="U12" i="13"/>
  <c r="U12" i="7"/>
  <c r="U14" i="9"/>
  <c r="U13" i="8"/>
  <c r="V13" i="3"/>
  <c r="U13" i="10"/>
  <c r="U14" i="12"/>
  <c r="U15" i="14"/>
  <c r="U13" i="5"/>
  <c r="U13" i="6"/>
  <c r="U14" i="5"/>
  <c r="Z13" i="3" l="1"/>
  <c r="AE13" i="3" s="1"/>
  <c r="AG12" i="3"/>
  <c r="AH12" i="3" s="1"/>
  <c r="AL12" i="3" s="1"/>
  <c r="R11" i="10"/>
  <c r="T11" i="10" s="1"/>
  <c r="T12" i="5"/>
  <c r="T13" i="14"/>
  <c r="Q11" i="11"/>
  <c r="AA11" i="15" s="1"/>
  <c r="S13" i="8"/>
  <c r="O11" i="15"/>
  <c r="Q12" i="6"/>
  <c r="L12" i="15" s="1"/>
  <c r="Q13" i="5"/>
  <c r="I13" i="15" s="1"/>
  <c r="Q13" i="9"/>
  <c r="U13" i="15" s="1"/>
  <c r="S15" i="14"/>
  <c r="O15" i="14" s="1"/>
  <c r="S12" i="13"/>
  <c r="S14" i="12"/>
  <c r="O14" i="12" s="1"/>
  <c r="S12" i="11"/>
  <c r="O12" i="11" s="1"/>
  <c r="S13" i="10"/>
  <c r="V12" i="15"/>
  <c r="R12" i="9"/>
  <c r="T12" i="9" s="1"/>
  <c r="S14" i="9"/>
  <c r="O14" i="9" s="1"/>
  <c r="S12" i="7"/>
  <c r="S13" i="6"/>
  <c r="O13" i="6" s="1"/>
  <c r="S14" i="5"/>
  <c r="A13" i="11"/>
  <c r="Z12" i="15"/>
  <c r="B12" i="11"/>
  <c r="C12" i="11" s="1"/>
  <c r="AB11" i="15"/>
  <c r="R11" i="11"/>
  <c r="A13" i="7"/>
  <c r="N12" i="15"/>
  <c r="B12" i="7"/>
  <c r="C12" i="7" s="1"/>
  <c r="P11" i="15"/>
  <c r="R11" i="7"/>
  <c r="T11" i="7" s="1"/>
  <c r="AH11" i="15"/>
  <c r="R11" i="13"/>
  <c r="T11" i="13" s="1"/>
  <c r="A13" i="13"/>
  <c r="AF12" i="15"/>
  <c r="B12" i="13"/>
  <c r="C12" i="13" s="1"/>
  <c r="B14" i="9"/>
  <c r="A15" i="9"/>
  <c r="T14" i="15"/>
  <c r="A15" i="12"/>
  <c r="AC14" i="15"/>
  <c r="B14" i="12"/>
  <c r="C14" i="12" s="1"/>
  <c r="A14" i="6"/>
  <c r="K13" i="15"/>
  <c r="B13" i="6"/>
  <c r="C13" i="6" s="1"/>
  <c r="T11" i="6"/>
  <c r="B13" i="8"/>
  <c r="C13" i="8" s="1"/>
  <c r="A14" i="8"/>
  <c r="Q13" i="15"/>
  <c r="S12" i="15"/>
  <c r="R12" i="8"/>
  <c r="T12" i="8" s="1"/>
  <c r="R12" i="15"/>
  <c r="Y12" i="15"/>
  <c r="R12" i="10"/>
  <c r="T12" i="10" s="1"/>
  <c r="AI15" i="15"/>
  <c r="A16" i="14"/>
  <c r="B15" i="14"/>
  <c r="C15" i="14" s="1"/>
  <c r="X12" i="15"/>
  <c r="AK14" i="15"/>
  <c r="R14" i="14"/>
  <c r="T14" i="14" s="1"/>
  <c r="A14" i="10"/>
  <c r="B13" i="10"/>
  <c r="C13" i="10" s="1"/>
  <c r="W13" i="15"/>
  <c r="AJ14" i="15"/>
  <c r="C13" i="9"/>
  <c r="B13" i="3"/>
  <c r="A14" i="3"/>
  <c r="B12" i="15"/>
  <c r="S12" i="3"/>
  <c r="D11" i="15"/>
  <c r="T12" i="12"/>
  <c r="AE13" i="15"/>
  <c r="R13" i="12"/>
  <c r="T13" i="12" s="1"/>
  <c r="J13" i="15"/>
  <c r="R13" i="5"/>
  <c r="T11" i="8"/>
  <c r="B14" i="5"/>
  <c r="C14" i="5" s="1"/>
  <c r="A15" i="5"/>
  <c r="H14" i="15"/>
  <c r="M12" i="15"/>
  <c r="R12" i="6"/>
  <c r="U15" i="12"/>
  <c r="U14" i="8"/>
  <c r="U14" i="10"/>
  <c r="U15" i="9"/>
  <c r="U13" i="7"/>
  <c r="AE14" i="3" l="1"/>
  <c r="AC14" i="3"/>
  <c r="AF13" i="3"/>
  <c r="AK13" i="3" s="1"/>
  <c r="AD13" i="3"/>
  <c r="C13" i="3"/>
  <c r="X14" i="3"/>
  <c r="C11" i="15"/>
  <c r="U12" i="3"/>
  <c r="O13" i="10"/>
  <c r="Q13" i="10" s="1"/>
  <c r="O13" i="8"/>
  <c r="Q13" i="8" s="1"/>
  <c r="R13" i="15" s="1"/>
  <c r="O14" i="5"/>
  <c r="Q14" i="5" s="1"/>
  <c r="O12" i="13"/>
  <c r="Q12" i="13" s="1"/>
  <c r="AG12" i="15" s="1"/>
  <c r="O12" i="7"/>
  <c r="Q12" i="7" s="1"/>
  <c r="O12" i="15" s="1"/>
  <c r="R13" i="3"/>
  <c r="AA13" i="3" s="1"/>
  <c r="U15" i="5"/>
  <c r="V14" i="3"/>
  <c r="U14" i="6"/>
  <c r="U16" i="14"/>
  <c r="U13" i="11"/>
  <c r="U13" i="13"/>
  <c r="T14" i="3" l="1"/>
  <c r="P14" i="3" s="1"/>
  <c r="AB13" i="3"/>
  <c r="AI13" i="3" s="1"/>
  <c r="AC13" i="3"/>
  <c r="AJ13" i="3" s="1"/>
  <c r="Z14" i="3"/>
  <c r="AG13" i="3"/>
  <c r="AH13" i="3" s="1"/>
  <c r="T11" i="11"/>
  <c r="T13" i="5"/>
  <c r="T12" i="6"/>
  <c r="I14" i="15"/>
  <c r="S14" i="8"/>
  <c r="X13" i="15"/>
  <c r="Q13" i="6"/>
  <c r="L13" i="15" s="1"/>
  <c r="Q15" i="14"/>
  <c r="AJ15" i="15" s="1"/>
  <c r="Q14" i="12"/>
  <c r="AD14" i="15" s="1"/>
  <c r="Q12" i="11"/>
  <c r="AA12" i="15" s="1"/>
  <c r="Q14" i="9"/>
  <c r="U14" i="15" s="1"/>
  <c r="S16" i="14"/>
  <c r="O16" i="14" s="1"/>
  <c r="S13" i="13"/>
  <c r="S15" i="12"/>
  <c r="S13" i="11"/>
  <c r="S14" i="10"/>
  <c r="O14" i="10" s="1"/>
  <c r="V13" i="15"/>
  <c r="R13" i="9"/>
  <c r="T13" i="9" s="1"/>
  <c r="S15" i="9"/>
  <c r="O15" i="9" s="1"/>
  <c r="S13" i="7"/>
  <c r="O13" i="7" s="1"/>
  <c r="S14" i="6"/>
  <c r="S15" i="5"/>
  <c r="AB12" i="15"/>
  <c r="R12" i="11"/>
  <c r="Z13" i="15"/>
  <c r="A14" i="11"/>
  <c r="B13" i="11"/>
  <c r="C13" i="11" s="1"/>
  <c r="P12" i="15"/>
  <c r="R12" i="7"/>
  <c r="T12" i="7" s="1"/>
  <c r="A14" i="7"/>
  <c r="N13" i="15"/>
  <c r="B13" i="7"/>
  <c r="C13" i="7" s="1"/>
  <c r="A15" i="3"/>
  <c r="B13" i="15"/>
  <c r="B14" i="3"/>
  <c r="S13" i="15"/>
  <c r="R13" i="8"/>
  <c r="T13" i="8" s="1"/>
  <c r="M13" i="15"/>
  <c r="R13" i="6"/>
  <c r="B15" i="5"/>
  <c r="C15" i="5" s="1"/>
  <c r="A16" i="5"/>
  <c r="H15" i="15"/>
  <c r="J14" i="15"/>
  <c r="R14" i="5"/>
  <c r="T14" i="5" s="1"/>
  <c r="Y13" i="15"/>
  <c r="R13" i="10"/>
  <c r="T13" i="10" s="1"/>
  <c r="B14" i="6"/>
  <c r="C14" i="6" s="1"/>
  <c r="A15" i="6"/>
  <c r="K14" i="15"/>
  <c r="W14" i="15"/>
  <c r="B14" i="10"/>
  <c r="C14" i="10" s="1"/>
  <c r="A15" i="10"/>
  <c r="AE14" i="15"/>
  <c r="R14" i="12"/>
  <c r="A16" i="12"/>
  <c r="B15" i="12"/>
  <c r="C15" i="12" s="1"/>
  <c r="AC15" i="15"/>
  <c r="AK15" i="15"/>
  <c r="R15" i="14"/>
  <c r="AI16" i="15"/>
  <c r="A17" i="14"/>
  <c r="B16" i="14"/>
  <c r="C16" i="14" s="1"/>
  <c r="AH12" i="15"/>
  <c r="R12" i="13"/>
  <c r="T12" i="13" s="1"/>
  <c r="D12" i="15"/>
  <c r="S13" i="3"/>
  <c r="A16" i="9"/>
  <c r="B15" i="9"/>
  <c r="T15" i="15"/>
  <c r="C14" i="9"/>
  <c r="B14" i="8"/>
  <c r="C14" i="8" s="1"/>
  <c r="A15" i="8"/>
  <c r="Q14" i="15"/>
  <c r="A14" i="13"/>
  <c r="AF13" i="15"/>
  <c r="B13" i="13"/>
  <c r="C13" i="13" s="1"/>
  <c r="U15" i="8"/>
  <c r="U14" i="7"/>
  <c r="U16" i="12"/>
  <c r="U14" i="13"/>
  <c r="U16" i="9"/>
  <c r="U15" i="10"/>
  <c r="U15" i="6"/>
  <c r="U16" i="5"/>
  <c r="U17" i="14"/>
  <c r="U14" i="11"/>
  <c r="AL13" i="3" l="1"/>
  <c r="AD14" i="3"/>
  <c r="AJ14" i="3" s="1"/>
  <c r="AF14" i="3"/>
  <c r="AK14" i="3" s="1"/>
  <c r="AE15" i="3"/>
  <c r="AC15" i="3"/>
  <c r="C14" i="3"/>
  <c r="X15" i="3"/>
  <c r="Y15" i="3" s="1"/>
  <c r="W15" i="3" s="1"/>
  <c r="C12" i="15"/>
  <c r="U13" i="3"/>
  <c r="O15" i="5"/>
  <c r="Q15" i="5" s="1"/>
  <c r="O15" i="12"/>
  <c r="Q15" i="12" s="1"/>
  <c r="AD15" i="15" s="1"/>
  <c r="O14" i="6"/>
  <c r="Q14" i="6" s="1"/>
  <c r="O13" i="13"/>
  <c r="Q13" i="13" s="1"/>
  <c r="AG13" i="15" s="1"/>
  <c r="O14" i="8"/>
  <c r="Q14" i="8" s="1"/>
  <c r="R14" i="15" s="1"/>
  <c r="O13" i="11"/>
  <c r="Q13" i="11" s="1"/>
  <c r="AA13" i="15" s="1"/>
  <c r="R14" i="3"/>
  <c r="AA14" i="3" s="1"/>
  <c r="AB14" i="3" s="1"/>
  <c r="AI14" i="3" s="1"/>
  <c r="V15" i="3"/>
  <c r="AG14" i="3" l="1"/>
  <c r="AH14" i="3" s="1"/>
  <c r="AL14" i="3" s="1"/>
  <c r="T14" i="12"/>
  <c r="T15" i="14"/>
  <c r="T13" i="6"/>
  <c r="T12" i="11"/>
  <c r="Q13" i="7"/>
  <c r="O13" i="15" s="1"/>
  <c r="S15" i="8"/>
  <c r="I15" i="15"/>
  <c r="L14" i="15"/>
  <c r="Q14" i="10"/>
  <c r="X14" i="15" s="1"/>
  <c r="Q16" i="14"/>
  <c r="AJ16" i="15" s="1"/>
  <c r="Q15" i="9"/>
  <c r="U15" i="15" s="1"/>
  <c r="S17" i="14"/>
  <c r="O17" i="14" s="1"/>
  <c r="S14" i="13"/>
  <c r="S16" i="12"/>
  <c r="S14" i="11"/>
  <c r="O14" i="11" s="1"/>
  <c r="S15" i="10"/>
  <c r="O15" i="10" s="1"/>
  <c r="S16" i="9"/>
  <c r="O16" i="9" s="1"/>
  <c r="V14" i="15"/>
  <c r="R14" i="9"/>
  <c r="T14" i="9" s="1"/>
  <c r="S14" i="7"/>
  <c r="O14" i="7" s="1"/>
  <c r="S15" i="6"/>
  <c r="O15" i="6" s="1"/>
  <c r="S16" i="5"/>
  <c r="O16" i="5" s="1"/>
  <c r="AB13" i="15"/>
  <c r="R13" i="11"/>
  <c r="T13" i="11" s="1"/>
  <c r="A15" i="11"/>
  <c r="Z14" i="15"/>
  <c r="B14" i="11"/>
  <c r="C14" i="11" s="1"/>
  <c r="P13" i="15"/>
  <c r="R13" i="7"/>
  <c r="A15" i="7"/>
  <c r="B14" i="7"/>
  <c r="C14" i="7" s="1"/>
  <c r="N14" i="15"/>
  <c r="B14" i="15"/>
  <c r="B15" i="3"/>
  <c r="A16" i="3"/>
  <c r="W16" i="3" s="1"/>
  <c r="A18" i="14"/>
  <c r="AI17" i="15"/>
  <c r="B17" i="14"/>
  <c r="C17" i="14" s="1"/>
  <c r="B15" i="8"/>
  <c r="C15" i="8" s="1"/>
  <c r="A16" i="8"/>
  <c r="Q15" i="15"/>
  <c r="J15" i="15"/>
  <c r="R15" i="5"/>
  <c r="T15" i="5" s="1"/>
  <c r="S14" i="15"/>
  <c r="R14" i="8"/>
  <c r="T14" i="8" s="1"/>
  <c r="AE15" i="15"/>
  <c r="R15" i="12"/>
  <c r="T15" i="12" s="1"/>
  <c r="B16" i="12"/>
  <c r="C16" i="12" s="1"/>
  <c r="A17" i="12"/>
  <c r="AC16" i="15"/>
  <c r="D13" i="15"/>
  <c r="S14" i="3"/>
  <c r="U14" i="3" s="1"/>
  <c r="A16" i="10"/>
  <c r="W15" i="15"/>
  <c r="B15" i="10"/>
  <c r="C15" i="10" s="1"/>
  <c r="Y14" i="15"/>
  <c r="R14" i="10"/>
  <c r="C15" i="9"/>
  <c r="A17" i="9"/>
  <c r="T16" i="15"/>
  <c r="B16" i="9"/>
  <c r="B15" i="6"/>
  <c r="C15" i="6" s="1"/>
  <c r="A16" i="6"/>
  <c r="K15" i="15"/>
  <c r="M14" i="15"/>
  <c r="R14" i="6"/>
  <c r="T14" i="6" s="1"/>
  <c r="AH13" i="15"/>
  <c r="R13" i="13"/>
  <c r="T13" i="13" s="1"/>
  <c r="AK16" i="15"/>
  <c r="R16" i="14"/>
  <c r="B14" i="13"/>
  <c r="C14" i="13" s="1"/>
  <c r="A15" i="13"/>
  <c r="AF14" i="15"/>
  <c r="B16" i="5"/>
  <c r="C16" i="5" s="1"/>
  <c r="A17" i="5"/>
  <c r="H16" i="15"/>
  <c r="U17" i="9"/>
  <c r="U15" i="11"/>
  <c r="U16" i="10"/>
  <c r="U15" i="7"/>
  <c r="U15" i="13"/>
  <c r="U16" i="8"/>
  <c r="AF15" i="3" l="1"/>
  <c r="AK15" i="3" s="1"/>
  <c r="AD15" i="3"/>
  <c r="AJ15" i="3" s="1"/>
  <c r="C15" i="3"/>
  <c r="X16" i="3"/>
  <c r="C13" i="15"/>
  <c r="O16" i="12"/>
  <c r="Q16" i="12" s="1"/>
  <c r="AD16" i="15" s="1"/>
  <c r="O14" i="13"/>
  <c r="Q14" i="13" s="1"/>
  <c r="AG14" i="15" s="1"/>
  <c r="O15" i="8"/>
  <c r="Q15" i="8" s="1"/>
  <c r="R15" i="15" s="1"/>
  <c r="U17" i="5"/>
  <c r="U18" i="14"/>
  <c r="U17" i="12"/>
  <c r="V16" i="3"/>
  <c r="U16" i="6"/>
  <c r="T16" i="3" l="1"/>
  <c r="P16" i="3" s="1"/>
  <c r="Z16" i="3"/>
  <c r="AE16" i="3" s="1"/>
  <c r="T16" i="14"/>
  <c r="T14" i="10"/>
  <c r="T13" i="7"/>
  <c r="Q16" i="5"/>
  <c r="I16" i="15" s="1"/>
  <c r="Q15" i="6"/>
  <c r="L15" i="15" s="1"/>
  <c r="Q16" i="9"/>
  <c r="U16" i="15" s="1"/>
  <c r="Q14" i="7"/>
  <c r="O14" i="15" s="1"/>
  <c r="S16" i="8"/>
  <c r="Q17" i="14"/>
  <c r="AJ17" i="15" s="1"/>
  <c r="Q14" i="11"/>
  <c r="AA14" i="15" s="1"/>
  <c r="Q15" i="10"/>
  <c r="X15" i="15" s="1"/>
  <c r="S18" i="14"/>
  <c r="O18" i="14" s="1"/>
  <c r="S15" i="13"/>
  <c r="O15" i="13" s="1"/>
  <c r="S17" i="12"/>
  <c r="O17" i="12" s="1"/>
  <c r="S15" i="11"/>
  <c r="O15" i="11" s="1"/>
  <c r="S16" i="10"/>
  <c r="O16" i="10" s="1"/>
  <c r="S17" i="9"/>
  <c r="V15" i="15"/>
  <c r="R15" i="9"/>
  <c r="T15" i="9" s="1"/>
  <c r="S15" i="7"/>
  <c r="S16" i="6"/>
  <c r="S17" i="5"/>
  <c r="R14" i="11"/>
  <c r="AB14" i="15"/>
  <c r="B15" i="11"/>
  <c r="C15" i="11" s="1"/>
  <c r="A16" i="11"/>
  <c r="Z15" i="15"/>
  <c r="P14" i="15"/>
  <c r="R14" i="7"/>
  <c r="N15" i="15"/>
  <c r="B15" i="7"/>
  <c r="C15" i="7" s="1"/>
  <c r="A16" i="7"/>
  <c r="C16" i="9"/>
  <c r="T17" i="15"/>
  <c r="A18" i="9"/>
  <c r="B17" i="9"/>
  <c r="AC17" i="15"/>
  <c r="A18" i="12"/>
  <c r="B17" i="12"/>
  <c r="C17" i="12" s="1"/>
  <c r="A16" i="13"/>
  <c r="AF15" i="15"/>
  <c r="B15" i="13"/>
  <c r="C15" i="13" s="1"/>
  <c r="AE16" i="15"/>
  <c r="R16" i="12"/>
  <c r="T16" i="12" s="1"/>
  <c r="AH14" i="15"/>
  <c r="R14" i="13"/>
  <c r="T14" i="13" s="1"/>
  <c r="Y15" i="15"/>
  <c r="R15" i="10"/>
  <c r="A17" i="10"/>
  <c r="B16" i="10"/>
  <c r="C16" i="10" s="1"/>
  <c r="W16" i="15"/>
  <c r="A17" i="8"/>
  <c r="B16" i="8"/>
  <c r="C16" i="8" s="1"/>
  <c r="Q16" i="15"/>
  <c r="S15" i="15"/>
  <c r="R15" i="8"/>
  <c r="T15" i="8" s="1"/>
  <c r="AK17" i="15"/>
  <c r="R17" i="14"/>
  <c r="A17" i="3"/>
  <c r="W17" i="3" s="1"/>
  <c r="B15" i="15"/>
  <c r="B16" i="3"/>
  <c r="M15" i="15"/>
  <c r="R15" i="6"/>
  <c r="T15" i="6" s="1"/>
  <c r="J16" i="15"/>
  <c r="R16" i="5"/>
  <c r="D14" i="15"/>
  <c r="S15" i="3"/>
  <c r="B16" i="6"/>
  <c r="C16" i="6" s="1"/>
  <c r="A17" i="6"/>
  <c r="K16" i="15"/>
  <c r="A18" i="5"/>
  <c r="B17" i="5"/>
  <c r="C17" i="5" s="1"/>
  <c r="H17" i="15"/>
  <c r="B18" i="14"/>
  <c r="C18" i="14" s="1"/>
  <c r="A19" i="14"/>
  <c r="AI18" i="15"/>
  <c r="U18" i="5"/>
  <c r="U18" i="12"/>
  <c r="U17" i="10"/>
  <c r="U19" i="14"/>
  <c r="U18" i="9"/>
  <c r="U16" i="11"/>
  <c r="U17" i="8"/>
  <c r="U16" i="13"/>
  <c r="U17" i="6"/>
  <c r="AD16" i="3" l="1"/>
  <c r="AF16" i="3"/>
  <c r="AK16" i="3" s="1"/>
  <c r="AE17" i="3"/>
  <c r="AC17" i="3"/>
  <c r="C16" i="3"/>
  <c r="X17" i="3"/>
  <c r="O17" i="5"/>
  <c r="Q17" i="5" s="1"/>
  <c r="O16" i="6"/>
  <c r="Q16" i="6" s="1"/>
  <c r="O15" i="7"/>
  <c r="Q15" i="7" s="1"/>
  <c r="O17" i="9"/>
  <c r="Q17" i="9" s="1"/>
  <c r="O16" i="8"/>
  <c r="Q16" i="8" s="1"/>
  <c r="R16" i="15" s="1"/>
  <c r="R16" i="3"/>
  <c r="AA16" i="3" s="1"/>
  <c r="V17" i="3"/>
  <c r="T17" i="3" l="1"/>
  <c r="P17" i="3" s="1"/>
  <c r="AC16" i="3"/>
  <c r="AJ16" i="3" s="1"/>
  <c r="AB16" i="3"/>
  <c r="AI16" i="3" s="1"/>
  <c r="Z17" i="3"/>
  <c r="AG16" i="3"/>
  <c r="AH16" i="3" s="1"/>
  <c r="T16" i="5"/>
  <c r="T17" i="14"/>
  <c r="T14" i="7"/>
  <c r="U17" i="15"/>
  <c r="S17" i="8"/>
  <c r="I17" i="15"/>
  <c r="Q18" i="14"/>
  <c r="AJ18" i="15" s="1"/>
  <c r="O15" i="15"/>
  <c r="L16" i="15"/>
  <c r="Q16" i="10"/>
  <c r="X16" i="15" s="1"/>
  <c r="Q15" i="13"/>
  <c r="AG15" i="15" s="1"/>
  <c r="Q17" i="12"/>
  <c r="AD17" i="15" s="1"/>
  <c r="Q15" i="11"/>
  <c r="AA15" i="15" s="1"/>
  <c r="T14" i="11"/>
  <c r="T15" i="10"/>
  <c r="S19" i="14"/>
  <c r="O19" i="14" s="1"/>
  <c r="S16" i="13"/>
  <c r="O16" i="13" s="1"/>
  <c r="S18" i="12"/>
  <c r="O18" i="12" s="1"/>
  <c r="S16" i="11"/>
  <c r="O16" i="11" s="1"/>
  <c r="S17" i="10"/>
  <c r="S18" i="9"/>
  <c r="O18" i="9" s="1"/>
  <c r="V16" i="15"/>
  <c r="R16" i="9"/>
  <c r="T16" i="9" s="1"/>
  <c r="S16" i="7"/>
  <c r="O16" i="7" s="1"/>
  <c r="S17" i="6"/>
  <c r="S18" i="5"/>
  <c r="A17" i="11"/>
  <c r="B16" i="11"/>
  <c r="C16" i="11" s="1"/>
  <c r="Z16" i="15"/>
  <c r="AB15" i="15"/>
  <c r="R15" i="11"/>
  <c r="N16" i="15"/>
  <c r="A17" i="7"/>
  <c r="B16" i="7"/>
  <c r="C16" i="7" s="1"/>
  <c r="P15" i="15"/>
  <c r="R15" i="7"/>
  <c r="T15" i="7" s="1"/>
  <c r="Y16" i="15"/>
  <c r="R16" i="10"/>
  <c r="A18" i="10"/>
  <c r="W17" i="15"/>
  <c r="B17" i="10"/>
  <c r="C17" i="10" s="1"/>
  <c r="A19" i="5"/>
  <c r="B18" i="5"/>
  <c r="C18" i="5" s="1"/>
  <c r="H18" i="15"/>
  <c r="AH15" i="15"/>
  <c r="R15" i="13"/>
  <c r="M16" i="15"/>
  <c r="R16" i="6"/>
  <c r="T16" i="6" s="1"/>
  <c r="A17" i="13"/>
  <c r="AF16" i="15"/>
  <c r="B16" i="13"/>
  <c r="C16" i="13" s="1"/>
  <c r="AE17" i="15"/>
  <c r="R17" i="12"/>
  <c r="J17" i="15"/>
  <c r="R17" i="5"/>
  <c r="T17" i="5" s="1"/>
  <c r="A18" i="6"/>
  <c r="B17" i="6"/>
  <c r="C17" i="6" s="1"/>
  <c r="K17" i="15"/>
  <c r="AC18" i="15"/>
  <c r="A19" i="12"/>
  <c r="B18" i="12"/>
  <c r="C18" i="12" s="1"/>
  <c r="S16" i="15"/>
  <c r="R16" i="8"/>
  <c r="T16" i="8" s="1"/>
  <c r="C17" i="9"/>
  <c r="A18" i="8"/>
  <c r="B17" i="8"/>
  <c r="C17" i="8" s="1"/>
  <c r="Q17" i="15"/>
  <c r="A19" i="9"/>
  <c r="B18" i="9"/>
  <c r="T18" i="15"/>
  <c r="S16" i="3"/>
  <c r="U16" i="3" s="1"/>
  <c r="D15" i="15"/>
  <c r="B17" i="3"/>
  <c r="A18" i="3"/>
  <c r="W18" i="3" s="1"/>
  <c r="B16" i="15"/>
  <c r="A20" i="14"/>
  <c r="AI19" i="15"/>
  <c r="B19" i="14"/>
  <c r="C19" i="14" s="1"/>
  <c r="AK18" i="15"/>
  <c r="R18" i="14"/>
  <c r="T18" i="14" s="1"/>
  <c r="U19" i="9"/>
  <c r="U18" i="6"/>
  <c r="U19" i="5"/>
  <c r="U17" i="11"/>
  <c r="U16" i="7"/>
  <c r="U17" i="13"/>
  <c r="U19" i="12"/>
  <c r="U18" i="8"/>
  <c r="U18" i="10"/>
  <c r="AL16" i="3" l="1"/>
  <c r="AE18" i="3"/>
  <c r="AC18" i="3"/>
  <c r="AF17" i="3"/>
  <c r="AK17" i="3" s="1"/>
  <c r="AD17" i="3"/>
  <c r="AJ17" i="3" s="1"/>
  <c r="C17" i="3"/>
  <c r="X18" i="3"/>
  <c r="T18" i="3" s="1"/>
  <c r="P18" i="3" s="1"/>
  <c r="C15" i="15"/>
  <c r="O17" i="10"/>
  <c r="Q17" i="10" s="1"/>
  <c r="O17" i="8"/>
  <c r="Q17" i="8" s="1"/>
  <c r="R17" i="15" s="1"/>
  <c r="O18" i="5"/>
  <c r="Q18" i="5" s="1"/>
  <c r="O17" i="6"/>
  <c r="Q17" i="6" s="1"/>
  <c r="R17" i="3"/>
  <c r="AA17" i="3" s="1"/>
  <c r="AB17" i="3" s="1"/>
  <c r="AI17" i="3" s="1"/>
  <c r="U20" i="14"/>
  <c r="U17" i="7"/>
  <c r="V18" i="3"/>
  <c r="Z18" i="3" l="1"/>
  <c r="AG17" i="3"/>
  <c r="AH17" i="3" s="1"/>
  <c r="AL17" i="3" s="1"/>
  <c r="T15" i="13"/>
  <c r="S18" i="8"/>
  <c r="X17" i="15"/>
  <c r="L17" i="15"/>
  <c r="I18" i="15"/>
  <c r="Q16" i="7"/>
  <c r="O16" i="15" s="1"/>
  <c r="Q19" i="14"/>
  <c r="AJ19" i="15" s="1"/>
  <c r="Q16" i="13"/>
  <c r="AG16" i="15" s="1"/>
  <c r="Q18" i="12"/>
  <c r="AD18" i="15" s="1"/>
  <c r="T17" i="12"/>
  <c r="Q16" i="11"/>
  <c r="AA16" i="15" s="1"/>
  <c r="T15" i="11"/>
  <c r="T16" i="10"/>
  <c r="Q18" i="9"/>
  <c r="U18" i="15" s="1"/>
  <c r="S20" i="14"/>
  <c r="O20" i="14" s="1"/>
  <c r="S17" i="13"/>
  <c r="O17" i="13" s="1"/>
  <c r="S19" i="12"/>
  <c r="O19" i="12" s="1"/>
  <c r="S17" i="11"/>
  <c r="S18" i="10"/>
  <c r="V17" i="15"/>
  <c r="R17" i="9"/>
  <c r="T17" i="9" s="1"/>
  <c r="S19" i="9"/>
  <c r="O19" i="9" s="1"/>
  <c r="S17" i="7"/>
  <c r="S18" i="6"/>
  <c r="S19" i="5"/>
  <c r="O19" i="5" s="1"/>
  <c r="AB16" i="15"/>
  <c r="R16" i="11"/>
  <c r="A18" i="11"/>
  <c r="B17" i="11"/>
  <c r="C17" i="11" s="1"/>
  <c r="Z17" i="15"/>
  <c r="P16" i="15"/>
  <c r="R16" i="7"/>
  <c r="B17" i="7"/>
  <c r="C17" i="7" s="1"/>
  <c r="A18" i="7"/>
  <c r="N17" i="15"/>
  <c r="A20" i="9"/>
  <c r="B19" i="9"/>
  <c r="T19" i="15"/>
  <c r="Y17" i="15"/>
  <c r="R17" i="10"/>
  <c r="T17" i="10" s="1"/>
  <c r="AK19" i="15"/>
  <c r="R19" i="14"/>
  <c r="AI20" i="15"/>
  <c r="B20" i="14"/>
  <c r="C20" i="14" s="1"/>
  <c r="A21" i="14"/>
  <c r="AH16" i="15"/>
  <c r="R16" i="13"/>
  <c r="B17" i="13"/>
  <c r="C17" i="13" s="1"/>
  <c r="AF17" i="15"/>
  <c r="A18" i="13"/>
  <c r="A19" i="3"/>
  <c r="W19" i="3" s="1"/>
  <c r="B17" i="15"/>
  <c r="B18" i="3"/>
  <c r="AE18" i="15"/>
  <c r="R18" i="12"/>
  <c r="D16" i="15"/>
  <c r="S17" i="3"/>
  <c r="U17" i="3" s="1"/>
  <c r="A20" i="12"/>
  <c r="B19" i="12"/>
  <c r="C19" i="12" s="1"/>
  <c r="AC19" i="15"/>
  <c r="M17" i="15"/>
  <c r="R17" i="6"/>
  <c r="T17" i="6" s="1"/>
  <c r="C18" i="9"/>
  <c r="J18" i="15"/>
  <c r="R18" i="5"/>
  <c r="T18" i="5" s="1"/>
  <c r="B18" i="6"/>
  <c r="C18" i="6" s="1"/>
  <c r="K18" i="15"/>
  <c r="A19" i="6"/>
  <c r="B19" i="5"/>
  <c r="C19" i="5" s="1"/>
  <c r="A20" i="5"/>
  <c r="H19" i="15"/>
  <c r="A19" i="8"/>
  <c r="B18" i="8"/>
  <c r="C18" i="8" s="1"/>
  <c r="Q18" i="15"/>
  <c r="A19" i="10"/>
  <c r="W18" i="15"/>
  <c r="B18" i="10"/>
  <c r="C18" i="10" s="1"/>
  <c r="S17" i="15"/>
  <c r="R17" i="8"/>
  <c r="T17" i="8" s="1"/>
  <c r="U20" i="9"/>
  <c r="U21" i="14"/>
  <c r="U20" i="5"/>
  <c r="U19" i="6"/>
  <c r="U18" i="13"/>
  <c r="AD18" i="3" l="1"/>
  <c r="AJ18" i="3" s="1"/>
  <c r="AF18" i="3"/>
  <c r="AK18" i="3" s="1"/>
  <c r="AE19" i="3"/>
  <c r="AC19" i="3"/>
  <c r="C18" i="3"/>
  <c r="X19" i="3"/>
  <c r="T19" i="3" s="1"/>
  <c r="P19" i="3" s="1"/>
  <c r="C16" i="15"/>
  <c r="O18" i="10"/>
  <c r="Q18" i="10" s="1"/>
  <c r="O17" i="11"/>
  <c r="Q17" i="11" s="1"/>
  <c r="AA17" i="15" s="1"/>
  <c r="O18" i="6"/>
  <c r="Q18" i="6" s="1"/>
  <c r="O18" i="8"/>
  <c r="Q18" i="8" s="1"/>
  <c r="R18" i="15" s="1"/>
  <c r="O17" i="7"/>
  <c r="Q17" i="7" s="1"/>
  <c r="R18" i="3"/>
  <c r="AA18" i="3" s="1"/>
  <c r="AB18" i="3" s="1"/>
  <c r="AI18" i="3" s="1"/>
  <c r="V19" i="3"/>
  <c r="U19" i="10"/>
  <c r="U19" i="8"/>
  <c r="U20" i="12"/>
  <c r="U18" i="7"/>
  <c r="U18" i="11"/>
  <c r="Z19" i="3" l="1"/>
  <c r="AG18" i="3"/>
  <c r="AH18" i="3" s="1"/>
  <c r="AL18" i="3" s="1"/>
  <c r="T18" i="12"/>
  <c r="T19" i="14"/>
  <c r="T16" i="7"/>
  <c r="X18" i="15"/>
  <c r="L18" i="15"/>
  <c r="O17" i="15"/>
  <c r="S19" i="8"/>
  <c r="Q19" i="5"/>
  <c r="I19" i="15" s="1"/>
  <c r="Q20" i="14"/>
  <c r="AJ20" i="15" s="1"/>
  <c r="Q17" i="13"/>
  <c r="AG17" i="15" s="1"/>
  <c r="T16" i="13"/>
  <c r="Q19" i="12"/>
  <c r="AD19" i="15" s="1"/>
  <c r="T16" i="11"/>
  <c r="Q19" i="9"/>
  <c r="U19" i="15" s="1"/>
  <c r="S21" i="14"/>
  <c r="O21" i="14" s="1"/>
  <c r="S18" i="13"/>
  <c r="O18" i="13" s="1"/>
  <c r="S20" i="12"/>
  <c r="O20" i="12" s="1"/>
  <c r="S18" i="11"/>
  <c r="S19" i="10"/>
  <c r="O19" i="10" s="1"/>
  <c r="S20" i="9"/>
  <c r="O20" i="9" s="1"/>
  <c r="V18" i="15"/>
  <c r="R18" i="9"/>
  <c r="T18" i="9" s="1"/>
  <c r="S18" i="7"/>
  <c r="S19" i="6"/>
  <c r="O19" i="6" s="1"/>
  <c r="S20" i="5"/>
  <c r="W37" i="7"/>
  <c r="AB17" i="15"/>
  <c r="R17" i="11"/>
  <c r="T17" i="11" s="1"/>
  <c r="B18" i="11"/>
  <c r="C18" i="11" s="1"/>
  <c r="A19" i="11"/>
  <c r="Z18" i="15"/>
  <c r="B18" i="7"/>
  <c r="C18" i="7" s="1"/>
  <c r="A19" i="7"/>
  <c r="N18" i="15"/>
  <c r="P17" i="15"/>
  <c r="R17" i="7"/>
  <c r="T17" i="7" s="1"/>
  <c r="B20" i="5"/>
  <c r="C20" i="5" s="1"/>
  <c r="H20" i="15"/>
  <c r="A21" i="5"/>
  <c r="K19" i="15"/>
  <c r="B19" i="6"/>
  <c r="C19" i="6" s="1"/>
  <c r="A20" i="6"/>
  <c r="M18" i="15"/>
  <c r="R18" i="6"/>
  <c r="T18" i="6" s="1"/>
  <c r="A20" i="3"/>
  <c r="W20" i="3" s="1"/>
  <c r="B19" i="3"/>
  <c r="B18" i="15"/>
  <c r="S18" i="15"/>
  <c r="R18" i="8"/>
  <c r="T18" i="8" s="1"/>
  <c r="AF18" i="15"/>
  <c r="A19" i="13"/>
  <c r="B18" i="13"/>
  <c r="C18" i="13" s="1"/>
  <c r="A20" i="8"/>
  <c r="B19" i="8"/>
  <c r="C19" i="8" s="1"/>
  <c r="Q19" i="15"/>
  <c r="AH17" i="15"/>
  <c r="R17" i="13"/>
  <c r="AK20" i="15"/>
  <c r="R20" i="14"/>
  <c r="AE19" i="15"/>
  <c r="R19" i="12"/>
  <c r="B20" i="12"/>
  <c r="C20" i="12" s="1"/>
  <c r="A21" i="12"/>
  <c r="AC20" i="15"/>
  <c r="C19" i="9"/>
  <c r="J19" i="15"/>
  <c r="R19" i="5"/>
  <c r="T20" i="15"/>
  <c r="A21" i="9"/>
  <c r="B20" i="9"/>
  <c r="A22" i="14"/>
  <c r="AI21" i="15"/>
  <c r="B21" i="14"/>
  <c r="C21" i="14" s="1"/>
  <c r="Y18" i="15"/>
  <c r="R18" i="10"/>
  <c r="T18" i="10" s="1"/>
  <c r="A20" i="10"/>
  <c r="B19" i="10"/>
  <c r="C19" i="10" s="1"/>
  <c r="W19" i="15"/>
  <c r="D17" i="15"/>
  <c r="S18" i="3"/>
  <c r="U18" i="3" s="1"/>
  <c r="U19" i="13"/>
  <c r="U21" i="9"/>
  <c r="U21" i="12"/>
  <c r="U19" i="7"/>
  <c r="U20" i="10"/>
  <c r="U21" i="5"/>
  <c r="V20" i="3"/>
  <c r="U20" i="8"/>
  <c r="U20" i="6"/>
  <c r="U22" i="14"/>
  <c r="U19" i="11"/>
  <c r="T20" i="14" l="1"/>
  <c r="AF19" i="3"/>
  <c r="AK19" i="3" s="1"/>
  <c r="AD19" i="3"/>
  <c r="AJ19" i="3" s="1"/>
  <c r="C19" i="3"/>
  <c r="D18" i="15" s="1"/>
  <c r="X20" i="3"/>
  <c r="T20" i="3" s="1"/>
  <c r="P20" i="3" s="1"/>
  <c r="C17" i="15"/>
  <c r="O18" i="11"/>
  <c r="Q18" i="11" s="1"/>
  <c r="AA18" i="15" s="1"/>
  <c r="O20" i="5"/>
  <c r="Q20" i="5" s="1"/>
  <c r="I20" i="15" s="1"/>
  <c r="O18" i="7"/>
  <c r="Q18" i="7" s="1"/>
  <c r="O18" i="15" s="1"/>
  <c r="O19" i="8"/>
  <c r="Q19" i="8" s="1"/>
  <c r="R19" i="15" s="1"/>
  <c r="R19" i="3"/>
  <c r="AA19" i="3" s="1"/>
  <c r="AB19" i="3" s="1"/>
  <c r="AI19" i="3" s="1"/>
  <c r="T17" i="13"/>
  <c r="T19" i="5"/>
  <c r="S20" i="8"/>
  <c r="T19" i="12"/>
  <c r="Q19" i="6"/>
  <c r="L19" i="15" s="1"/>
  <c r="Q19" i="10"/>
  <c r="X19" i="15" s="1"/>
  <c r="Q21" i="14"/>
  <c r="AJ21" i="15" s="1"/>
  <c r="Q18" i="13"/>
  <c r="AG18" i="15" s="1"/>
  <c r="Q20" i="12"/>
  <c r="AD20" i="15" s="1"/>
  <c r="Q20" i="9"/>
  <c r="U20" i="15" s="1"/>
  <c r="S22" i="14"/>
  <c r="O22" i="14" s="1"/>
  <c r="S19" i="13"/>
  <c r="S21" i="12"/>
  <c r="O21" i="12" s="1"/>
  <c r="S19" i="11"/>
  <c r="S20" i="10"/>
  <c r="V19" i="15"/>
  <c r="R19" i="9"/>
  <c r="T19" i="9" s="1"/>
  <c r="S21" i="9"/>
  <c r="O21" i="9" s="1"/>
  <c r="S19" i="7"/>
  <c r="O19" i="7" s="1"/>
  <c r="S20" i="6"/>
  <c r="O20" i="6" s="1"/>
  <c r="S21" i="5"/>
  <c r="Z19" i="15"/>
  <c r="A20" i="11"/>
  <c r="B19" i="11"/>
  <c r="C19" i="11" s="1"/>
  <c r="AB18" i="15"/>
  <c r="R18" i="11"/>
  <c r="A20" i="7"/>
  <c r="B19" i="7"/>
  <c r="C19" i="7" s="1"/>
  <c r="N19" i="15"/>
  <c r="P18" i="15"/>
  <c r="R18" i="7"/>
  <c r="S19" i="15"/>
  <c r="R19" i="8"/>
  <c r="B20" i="8"/>
  <c r="C20" i="8" s="1"/>
  <c r="A21" i="8"/>
  <c r="Q20" i="15"/>
  <c r="AH18" i="15"/>
  <c r="R18" i="13"/>
  <c r="AK21" i="15"/>
  <c r="R21" i="14"/>
  <c r="A23" i="14"/>
  <c r="B22" i="14"/>
  <c r="C22" i="14" s="1"/>
  <c r="AI22" i="15"/>
  <c r="C20" i="9"/>
  <c r="B21" i="9"/>
  <c r="T21" i="15"/>
  <c r="A22" i="9"/>
  <c r="B20" i="3"/>
  <c r="A21" i="3"/>
  <c r="W21" i="3" s="1"/>
  <c r="B19" i="15"/>
  <c r="B20" i="6"/>
  <c r="C20" i="6" s="1"/>
  <c r="A21" i="6"/>
  <c r="K20" i="15"/>
  <c r="M19" i="15"/>
  <c r="R19" i="6"/>
  <c r="B21" i="5"/>
  <c r="C21" i="5" s="1"/>
  <c r="H21" i="15"/>
  <c r="A22" i="5"/>
  <c r="Y19" i="15"/>
  <c r="R19" i="10"/>
  <c r="J20" i="15"/>
  <c r="R20" i="5"/>
  <c r="AE20" i="15"/>
  <c r="R20" i="12"/>
  <c r="A20" i="13"/>
  <c r="AF19" i="15"/>
  <c r="B19" i="13"/>
  <c r="C19" i="13" s="1"/>
  <c r="B21" i="12"/>
  <c r="C21" i="12" s="1"/>
  <c r="A22" i="12"/>
  <c r="AC21" i="15"/>
  <c r="A21" i="10"/>
  <c r="W20" i="15"/>
  <c r="B20" i="10"/>
  <c r="C20" i="10" s="1"/>
  <c r="U22" i="5"/>
  <c r="U20" i="7"/>
  <c r="U21" i="6"/>
  <c r="U20" i="11"/>
  <c r="U22" i="9"/>
  <c r="U21" i="10"/>
  <c r="AE21" i="3" l="1"/>
  <c r="AC21" i="3"/>
  <c r="Z20" i="3"/>
  <c r="AE20" i="3" s="1"/>
  <c r="AF20" i="3"/>
  <c r="AD20" i="3"/>
  <c r="AG19" i="3"/>
  <c r="AH19" i="3" s="1"/>
  <c r="AL19" i="3" s="1"/>
  <c r="T21" i="3"/>
  <c r="P21" i="3" s="1"/>
  <c r="S19" i="3"/>
  <c r="C20" i="3"/>
  <c r="X21" i="3"/>
  <c r="O19" i="11"/>
  <c r="Q19" i="11" s="1"/>
  <c r="T19" i="8"/>
  <c r="O20" i="10"/>
  <c r="Q20" i="10" s="1"/>
  <c r="O19" i="13"/>
  <c r="Q19" i="13" s="1"/>
  <c r="T18" i="11"/>
  <c r="O21" i="5"/>
  <c r="Q21" i="5" s="1"/>
  <c r="T20" i="5"/>
  <c r="O20" i="8"/>
  <c r="Q20" i="8" s="1"/>
  <c r="R20" i="15" s="1"/>
  <c r="T18" i="7"/>
  <c r="R20" i="3"/>
  <c r="AA20" i="3" s="1"/>
  <c r="V21" i="3"/>
  <c r="U20" i="13"/>
  <c r="U22" i="12"/>
  <c r="U23" i="14"/>
  <c r="U21" i="8"/>
  <c r="AB20" i="3" l="1"/>
  <c r="AI20" i="3" s="1"/>
  <c r="AC20" i="3"/>
  <c r="AJ20" i="3" s="1"/>
  <c r="AK20" i="3"/>
  <c r="Z21" i="3"/>
  <c r="AG20" i="3"/>
  <c r="AH20" i="3" s="1"/>
  <c r="C18" i="15"/>
  <c r="U19" i="3"/>
  <c r="T19" i="10"/>
  <c r="T19" i="6"/>
  <c r="S21" i="8"/>
  <c r="X20" i="15"/>
  <c r="Q19" i="7"/>
  <c r="O19" i="15" s="1"/>
  <c r="AA19" i="15"/>
  <c r="I21" i="15"/>
  <c r="AG19" i="15"/>
  <c r="Q20" i="6"/>
  <c r="L20" i="15" s="1"/>
  <c r="Q22" i="14"/>
  <c r="AJ22" i="15" s="1"/>
  <c r="T21" i="14"/>
  <c r="T18" i="13"/>
  <c r="Q21" i="12"/>
  <c r="AD21" i="15" s="1"/>
  <c r="T20" i="12"/>
  <c r="W36" i="10"/>
  <c r="Q21" i="9"/>
  <c r="U21" i="15" s="1"/>
  <c r="S23" i="14"/>
  <c r="O23" i="14" s="1"/>
  <c r="S20" i="13"/>
  <c r="O20" i="13" s="1"/>
  <c r="S22" i="12"/>
  <c r="O22" i="12" s="1"/>
  <c r="S20" i="11"/>
  <c r="S21" i="10"/>
  <c r="V20" i="15"/>
  <c r="R20" i="9"/>
  <c r="T20" i="9" s="1"/>
  <c r="S22" i="9"/>
  <c r="S20" i="7"/>
  <c r="S21" i="6"/>
  <c r="O21" i="6" s="1"/>
  <c r="S22" i="5"/>
  <c r="O22" i="5" s="1"/>
  <c r="AB19" i="15"/>
  <c r="R19" i="11"/>
  <c r="T19" i="11" s="1"/>
  <c r="A21" i="11"/>
  <c r="B20" i="11"/>
  <c r="C20" i="11" s="1"/>
  <c r="Z20" i="15"/>
  <c r="A21" i="7"/>
  <c r="N20" i="15"/>
  <c r="B20" i="7"/>
  <c r="C20" i="7" s="1"/>
  <c r="P19" i="15"/>
  <c r="R19" i="7"/>
  <c r="A23" i="5"/>
  <c r="H22" i="15"/>
  <c r="B22" i="5"/>
  <c r="C22" i="5" s="1"/>
  <c r="A22" i="8"/>
  <c r="B21" i="8"/>
  <c r="C21" i="8" s="1"/>
  <c r="Q21" i="15"/>
  <c r="S20" i="15"/>
  <c r="R20" i="8"/>
  <c r="T20" i="8" s="1"/>
  <c r="B21" i="6"/>
  <c r="C21" i="6" s="1"/>
  <c r="K21" i="15"/>
  <c r="A22" i="6"/>
  <c r="AH19" i="15"/>
  <c r="R19" i="13"/>
  <c r="T19" i="13" s="1"/>
  <c r="M20" i="15"/>
  <c r="R20" i="6"/>
  <c r="AK22" i="15"/>
  <c r="R22" i="14"/>
  <c r="A21" i="13"/>
  <c r="B20" i="13"/>
  <c r="C20" i="13" s="1"/>
  <c r="AF20" i="15"/>
  <c r="B23" i="14"/>
  <c r="C23" i="14" s="1"/>
  <c r="A24" i="14"/>
  <c r="AI23" i="15"/>
  <c r="T22" i="15"/>
  <c r="B22" i="9"/>
  <c r="A23" i="9"/>
  <c r="D19" i="15"/>
  <c r="S20" i="3"/>
  <c r="U20" i="3" s="1"/>
  <c r="AE21" i="15"/>
  <c r="R21" i="12"/>
  <c r="B21" i="3"/>
  <c r="A22" i="3"/>
  <c r="W22" i="3" s="1"/>
  <c r="B20" i="15"/>
  <c r="A22" i="10"/>
  <c r="B21" i="10"/>
  <c r="C21" i="10" s="1"/>
  <c r="W21" i="15"/>
  <c r="Y20" i="15"/>
  <c r="R20" i="10"/>
  <c r="T20" i="10" s="1"/>
  <c r="J21" i="15"/>
  <c r="R21" i="5"/>
  <c r="T21" i="5" s="1"/>
  <c r="C21" i="9"/>
  <c r="A23" i="12"/>
  <c r="AC22" i="15"/>
  <c r="B22" i="12"/>
  <c r="C22" i="12" s="1"/>
  <c r="U23" i="9"/>
  <c r="U22" i="6"/>
  <c r="U21" i="13"/>
  <c r="U21" i="11"/>
  <c r="U22" i="10"/>
  <c r="U24" i="14"/>
  <c r="U22" i="8"/>
  <c r="U23" i="5"/>
  <c r="U21" i="7"/>
  <c r="U23" i="12"/>
  <c r="AL20" i="3" l="1"/>
  <c r="AF21" i="3"/>
  <c r="AK21" i="3" s="1"/>
  <c r="AD21" i="3"/>
  <c r="AJ21" i="3" s="1"/>
  <c r="AC22" i="3"/>
  <c r="AE22" i="3"/>
  <c r="C21" i="3"/>
  <c r="C19" i="15"/>
  <c r="X22" i="3"/>
  <c r="T22" i="3" s="1"/>
  <c r="P22" i="3" s="1"/>
  <c r="O21" i="10"/>
  <c r="Q21" i="10" s="1"/>
  <c r="O20" i="11"/>
  <c r="Q20" i="11" s="1"/>
  <c r="O21" i="8"/>
  <c r="Q21" i="8" s="1"/>
  <c r="R21" i="15" s="1"/>
  <c r="O20" i="7"/>
  <c r="Q20" i="7" s="1"/>
  <c r="O22" i="9"/>
  <c r="Q22" i="9" s="1"/>
  <c r="U22" i="15" s="1"/>
  <c r="R21" i="3"/>
  <c r="AA21" i="3" s="1"/>
  <c r="AB21" i="3" s="1"/>
  <c r="AI21" i="3" s="1"/>
  <c r="V22" i="3"/>
  <c r="Z22" i="3" l="1"/>
  <c r="AG21" i="3"/>
  <c r="AH21" i="3" s="1"/>
  <c r="AL21" i="3" s="1"/>
  <c r="T20" i="6"/>
  <c r="T22" i="14"/>
  <c r="T19" i="7"/>
  <c r="O20" i="15"/>
  <c r="Q21" i="6"/>
  <c r="L21" i="15" s="1"/>
  <c r="S22" i="8"/>
  <c r="Q22" i="12"/>
  <c r="AD22" i="15" s="1"/>
  <c r="X21" i="15"/>
  <c r="AA20" i="15"/>
  <c r="Q22" i="5"/>
  <c r="I22" i="15" s="1"/>
  <c r="Q20" i="13"/>
  <c r="AG20" i="15" s="1"/>
  <c r="Q23" i="14"/>
  <c r="AJ23" i="15" s="1"/>
  <c r="T21" i="12"/>
  <c r="S24" i="14"/>
  <c r="O24" i="14" s="1"/>
  <c r="S21" i="13"/>
  <c r="O21" i="13" s="1"/>
  <c r="S23" i="12"/>
  <c r="S21" i="11"/>
  <c r="S22" i="10"/>
  <c r="O22" i="10" s="1"/>
  <c r="V21" i="15"/>
  <c r="R21" i="9"/>
  <c r="T21" i="9" s="1"/>
  <c r="S23" i="9"/>
  <c r="O23" i="9" s="1"/>
  <c r="S21" i="7"/>
  <c r="S22" i="6"/>
  <c r="S23" i="5"/>
  <c r="O23" i="5" s="1"/>
  <c r="AB20" i="15"/>
  <c r="R20" i="11"/>
  <c r="T20" i="11" s="1"/>
  <c r="A22" i="11"/>
  <c r="B21" i="11"/>
  <c r="C21" i="11" s="1"/>
  <c r="Z21" i="15"/>
  <c r="P20" i="15"/>
  <c r="R20" i="7"/>
  <c r="T20" i="7" s="1"/>
  <c r="A22" i="7"/>
  <c r="B21" i="7"/>
  <c r="C21" i="7" s="1"/>
  <c r="N21" i="15"/>
  <c r="A24" i="12"/>
  <c r="AC23" i="15"/>
  <c r="B23" i="12"/>
  <c r="C23" i="12" s="1"/>
  <c r="J22" i="15"/>
  <c r="R22" i="5"/>
  <c r="AK23" i="15"/>
  <c r="R23" i="14"/>
  <c r="A22" i="13"/>
  <c r="B21" i="13"/>
  <c r="C21" i="13" s="1"/>
  <c r="AF21" i="15"/>
  <c r="Y21" i="15"/>
  <c r="R21" i="10"/>
  <c r="T21" i="10" s="1"/>
  <c r="A23" i="10"/>
  <c r="W22" i="15"/>
  <c r="B22" i="10"/>
  <c r="C22" i="10" s="1"/>
  <c r="A24" i="9"/>
  <c r="B23" i="9"/>
  <c r="T23" i="15"/>
  <c r="C22" i="9"/>
  <c r="S21" i="15"/>
  <c r="R21" i="8"/>
  <c r="T21" i="8" s="1"/>
  <c r="A23" i="8"/>
  <c r="B22" i="8"/>
  <c r="C22" i="8" s="1"/>
  <c r="Q22" i="15"/>
  <c r="B22" i="6"/>
  <c r="C22" i="6" s="1"/>
  <c r="A23" i="6"/>
  <c r="K22" i="15"/>
  <c r="B21" i="15"/>
  <c r="A23" i="3"/>
  <c r="W23" i="3" s="1"/>
  <c r="B22" i="3"/>
  <c r="D20" i="15"/>
  <c r="S21" i="3"/>
  <c r="M21" i="15"/>
  <c r="R21" i="6"/>
  <c r="AE22" i="15"/>
  <c r="R22" i="12"/>
  <c r="A25" i="14"/>
  <c r="AI24" i="15"/>
  <c r="B24" i="14"/>
  <c r="C24" i="14" s="1"/>
  <c r="AH20" i="15"/>
  <c r="R20" i="13"/>
  <c r="A24" i="5"/>
  <c r="B23" i="5"/>
  <c r="C23" i="5" s="1"/>
  <c r="H23" i="15"/>
  <c r="U24" i="5"/>
  <c r="U23" i="8"/>
  <c r="U24" i="12"/>
  <c r="U22" i="11"/>
  <c r="U24" i="9"/>
  <c r="U22" i="7"/>
  <c r="U22" i="13"/>
  <c r="U23" i="10"/>
  <c r="U25" i="14"/>
  <c r="AF22" i="3" l="1"/>
  <c r="AK22" i="3" s="1"/>
  <c r="AD22" i="3"/>
  <c r="AJ22" i="3" s="1"/>
  <c r="C22" i="3"/>
  <c r="U21" i="3"/>
  <c r="X23" i="3"/>
  <c r="T23" i="3" s="1"/>
  <c r="P23" i="3" s="1"/>
  <c r="C20" i="15"/>
  <c r="O21" i="7"/>
  <c r="Q21" i="7" s="1"/>
  <c r="O22" i="8"/>
  <c r="Q22" i="8" s="1"/>
  <c r="R22" i="15" s="1"/>
  <c r="O21" i="11"/>
  <c r="Q21" i="11" s="1"/>
  <c r="O23" i="12"/>
  <c r="Q23" i="12" s="1"/>
  <c r="O22" i="6"/>
  <c r="Q22" i="6" s="1"/>
  <c r="R22" i="3"/>
  <c r="AA22" i="3" s="1"/>
  <c r="AB22" i="3" s="1"/>
  <c r="AI22" i="3" s="1"/>
  <c r="U23" i="6"/>
  <c r="V23" i="3"/>
  <c r="Z23" i="3" l="1"/>
  <c r="AE23" i="3" s="1"/>
  <c r="AG22" i="3"/>
  <c r="AH22" i="3" s="1"/>
  <c r="AL22" i="3" s="1"/>
  <c r="T22" i="5"/>
  <c r="T22" i="12"/>
  <c r="T21" i="6"/>
  <c r="T20" i="13"/>
  <c r="T23" i="14"/>
  <c r="AA21" i="15"/>
  <c r="L22" i="15"/>
  <c r="S23" i="8"/>
  <c r="O21" i="15"/>
  <c r="Q23" i="5"/>
  <c r="I23" i="15" s="1"/>
  <c r="AD23" i="15"/>
  <c r="Q24" i="14"/>
  <c r="AJ24" i="15" s="1"/>
  <c r="Q23" i="9"/>
  <c r="U23" i="15" s="1"/>
  <c r="Q21" i="13"/>
  <c r="AG21" i="15" s="1"/>
  <c r="Q22" i="10"/>
  <c r="X22" i="15" s="1"/>
  <c r="S25" i="14"/>
  <c r="O25" i="14" s="1"/>
  <c r="S22" i="13"/>
  <c r="O22" i="13" s="1"/>
  <c r="S24" i="12"/>
  <c r="S22" i="11"/>
  <c r="S23" i="10"/>
  <c r="O23" i="10" s="1"/>
  <c r="V22" i="15"/>
  <c r="R22" i="9"/>
  <c r="T22" i="9" s="1"/>
  <c r="S24" i="9"/>
  <c r="S22" i="7"/>
  <c r="S23" i="6"/>
  <c r="O23" i="6" s="1"/>
  <c r="S24" i="5"/>
  <c r="AB21" i="15"/>
  <c r="R21" i="11"/>
  <c r="T21" i="11" s="1"/>
  <c r="A23" i="11"/>
  <c r="Z22" i="15"/>
  <c r="B22" i="11"/>
  <c r="C22" i="11" s="1"/>
  <c r="B22" i="7"/>
  <c r="C22" i="7" s="1"/>
  <c r="N22" i="15"/>
  <c r="A23" i="7"/>
  <c r="P21" i="15"/>
  <c r="R21" i="7"/>
  <c r="T21" i="7" s="1"/>
  <c r="B24" i="5"/>
  <c r="C24" i="5" s="1"/>
  <c r="A25" i="5"/>
  <c r="H24" i="15"/>
  <c r="B24" i="12"/>
  <c r="C24" i="12" s="1"/>
  <c r="A25" i="12"/>
  <c r="AC24" i="15"/>
  <c r="T24" i="15"/>
  <c r="A25" i="9"/>
  <c r="B24" i="9"/>
  <c r="Y22" i="15"/>
  <c r="R22" i="10"/>
  <c r="B22" i="15"/>
  <c r="B23" i="3"/>
  <c r="A24" i="3"/>
  <c r="W24" i="3" s="1"/>
  <c r="A24" i="10"/>
  <c r="W23" i="15"/>
  <c r="B23" i="10"/>
  <c r="C23" i="10" s="1"/>
  <c r="A24" i="6"/>
  <c r="B23" i="6"/>
  <c r="C23" i="6" s="1"/>
  <c r="K23" i="15"/>
  <c r="AK24" i="15"/>
  <c r="R24" i="14"/>
  <c r="M22" i="15"/>
  <c r="R22" i="6"/>
  <c r="T22" i="6" s="1"/>
  <c r="AH21" i="15"/>
  <c r="R21" i="13"/>
  <c r="B22" i="13"/>
  <c r="C22" i="13" s="1"/>
  <c r="AF22" i="15"/>
  <c r="A23" i="13"/>
  <c r="B25" i="14"/>
  <c r="C25" i="14" s="1"/>
  <c r="AI25" i="15"/>
  <c r="A26" i="14"/>
  <c r="S22" i="15"/>
  <c r="R22" i="8"/>
  <c r="T22" i="8" s="1"/>
  <c r="A24" i="8"/>
  <c r="B23" i="8"/>
  <c r="C23" i="8" s="1"/>
  <c r="Q23" i="15"/>
  <c r="AE23" i="15"/>
  <c r="R23" i="12"/>
  <c r="T23" i="12" s="1"/>
  <c r="J23" i="15"/>
  <c r="R23" i="5"/>
  <c r="C23" i="9"/>
  <c r="D21" i="15"/>
  <c r="S22" i="3"/>
  <c r="U22" i="3" s="1"/>
  <c r="U23" i="13"/>
  <c r="U25" i="5"/>
  <c r="U23" i="7"/>
  <c r="U24" i="10"/>
  <c r="U24" i="6"/>
  <c r="U26" i="14"/>
  <c r="U25" i="9"/>
  <c r="U24" i="8"/>
  <c r="AE24" i="3" l="1"/>
  <c r="AC24" i="3"/>
  <c r="AF23" i="3"/>
  <c r="AK23" i="3" s="1"/>
  <c r="AD23" i="3"/>
  <c r="C23" i="3"/>
  <c r="C21" i="15"/>
  <c r="X24" i="3"/>
  <c r="T24" i="3" s="1"/>
  <c r="P24" i="3" s="1"/>
  <c r="O22" i="11"/>
  <c r="Q22" i="11" s="1"/>
  <c r="O24" i="5"/>
  <c r="Q24" i="5" s="1"/>
  <c r="O24" i="12"/>
  <c r="Q24" i="12" s="1"/>
  <c r="O22" i="7"/>
  <c r="Q22" i="7" s="1"/>
  <c r="O24" i="9"/>
  <c r="Q24" i="9" s="1"/>
  <c r="O23" i="8"/>
  <c r="Q23" i="8" s="1"/>
  <c r="R23" i="15" s="1"/>
  <c r="R23" i="3"/>
  <c r="AA23" i="3" s="1"/>
  <c r="V24" i="3"/>
  <c r="U23" i="11"/>
  <c r="U25" i="12"/>
  <c r="AC23" i="3" l="1"/>
  <c r="AJ23" i="3" s="1"/>
  <c r="AB23" i="3"/>
  <c r="AI23" i="3" s="1"/>
  <c r="Z24" i="3"/>
  <c r="AG23" i="3"/>
  <c r="AH23" i="3" s="1"/>
  <c r="T24" i="14"/>
  <c r="T23" i="5"/>
  <c r="I24" i="15"/>
  <c r="AA22" i="15"/>
  <c r="O22" i="15"/>
  <c r="U24" i="15"/>
  <c r="S24" i="8"/>
  <c r="Q25" i="14"/>
  <c r="AJ25" i="15" s="1"/>
  <c r="Q23" i="6"/>
  <c r="L23" i="15" s="1"/>
  <c r="Q22" i="13"/>
  <c r="AG22" i="15" s="1"/>
  <c r="T21" i="13"/>
  <c r="AD24" i="15"/>
  <c r="Q23" i="10"/>
  <c r="X23" i="15" s="1"/>
  <c r="T22" i="10"/>
  <c r="S26" i="14"/>
  <c r="S23" i="13"/>
  <c r="S25" i="12"/>
  <c r="O25" i="12" s="1"/>
  <c r="S23" i="11"/>
  <c r="O23" i="11" s="1"/>
  <c r="S24" i="10"/>
  <c r="O24" i="10" s="1"/>
  <c r="S25" i="9"/>
  <c r="O25" i="9" s="1"/>
  <c r="V23" i="15"/>
  <c r="R23" i="9"/>
  <c r="T23" i="9" s="1"/>
  <c r="S23" i="7"/>
  <c r="O23" i="7" s="1"/>
  <c r="S24" i="6"/>
  <c r="O24" i="6" s="1"/>
  <c r="S25" i="5"/>
  <c r="O25" i="5" s="1"/>
  <c r="AB22" i="15"/>
  <c r="R22" i="11"/>
  <c r="T22" i="11" s="1"/>
  <c r="A24" i="11"/>
  <c r="B23" i="11"/>
  <c r="C23" i="11" s="1"/>
  <c r="Z23" i="15"/>
  <c r="A24" i="7"/>
  <c r="B23" i="7"/>
  <c r="C23" i="7" s="1"/>
  <c r="N23" i="15"/>
  <c r="P22" i="15"/>
  <c r="R22" i="7"/>
  <c r="T22" i="7" s="1"/>
  <c r="AI26" i="15"/>
  <c r="A27" i="14"/>
  <c r="B26" i="14"/>
  <c r="C26" i="14" s="1"/>
  <c r="Y23" i="15"/>
  <c r="R23" i="10"/>
  <c r="AF23" i="15"/>
  <c r="A24" i="13"/>
  <c r="B23" i="13"/>
  <c r="C23" i="13" s="1"/>
  <c r="D22" i="15"/>
  <c r="S23" i="3"/>
  <c r="U23" i="3" s="1"/>
  <c r="C24" i="9"/>
  <c r="B25" i="9"/>
  <c r="T25" i="15"/>
  <c r="A26" i="9"/>
  <c r="AK25" i="15"/>
  <c r="R25" i="14"/>
  <c r="A25" i="10"/>
  <c r="B24" i="10"/>
  <c r="C24" i="10" s="1"/>
  <c r="W24" i="15"/>
  <c r="AH22" i="15"/>
  <c r="R22" i="13"/>
  <c r="B23" i="15"/>
  <c r="B24" i="3"/>
  <c r="A25" i="3"/>
  <c r="W25" i="3" s="1"/>
  <c r="M23" i="15"/>
  <c r="R23" i="6"/>
  <c r="A25" i="6"/>
  <c r="B24" i="6"/>
  <c r="C24" i="6" s="1"/>
  <c r="K24" i="15"/>
  <c r="S23" i="15"/>
  <c r="R23" i="8"/>
  <c r="T23" i="8" s="1"/>
  <c r="B24" i="8"/>
  <c r="C24" i="8" s="1"/>
  <c r="Q24" i="15"/>
  <c r="A25" i="8"/>
  <c r="A26" i="12"/>
  <c r="AC25" i="15"/>
  <c r="B25" i="12"/>
  <c r="C25" i="12" s="1"/>
  <c r="J24" i="15"/>
  <c r="R24" i="5"/>
  <c r="T24" i="5" s="1"/>
  <c r="AE24" i="15"/>
  <c r="R24" i="12"/>
  <c r="T24" i="12" s="1"/>
  <c r="B25" i="5"/>
  <c r="C25" i="5" s="1"/>
  <c r="A26" i="5"/>
  <c r="H25" i="15"/>
  <c r="U24" i="13"/>
  <c r="U25" i="6"/>
  <c r="AL23" i="3" l="1"/>
  <c r="AD24" i="3"/>
  <c r="AJ24" i="3" s="1"/>
  <c r="AF24" i="3"/>
  <c r="AK24" i="3" s="1"/>
  <c r="AE25" i="3"/>
  <c r="AC25" i="3"/>
  <c r="C24" i="3"/>
  <c r="C22" i="15"/>
  <c r="X25" i="3"/>
  <c r="O23" i="13"/>
  <c r="Q23" i="13" s="1"/>
  <c r="O26" i="14"/>
  <c r="Q26" i="14" s="1"/>
  <c r="O24" i="8"/>
  <c r="Q24" i="8" s="1"/>
  <c r="R24" i="15" s="1"/>
  <c r="R24" i="3"/>
  <c r="AA24" i="3" s="1"/>
  <c r="AB24" i="3" s="1"/>
  <c r="AI24" i="3" s="1"/>
  <c r="U24" i="11"/>
  <c r="U26" i="5"/>
  <c r="U27" i="14"/>
  <c r="U25" i="8"/>
  <c r="U26" i="12"/>
  <c r="V25" i="3"/>
  <c r="U24" i="7"/>
  <c r="U26" i="9"/>
  <c r="U25" i="10"/>
  <c r="T25" i="3" l="1"/>
  <c r="P25" i="3" s="1"/>
  <c r="Z25" i="3"/>
  <c r="AG24" i="3"/>
  <c r="AH24" i="3" s="1"/>
  <c r="AL24" i="3" s="1"/>
  <c r="T23" i="10"/>
  <c r="T23" i="6"/>
  <c r="T25" i="14"/>
  <c r="S25" i="8"/>
  <c r="AG23" i="15"/>
  <c r="AJ26" i="15"/>
  <c r="Q23" i="11"/>
  <c r="AA23" i="15" s="1"/>
  <c r="Q23" i="7"/>
  <c r="O23" i="15" s="1"/>
  <c r="Q25" i="5"/>
  <c r="I25" i="15" s="1"/>
  <c r="Q24" i="6"/>
  <c r="L24" i="15" s="1"/>
  <c r="T22" i="13"/>
  <c r="Q25" i="12"/>
  <c r="AD25" i="15" s="1"/>
  <c r="Q24" i="10"/>
  <c r="X24" i="15" s="1"/>
  <c r="Q25" i="9"/>
  <c r="U25" i="15" s="1"/>
  <c r="S27" i="14"/>
  <c r="S24" i="13"/>
  <c r="S26" i="12"/>
  <c r="O26" i="12" s="1"/>
  <c r="S24" i="11"/>
  <c r="O24" i="11" s="1"/>
  <c r="S25" i="10"/>
  <c r="O25" i="10" s="1"/>
  <c r="V24" i="15"/>
  <c r="R24" i="9"/>
  <c r="T24" i="9" s="1"/>
  <c r="S26" i="9"/>
  <c r="O26" i="9" s="1"/>
  <c r="S24" i="7"/>
  <c r="S25" i="6"/>
  <c r="O25" i="6" s="1"/>
  <c r="S26" i="5"/>
  <c r="AB23" i="15"/>
  <c r="R23" i="11"/>
  <c r="B24" i="11"/>
  <c r="C24" i="11" s="1"/>
  <c r="A25" i="11"/>
  <c r="Z24" i="15"/>
  <c r="R23" i="7"/>
  <c r="P23" i="15"/>
  <c r="B24" i="7"/>
  <c r="C24" i="7" s="1"/>
  <c r="N24" i="15"/>
  <c r="A25" i="7"/>
  <c r="B26" i="5"/>
  <c r="C26" i="5" s="1"/>
  <c r="A27" i="5"/>
  <c r="H26" i="15"/>
  <c r="J25" i="15"/>
  <c r="R25" i="5"/>
  <c r="A26" i="3"/>
  <c r="W26" i="3" s="1"/>
  <c r="B25" i="3"/>
  <c r="B24" i="15"/>
  <c r="D23" i="15"/>
  <c r="S24" i="3"/>
  <c r="U24" i="3" s="1"/>
  <c r="AE25" i="15"/>
  <c r="R25" i="12"/>
  <c r="A27" i="12"/>
  <c r="AC26" i="15"/>
  <c r="B26" i="12"/>
  <c r="C26" i="12" s="1"/>
  <c r="A26" i="8"/>
  <c r="B25" i="8"/>
  <c r="C25" i="8" s="1"/>
  <c r="Q25" i="15"/>
  <c r="Y24" i="15"/>
  <c r="R24" i="10"/>
  <c r="A26" i="10"/>
  <c r="W25" i="15"/>
  <c r="B25" i="10"/>
  <c r="C25" i="10" s="1"/>
  <c r="AH23" i="15"/>
  <c r="R23" i="13"/>
  <c r="T23" i="13" s="1"/>
  <c r="S24" i="15"/>
  <c r="R24" i="8"/>
  <c r="T24" i="8" s="1"/>
  <c r="A25" i="13"/>
  <c r="B24" i="13"/>
  <c r="C24" i="13" s="1"/>
  <c r="AF24" i="15"/>
  <c r="B26" i="9"/>
  <c r="A27" i="9"/>
  <c r="T26" i="15"/>
  <c r="M24" i="15"/>
  <c r="R24" i="6"/>
  <c r="AK26" i="15"/>
  <c r="R26" i="14"/>
  <c r="T26" i="14" s="1"/>
  <c r="A26" i="6"/>
  <c r="K25" i="15"/>
  <c r="B25" i="6"/>
  <c r="C25" i="6" s="1"/>
  <c r="C25" i="9"/>
  <c r="A28" i="14"/>
  <c r="B27" i="14"/>
  <c r="C27" i="14" s="1"/>
  <c r="AI27" i="15"/>
  <c r="U28" i="14"/>
  <c r="U27" i="9"/>
  <c r="U26" i="6"/>
  <c r="U27" i="5"/>
  <c r="U27" i="12"/>
  <c r="U26" i="10"/>
  <c r="U25" i="11"/>
  <c r="U26" i="8"/>
  <c r="U25" i="13"/>
  <c r="AF25" i="3" l="1"/>
  <c r="AK25" i="3" s="1"/>
  <c r="AD25" i="3"/>
  <c r="AJ25" i="3" s="1"/>
  <c r="AE26" i="3"/>
  <c r="AC26" i="3"/>
  <c r="C25" i="3"/>
  <c r="X26" i="3"/>
  <c r="T26" i="3" s="1"/>
  <c r="P26" i="3" s="1"/>
  <c r="C23" i="15"/>
  <c r="O25" i="8"/>
  <c r="Q25" i="8" s="1"/>
  <c r="R25" i="15" s="1"/>
  <c r="O26" i="5"/>
  <c r="Q26" i="5" s="1"/>
  <c r="O24" i="13"/>
  <c r="Q24" i="13" s="1"/>
  <c r="O24" i="7"/>
  <c r="Q24" i="7" s="1"/>
  <c r="O24" i="15" s="1"/>
  <c r="O27" i="14"/>
  <c r="Q27" i="14" s="1"/>
  <c r="R25" i="3"/>
  <c r="AA25" i="3" s="1"/>
  <c r="AB25" i="3" s="1"/>
  <c r="AI25" i="3" s="1"/>
  <c r="U25" i="7"/>
  <c r="V26" i="3"/>
  <c r="Z26" i="3" l="1"/>
  <c r="AG25" i="3"/>
  <c r="AH25" i="3" s="1"/>
  <c r="AL25" i="3" s="1"/>
  <c r="T25" i="12"/>
  <c r="T23" i="7"/>
  <c r="T24" i="6"/>
  <c r="T23" i="11"/>
  <c r="T25" i="5"/>
  <c r="S26" i="8"/>
  <c r="I26" i="15"/>
  <c r="AG24" i="15"/>
  <c r="Q24" i="11"/>
  <c r="AA24" i="15" s="1"/>
  <c r="AJ27" i="15"/>
  <c r="Q25" i="6"/>
  <c r="L25" i="15" s="1"/>
  <c r="W37" i="13"/>
  <c r="Q26" i="12"/>
  <c r="AD26" i="15" s="1"/>
  <c r="Q25" i="10"/>
  <c r="X25" i="15" s="1"/>
  <c r="T24" i="10"/>
  <c r="Q26" i="9"/>
  <c r="U26" i="15" s="1"/>
  <c r="S28" i="14"/>
  <c r="O28" i="14" s="1"/>
  <c r="S25" i="13"/>
  <c r="S27" i="12"/>
  <c r="O27" i="12" s="1"/>
  <c r="S25" i="11"/>
  <c r="S26" i="10"/>
  <c r="O26" i="10" s="1"/>
  <c r="S27" i="9"/>
  <c r="O27" i="9" s="1"/>
  <c r="V25" i="15"/>
  <c r="R25" i="9"/>
  <c r="T25" i="9" s="1"/>
  <c r="S25" i="7"/>
  <c r="S26" i="6"/>
  <c r="S27" i="5"/>
  <c r="O27" i="5" s="1"/>
  <c r="A26" i="11"/>
  <c r="B25" i="11"/>
  <c r="C25" i="11" s="1"/>
  <c r="Z25" i="15"/>
  <c r="AB24" i="15"/>
  <c r="R24" i="11"/>
  <c r="N25" i="15"/>
  <c r="A26" i="7"/>
  <c r="B25" i="7"/>
  <c r="C25" i="7" s="1"/>
  <c r="P24" i="15"/>
  <c r="R24" i="7"/>
  <c r="T24" i="7" s="1"/>
  <c r="S25" i="15"/>
  <c r="R25" i="8"/>
  <c r="T25" i="8" s="1"/>
  <c r="AH24" i="15"/>
  <c r="R24" i="13"/>
  <c r="T24" i="13" s="1"/>
  <c r="A26" i="13"/>
  <c r="AF25" i="15"/>
  <c r="B25" i="13"/>
  <c r="C25" i="13" s="1"/>
  <c r="A28" i="12"/>
  <c r="AC27" i="15"/>
  <c r="B27" i="12"/>
  <c r="C27" i="12" s="1"/>
  <c r="A29" i="14"/>
  <c r="AI28" i="15"/>
  <c r="B28" i="14"/>
  <c r="C28" i="14" s="1"/>
  <c r="M25" i="15"/>
  <c r="R25" i="6"/>
  <c r="AK27" i="15"/>
  <c r="R27" i="14"/>
  <c r="T27" i="14" s="1"/>
  <c r="A27" i="6"/>
  <c r="B26" i="6"/>
  <c r="C26" i="6" s="1"/>
  <c r="K26" i="15"/>
  <c r="D24" i="15"/>
  <c r="S25" i="3"/>
  <c r="U25" i="3" s="1"/>
  <c r="Y25" i="15"/>
  <c r="R25" i="10"/>
  <c r="B26" i="3"/>
  <c r="B25" i="15"/>
  <c r="A27" i="3"/>
  <c r="W27" i="3" s="1"/>
  <c r="W26" i="15"/>
  <c r="A27" i="10"/>
  <c r="B26" i="10"/>
  <c r="C26" i="10" s="1"/>
  <c r="A28" i="9"/>
  <c r="B27" i="9"/>
  <c r="T27" i="15"/>
  <c r="B27" i="5"/>
  <c r="C27" i="5" s="1"/>
  <c r="A28" i="5"/>
  <c r="H27" i="15"/>
  <c r="C26" i="9"/>
  <c r="A27" i="8"/>
  <c r="B26" i="8"/>
  <c r="C26" i="8" s="1"/>
  <c r="Q26" i="15"/>
  <c r="J26" i="15"/>
  <c r="R26" i="5"/>
  <c r="T26" i="5" s="1"/>
  <c r="AE26" i="15"/>
  <c r="R26" i="12"/>
  <c r="U29" i="14"/>
  <c r="U28" i="9"/>
  <c r="U26" i="13"/>
  <c r="U26" i="11"/>
  <c r="U26" i="7"/>
  <c r="U28" i="12"/>
  <c r="U27" i="6"/>
  <c r="U27" i="8"/>
  <c r="U28" i="5"/>
  <c r="AD26" i="3" l="1"/>
  <c r="AJ26" i="3" s="1"/>
  <c r="AF26" i="3"/>
  <c r="AK26" i="3" s="1"/>
  <c r="C26" i="3"/>
  <c r="X27" i="3"/>
  <c r="T27" i="3" s="1"/>
  <c r="P27" i="3" s="1"/>
  <c r="C24" i="15"/>
  <c r="O26" i="8"/>
  <c r="Q26" i="8" s="1"/>
  <c r="R26" i="15" s="1"/>
  <c r="O25" i="11"/>
  <c r="Q25" i="11" s="1"/>
  <c r="O26" i="6"/>
  <c r="Q26" i="6" s="1"/>
  <c r="O25" i="13"/>
  <c r="Q25" i="13" s="1"/>
  <c r="O25" i="7"/>
  <c r="Q25" i="7" s="1"/>
  <c r="R26" i="3"/>
  <c r="AA26" i="3" s="1"/>
  <c r="AB26" i="3" s="1"/>
  <c r="AI26" i="3" s="1"/>
  <c r="V27" i="3"/>
  <c r="U27" i="10"/>
  <c r="Z27" i="3" l="1"/>
  <c r="AE27" i="3" s="1"/>
  <c r="AG26" i="3"/>
  <c r="AH26" i="3" s="1"/>
  <c r="AL26" i="3" s="1"/>
  <c r="T25" i="6"/>
  <c r="T24" i="11"/>
  <c r="T25" i="10"/>
  <c r="AA25" i="15"/>
  <c r="S27" i="8"/>
  <c r="L26" i="15"/>
  <c r="AG25" i="15"/>
  <c r="Q27" i="5"/>
  <c r="I27" i="15" s="1"/>
  <c r="O25" i="15"/>
  <c r="T26" i="12"/>
  <c r="Q28" i="14"/>
  <c r="AJ28" i="15" s="1"/>
  <c r="Q27" i="12"/>
  <c r="AD27" i="15" s="1"/>
  <c r="Q26" i="10"/>
  <c r="X26" i="15" s="1"/>
  <c r="Q27" i="9"/>
  <c r="U27" i="15" s="1"/>
  <c r="S29" i="14"/>
  <c r="S26" i="13"/>
  <c r="S28" i="12"/>
  <c r="O28" i="12" s="1"/>
  <c r="S26" i="11"/>
  <c r="S27" i="10"/>
  <c r="V26" i="15"/>
  <c r="R26" i="9"/>
  <c r="T26" i="9" s="1"/>
  <c r="S28" i="9"/>
  <c r="O28" i="9" s="1"/>
  <c r="S26" i="7"/>
  <c r="S27" i="6"/>
  <c r="O27" i="6" s="1"/>
  <c r="S28" i="5"/>
  <c r="AB25" i="15"/>
  <c r="R25" i="11"/>
  <c r="T25" i="11" s="1"/>
  <c r="A27" i="11"/>
  <c r="Z26" i="15"/>
  <c r="B26" i="11"/>
  <c r="C26" i="11" s="1"/>
  <c r="A27" i="7"/>
  <c r="N26" i="15"/>
  <c r="B26" i="7"/>
  <c r="C26" i="7" s="1"/>
  <c r="R25" i="7"/>
  <c r="T25" i="7" s="1"/>
  <c r="P25" i="15"/>
  <c r="B27" i="3"/>
  <c r="A28" i="3"/>
  <c r="W28" i="3" s="1"/>
  <c r="B26" i="15"/>
  <c r="AE27" i="15"/>
  <c r="R27" i="12"/>
  <c r="A29" i="12"/>
  <c r="AC28" i="15"/>
  <c r="B28" i="12"/>
  <c r="C28" i="12" s="1"/>
  <c r="A30" i="14"/>
  <c r="B29" i="14"/>
  <c r="C29" i="14" s="1"/>
  <c r="AI29" i="15"/>
  <c r="D25" i="15"/>
  <c r="S26" i="3"/>
  <c r="U26" i="3" s="1"/>
  <c r="H28" i="15"/>
  <c r="A29" i="5"/>
  <c r="B28" i="5"/>
  <c r="C28" i="5" s="1"/>
  <c r="AH25" i="15"/>
  <c r="R25" i="13"/>
  <c r="T25" i="13" s="1"/>
  <c r="A27" i="13"/>
  <c r="AF26" i="15"/>
  <c r="B26" i="13"/>
  <c r="C26" i="13" s="1"/>
  <c r="C27" i="9"/>
  <c r="AK28" i="15"/>
  <c r="R28" i="14"/>
  <c r="J27" i="15"/>
  <c r="R27" i="5"/>
  <c r="B27" i="6"/>
  <c r="C27" i="6" s="1"/>
  <c r="A28" i="6"/>
  <c r="K27" i="15"/>
  <c r="A28" i="10"/>
  <c r="B27" i="10"/>
  <c r="C27" i="10" s="1"/>
  <c r="W27" i="15"/>
  <c r="M26" i="15"/>
  <c r="R26" i="6"/>
  <c r="T26" i="6" s="1"/>
  <c r="A29" i="9"/>
  <c r="B28" i="9"/>
  <c r="T28" i="15"/>
  <c r="Y26" i="15"/>
  <c r="R26" i="10"/>
  <c r="S26" i="15"/>
  <c r="R26" i="8"/>
  <c r="T26" i="8" s="1"/>
  <c r="A28" i="8"/>
  <c r="B27" i="8"/>
  <c r="C27" i="8" s="1"/>
  <c r="Q27" i="15"/>
  <c r="U28" i="10"/>
  <c r="U27" i="11"/>
  <c r="U29" i="9"/>
  <c r="U28" i="8"/>
  <c r="U29" i="5"/>
  <c r="U30" i="14"/>
  <c r="U27" i="7"/>
  <c r="U29" i="12"/>
  <c r="U27" i="13"/>
  <c r="AE28" i="3" l="1"/>
  <c r="AC28" i="3"/>
  <c r="AF27" i="3"/>
  <c r="AK27" i="3" s="1"/>
  <c r="AD27" i="3"/>
  <c r="C27" i="3"/>
  <c r="X28" i="3"/>
  <c r="T28" i="3" s="1"/>
  <c r="P28" i="3" s="1"/>
  <c r="C25" i="15"/>
  <c r="O27" i="10"/>
  <c r="Q27" i="10" s="1"/>
  <c r="O26" i="11"/>
  <c r="Q26" i="11" s="1"/>
  <c r="O28" i="5"/>
  <c r="Q28" i="5" s="1"/>
  <c r="O26" i="13"/>
  <c r="Q26" i="13" s="1"/>
  <c r="O27" i="8"/>
  <c r="Q27" i="8" s="1"/>
  <c r="R27" i="15" s="1"/>
  <c r="O26" i="7"/>
  <c r="Q26" i="7" s="1"/>
  <c r="O29" i="14"/>
  <c r="Q29" i="14" s="1"/>
  <c r="R27" i="3"/>
  <c r="AA27" i="3" s="1"/>
  <c r="U28" i="6"/>
  <c r="V28" i="3"/>
  <c r="AB27" i="3" l="1"/>
  <c r="AI27" i="3" s="1"/>
  <c r="AC27" i="3"/>
  <c r="AJ27" i="3" s="1"/>
  <c r="Z28" i="3"/>
  <c r="AG27" i="3"/>
  <c r="AH27" i="3" s="1"/>
  <c r="T28" i="14"/>
  <c r="T27" i="5"/>
  <c r="X27" i="15"/>
  <c r="AA26" i="15"/>
  <c r="S28" i="8"/>
  <c r="I28" i="15"/>
  <c r="AG26" i="15"/>
  <c r="T27" i="12"/>
  <c r="O26" i="15"/>
  <c r="AJ29" i="15"/>
  <c r="Q27" i="6"/>
  <c r="L27" i="15" s="1"/>
  <c r="Q28" i="12"/>
  <c r="AD28" i="15" s="1"/>
  <c r="T26" i="10"/>
  <c r="Q28" i="9"/>
  <c r="U28" i="15" s="1"/>
  <c r="S30" i="14"/>
  <c r="O30" i="14" s="1"/>
  <c r="S27" i="13"/>
  <c r="O27" i="13" s="1"/>
  <c r="S29" i="12"/>
  <c r="O29" i="12" s="1"/>
  <c r="S27" i="11"/>
  <c r="O27" i="11" s="1"/>
  <c r="S28" i="10"/>
  <c r="V27" i="15"/>
  <c r="R27" i="9"/>
  <c r="T27" i="9" s="1"/>
  <c r="S29" i="9"/>
  <c r="O29" i="9" s="1"/>
  <c r="S27" i="7"/>
  <c r="S28" i="6"/>
  <c r="O28" i="6" s="1"/>
  <c r="S29" i="5"/>
  <c r="O29" i="5" s="1"/>
  <c r="AB26" i="15"/>
  <c r="R26" i="11"/>
  <c r="T26" i="11" s="1"/>
  <c r="A28" i="11"/>
  <c r="Z27" i="15"/>
  <c r="B27" i="11"/>
  <c r="C27" i="11" s="1"/>
  <c r="P26" i="15"/>
  <c r="R26" i="7"/>
  <c r="T26" i="7" s="1"/>
  <c r="B27" i="7"/>
  <c r="C27" i="7" s="1"/>
  <c r="A28" i="7"/>
  <c r="N27" i="15"/>
  <c r="M27" i="15"/>
  <c r="R27" i="6"/>
  <c r="C28" i="9"/>
  <c r="S27" i="15"/>
  <c r="R27" i="8"/>
  <c r="T27" i="8" s="1"/>
  <c r="A29" i="8"/>
  <c r="S29" i="8" s="1"/>
  <c r="B28" i="8"/>
  <c r="C28" i="8" s="1"/>
  <c r="Q28" i="15"/>
  <c r="A29" i="6"/>
  <c r="B28" i="6"/>
  <c r="C28" i="6" s="1"/>
  <c r="K28" i="15"/>
  <c r="AK29" i="15"/>
  <c r="R29" i="14"/>
  <c r="T29" i="14" s="1"/>
  <c r="A31" i="14"/>
  <c r="AI30" i="15"/>
  <c r="B30" i="14"/>
  <c r="C30" i="14" s="1"/>
  <c r="AE28" i="15"/>
  <c r="R28" i="12"/>
  <c r="A30" i="12"/>
  <c r="AC29" i="15"/>
  <c r="B29" i="12"/>
  <c r="C29" i="12" s="1"/>
  <c r="A30" i="9"/>
  <c r="B29" i="9"/>
  <c r="T29" i="15"/>
  <c r="AH26" i="15"/>
  <c r="R26" i="13"/>
  <c r="T26" i="13" s="1"/>
  <c r="A28" i="13"/>
  <c r="AF27" i="15"/>
  <c r="B27" i="13"/>
  <c r="C27" i="13" s="1"/>
  <c r="J28" i="15"/>
  <c r="R28" i="5"/>
  <c r="T28" i="5" s="1"/>
  <c r="W28" i="15"/>
  <c r="A29" i="10"/>
  <c r="B28" i="10"/>
  <c r="C28" i="10" s="1"/>
  <c r="A30" i="5"/>
  <c r="B29" i="5"/>
  <c r="C29" i="5" s="1"/>
  <c r="H29" i="15"/>
  <c r="B27" i="15"/>
  <c r="B28" i="3"/>
  <c r="A29" i="3"/>
  <c r="W29" i="3" s="1"/>
  <c r="Y27" i="15"/>
  <c r="R27" i="10"/>
  <c r="T27" i="10" s="1"/>
  <c r="D26" i="15"/>
  <c r="S27" i="3"/>
  <c r="U27" i="3" s="1"/>
  <c r="U30" i="12"/>
  <c r="U30" i="9"/>
  <c r="AL27" i="3" l="1"/>
  <c r="AE29" i="3"/>
  <c r="AC29" i="3"/>
  <c r="AD28" i="3"/>
  <c r="AJ28" i="3" s="1"/>
  <c r="AF28" i="3"/>
  <c r="AK28" i="3" s="1"/>
  <c r="C28" i="3"/>
  <c r="X29" i="3"/>
  <c r="C26" i="15"/>
  <c r="O28" i="10"/>
  <c r="Q28" i="10" s="1"/>
  <c r="O28" i="8"/>
  <c r="Q28" i="8" s="1"/>
  <c r="R28" i="15" s="1"/>
  <c r="O29" i="8"/>
  <c r="Q29" i="8" s="1"/>
  <c r="O27" i="7"/>
  <c r="Q27" i="7" s="1"/>
  <c r="R28" i="3"/>
  <c r="AA28" i="3" s="1"/>
  <c r="AB28" i="3" s="1"/>
  <c r="AI28" i="3" s="1"/>
  <c r="U28" i="11"/>
  <c r="U29" i="8"/>
  <c r="U30" i="5"/>
  <c r="U29" i="6"/>
  <c r="U28" i="7"/>
  <c r="V29" i="3"/>
  <c r="U28" i="13"/>
  <c r="U31" i="14"/>
  <c r="U29" i="10"/>
  <c r="T29" i="3" l="1"/>
  <c r="P29" i="3" s="1"/>
  <c r="Z29" i="3"/>
  <c r="AG28" i="3"/>
  <c r="AH28" i="3" s="1"/>
  <c r="AL28" i="3" s="1"/>
  <c r="T27" i="6"/>
  <c r="T28" i="12"/>
  <c r="Q29" i="12"/>
  <c r="AD29" i="15" s="1"/>
  <c r="O27" i="15"/>
  <c r="Q27" i="13"/>
  <c r="AG27" i="15" s="1"/>
  <c r="Q27" i="11"/>
  <c r="AA27" i="15" s="1"/>
  <c r="Q29" i="5"/>
  <c r="I29" i="15" s="1"/>
  <c r="Q30" i="14"/>
  <c r="AJ30" i="15" s="1"/>
  <c r="X28" i="15"/>
  <c r="Q28" i="6"/>
  <c r="L28" i="15" s="1"/>
  <c r="Q29" i="9"/>
  <c r="U29" i="15" s="1"/>
  <c r="S31" i="14"/>
  <c r="S28" i="13"/>
  <c r="O28" i="13" s="1"/>
  <c r="S30" i="12"/>
  <c r="O30" i="12" s="1"/>
  <c r="S28" i="11"/>
  <c r="O28" i="11" s="1"/>
  <c r="S29" i="10"/>
  <c r="O29" i="10" s="1"/>
  <c r="V28" i="15"/>
  <c r="R28" i="9"/>
  <c r="T28" i="9" s="1"/>
  <c r="S30" i="9"/>
  <c r="S28" i="7"/>
  <c r="S29" i="6"/>
  <c r="S30" i="5"/>
  <c r="AB27" i="15"/>
  <c r="R27" i="11"/>
  <c r="A29" i="11"/>
  <c r="B28" i="11"/>
  <c r="C28" i="11" s="1"/>
  <c r="Z28" i="15"/>
  <c r="A29" i="7"/>
  <c r="B28" i="7"/>
  <c r="C28" i="7" s="1"/>
  <c r="N28" i="15"/>
  <c r="P27" i="15"/>
  <c r="R27" i="7"/>
  <c r="T27" i="7" s="1"/>
  <c r="D27" i="15"/>
  <c r="S28" i="3"/>
  <c r="U28" i="3" s="1"/>
  <c r="J29" i="15"/>
  <c r="R29" i="5"/>
  <c r="B30" i="5"/>
  <c r="C30" i="5" s="1"/>
  <c r="A31" i="5"/>
  <c r="H30" i="15"/>
  <c r="Y28" i="15"/>
  <c r="R28" i="10"/>
  <c r="T28" i="10" s="1"/>
  <c r="B29" i="3"/>
  <c r="B28" i="15"/>
  <c r="A30" i="3"/>
  <c r="W30" i="3" s="1"/>
  <c r="B29" i="10"/>
  <c r="C29" i="10" s="1"/>
  <c r="W29" i="15"/>
  <c r="A30" i="10"/>
  <c r="M28" i="15"/>
  <c r="R28" i="6"/>
  <c r="A30" i="6"/>
  <c r="B29" i="6"/>
  <c r="C29" i="6" s="1"/>
  <c r="K29" i="15"/>
  <c r="S28" i="15"/>
  <c r="R28" i="8"/>
  <c r="T28" i="8" s="1"/>
  <c r="C29" i="9"/>
  <c r="R29" i="15"/>
  <c r="Q29" i="15"/>
  <c r="A30" i="8"/>
  <c r="S30" i="8" s="1"/>
  <c r="B29" i="8"/>
  <c r="C29" i="8" s="1"/>
  <c r="A31" i="9"/>
  <c r="T30" i="15"/>
  <c r="B30" i="9"/>
  <c r="AE29" i="15"/>
  <c r="R29" i="12"/>
  <c r="AH27" i="15"/>
  <c r="R27" i="13"/>
  <c r="A32" i="14"/>
  <c r="A34" i="14"/>
  <c r="A33" i="14"/>
  <c r="B31" i="14"/>
  <c r="C31" i="14" s="1"/>
  <c r="AI31" i="15"/>
  <c r="AC30" i="15"/>
  <c r="A31" i="12"/>
  <c r="B30" i="12"/>
  <c r="C30" i="12" s="1"/>
  <c r="AK30" i="15"/>
  <c r="R30" i="14"/>
  <c r="B28" i="13"/>
  <c r="C28" i="13" s="1"/>
  <c r="A29" i="13"/>
  <c r="AF28" i="15"/>
  <c r="U31" i="5"/>
  <c r="U29" i="13"/>
  <c r="U30" i="6"/>
  <c r="U32" i="14"/>
  <c r="AF29" i="3" l="1"/>
  <c r="AK29" i="3" s="1"/>
  <c r="AD29" i="3"/>
  <c r="AJ29" i="3" s="1"/>
  <c r="C29" i="3"/>
  <c r="X30" i="3"/>
  <c r="T30" i="3" s="1"/>
  <c r="P30" i="3" s="1"/>
  <c r="C27" i="15"/>
  <c r="O28" i="7"/>
  <c r="Q28" i="7" s="1"/>
  <c r="O31" i="14"/>
  <c r="Q31" i="14" s="1"/>
  <c r="O30" i="9"/>
  <c r="Q30" i="9" s="1"/>
  <c r="O29" i="6"/>
  <c r="Q29" i="6" s="1"/>
  <c r="O30" i="8"/>
  <c r="Q30" i="8" s="1"/>
  <c r="O30" i="5"/>
  <c r="Q30" i="5" s="1"/>
  <c r="R29" i="3"/>
  <c r="AA29" i="3" s="1"/>
  <c r="AB29" i="3" s="1"/>
  <c r="AI29" i="3" s="1"/>
  <c r="U30" i="10"/>
  <c r="U31" i="9"/>
  <c r="U30" i="8"/>
  <c r="V30" i="3"/>
  <c r="U29" i="7"/>
  <c r="U29" i="11"/>
  <c r="U33" i="14"/>
  <c r="U31" i="12"/>
  <c r="U34" i="14"/>
  <c r="Z30" i="3" l="1"/>
  <c r="AE30" i="3" s="1"/>
  <c r="AG29" i="3"/>
  <c r="AH29" i="3" s="1"/>
  <c r="AL29" i="3" s="1"/>
  <c r="T29" i="12"/>
  <c r="T30" i="14"/>
  <c r="T29" i="5"/>
  <c r="T27" i="11"/>
  <c r="T28" i="6"/>
  <c r="T27" i="13"/>
  <c r="I30" i="15"/>
  <c r="L29" i="15"/>
  <c r="O28" i="15"/>
  <c r="AJ31" i="15"/>
  <c r="U30" i="15"/>
  <c r="Q28" i="11"/>
  <c r="AA28" i="15" s="1"/>
  <c r="Q30" i="12"/>
  <c r="AD30" i="15" s="1"/>
  <c r="Q28" i="13"/>
  <c r="AG28" i="15" s="1"/>
  <c r="Q29" i="10"/>
  <c r="X29" i="15" s="1"/>
  <c r="S32" i="14"/>
  <c r="S33" i="14"/>
  <c r="S34" i="14"/>
  <c r="S29" i="13"/>
  <c r="O29" i="13" s="1"/>
  <c r="S31" i="12"/>
  <c r="O31" i="12" s="1"/>
  <c r="S29" i="11"/>
  <c r="S30" i="10"/>
  <c r="O30" i="10" s="1"/>
  <c r="S31" i="9"/>
  <c r="V29" i="15"/>
  <c r="R29" i="9"/>
  <c r="T29" i="9" s="1"/>
  <c r="S29" i="7"/>
  <c r="O29" i="7" s="1"/>
  <c r="S30" i="6"/>
  <c r="O30" i="6" s="1"/>
  <c r="S31" i="5"/>
  <c r="O31" i="5" s="1"/>
  <c r="W37" i="14"/>
  <c r="AB28" i="15"/>
  <c r="R28" i="11"/>
  <c r="Z29" i="15"/>
  <c r="B29" i="11"/>
  <c r="C29" i="11" s="1"/>
  <c r="A30" i="11"/>
  <c r="R28" i="7"/>
  <c r="T28" i="7" s="1"/>
  <c r="P28" i="15"/>
  <c r="N29" i="15"/>
  <c r="B29" i="7"/>
  <c r="C29" i="7" s="1"/>
  <c r="A30" i="7"/>
  <c r="A33" i="9"/>
  <c r="A32" i="9"/>
  <c r="B31" i="9"/>
  <c r="A34" i="9"/>
  <c r="T31" i="15"/>
  <c r="C34" i="14"/>
  <c r="B34" i="14"/>
  <c r="AI34" i="15"/>
  <c r="C32" i="14"/>
  <c r="AI32" i="15"/>
  <c r="B32" i="14"/>
  <c r="C33" i="14"/>
  <c r="B33" i="14"/>
  <c r="AI33" i="15"/>
  <c r="A31" i="10"/>
  <c r="W30" i="15"/>
  <c r="B30" i="10"/>
  <c r="C30" i="10" s="1"/>
  <c r="Y29" i="15"/>
  <c r="R29" i="10"/>
  <c r="AK31" i="15"/>
  <c r="R31" i="14"/>
  <c r="T31" i="14" s="1"/>
  <c r="A31" i="8"/>
  <c r="S31" i="8" s="1"/>
  <c r="B30" i="8"/>
  <c r="C30" i="8" s="1"/>
  <c r="R30" i="15"/>
  <c r="Q30" i="15"/>
  <c r="B29" i="15"/>
  <c r="A31" i="3"/>
  <c r="W31" i="3" s="1"/>
  <c r="B30" i="3"/>
  <c r="D28" i="15"/>
  <c r="S29" i="3"/>
  <c r="U29" i="3" s="1"/>
  <c r="B29" i="13"/>
  <c r="C29" i="13" s="1"/>
  <c r="AF29" i="15"/>
  <c r="A30" i="13"/>
  <c r="AH28" i="15"/>
  <c r="R28" i="13"/>
  <c r="M29" i="15"/>
  <c r="R29" i="6"/>
  <c r="T29" i="6" s="1"/>
  <c r="A31" i="6"/>
  <c r="B30" i="6"/>
  <c r="C30" i="6" s="1"/>
  <c r="K30" i="15"/>
  <c r="A33" i="5"/>
  <c r="A34" i="5"/>
  <c r="B31" i="5"/>
  <c r="C31" i="5" s="1"/>
  <c r="H31" i="15"/>
  <c r="A32" i="5"/>
  <c r="AE30" i="15"/>
  <c r="R30" i="12"/>
  <c r="J30" i="15"/>
  <c r="R30" i="5"/>
  <c r="T30" i="5" s="1"/>
  <c r="A34" i="12"/>
  <c r="A32" i="12"/>
  <c r="B31" i="12"/>
  <c r="C31" i="12" s="1"/>
  <c r="AC31" i="15"/>
  <c r="A33" i="12"/>
  <c r="S29" i="15"/>
  <c r="R29" i="8"/>
  <c r="T29" i="8" s="1"/>
  <c r="C30" i="9"/>
  <c r="U31" i="6"/>
  <c r="U31" i="10"/>
  <c r="U32" i="9"/>
  <c r="U33" i="9"/>
  <c r="U31" i="8"/>
  <c r="U33" i="12"/>
  <c r="U32" i="5"/>
  <c r="U34" i="12"/>
  <c r="U30" i="13"/>
  <c r="U32" i="12"/>
  <c r="U30" i="7"/>
  <c r="U34" i="9"/>
  <c r="U30" i="11"/>
  <c r="U34" i="5"/>
  <c r="AF30" i="3" l="1"/>
  <c r="AK30" i="3" s="1"/>
  <c r="AD30" i="3"/>
  <c r="AE31" i="3"/>
  <c r="AC31" i="3"/>
  <c r="C30" i="3"/>
  <c r="X31" i="3"/>
  <c r="T31" i="3" s="1"/>
  <c r="P31" i="3" s="1"/>
  <c r="C28" i="15"/>
  <c r="O31" i="8"/>
  <c r="Q31" i="8" s="1"/>
  <c r="O34" i="14"/>
  <c r="Q34" i="14" s="1"/>
  <c r="O33" i="14"/>
  <c r="Q33" i="14" s="1"/>
  <c r="O32" i="14"/>
  <c r="Q32" i="14" s="1"/>
  <c r="O29" i="11"/>
  <c r="Q29" i="11" s="1"/>
  <c r="O31" i="9"/>
  <c r="Q31" i="9" s="1"/>
  <c r="R30" i="3"/>
  <c r="AA30" i="3" s="1"/>
  <c r="U33" i="5"/>
  <c r="V31" i="3"/>
  <c r="AC30" i="3" l="1"/>
  <c r="AJ30" i="3" s="1"/>
  <c r="AB30" i="3"/>
  <c r="AI30" i="3" s="1"/>
  <c r="Z31" i="3"/>
  <c r="AG30" i="3"/>
  <c r="AH30" i="3" s="1"/>
  <c r="T28" i="13"/>
  <c r="T30" i="12"/>
  <c r="T28" i="11"/>
  <c r="T29" i="10"/>
  <c r="U31" i="15"/>
  <c r="Q29" i="7"/>
  <c r="O29" i="15" s="1"/>
  <c r="AA29" i="15"/>
  <c r="AJ33" i="15"/>
  <c r="AJ32" i="15"/>
  <c r="Q31" i="5"/>
  <c r="I31" i="15" s="1"/>
  <c r="Q30" i="6"/>
  <c r="L30" i="15" s="1"/>
  <c r="Q29" i="13"/>
  <c r="AG29" i="15" s="1"/>
  <c r="Q31" i="12"/>
  <c r="AD31" i="15" s="1"/>
  <c r="Q30" i="10"/>
  <c r="X30" i="15" s="1"/>
  <c r="S30" i="13"/>
  <c r="O30" i="13" s="1"/>
  <c r="S33" i="12"/>
  <c r="O33" i="12" s="1"/>
  <c r="S32" i="12"/>
  <c r="O32" i="12" s="1"/>
  <c r="S34" i="12"/>
  <c r="S30" i="11"/>
  <c r="S31" i="10"/>
  <c r="O31" i="10" s="1"/>
  <c r="V30" i="15"/>
  <c r="R30" i="9"/>
  <c r="T30" i="9" s="1"/>
  <c r="S34" i="9"/>
  <c r="S32" i="9"/>
  <c r="S33" i="9"/>
  <c r="S30" i="7"/>
  <c r="O30" i="7" s="1"/>
  <c r="S31" i="6"/>
  <c r="O31" i="6" s="1"/>
  <c r="S34" i="5"/>
  <c r="S32" i="5"/>
  <c r="O32" i="5" s="1"/>
  <c r="S33" i="5"/>
  <c r="A31" i="11"/>
  <c r="Z30" i="15"/>
  <c r="B30" i="11"/>
  <c r="C30" i="11" s="1"/>
  <c r="AB29" i="15"/>
  <c r="R29" i="11"/>
  <c r="T29" i="11" s="1"/>
  <c r="A31" i="7"/>
  <c r="B30" i="7"/>
  <c r="C30" i="7" s="1"/>
  <c r="N30" i="15"/>
  <c r="R29" i="7"/>
  <c r="P29" i="15"/>
  <c r="A32" i="10"/>
  <c r="A33" i="10"/>
  <c r="B31" i="10"/>
  <c r="C31" i="10" s="1"/>
  <c r="A34" i="10"/>
  <c r="W31" i="15"/>
  <c r="AC34" i="15"/>
  <c r="C34" i="12"/>
  <c r="B34" i="12"/>
  <c r="S30" i="15"/>
  <c r="R30" i="8"/>
  <c r="T30" i="8" s="1"/>
  <c r="B31" i="8"/>
  <c r="C31" i="8" s="1"/>
  <c r="A34" i="8"/>
  <c r="A33" i="8"/>
  <c r="Q31" i="15"/>
  <c r="A32" i="8"/>
  <c r="R31" i="15"/>
  <c r="B32" i="5"/>
  <c r="C32" i="5"/>
  <c r="H32" i="15"/>
  <c r="AE31" i="15"/>
  <c r="R31" i="12"/>
  <c r="A31" i="13"/>
  <c r="AF30" i="15"/>
  <c r="B30" i="13"/>
  <c r="C30" i="13" s="1"/>
  <c r="AK32" i="15"/>
  <c r="R32" i="14"/>
  <c r="T32" i="14" s="1"/>
  <c r="AH29" i="15"/>
  <c r="R29" i="13"/>
  <c r="J31" i="15"/>
  <c r="R31" i="5"/>
  <c r="AK34" i="15"/>
  <c r="R34" i="14"/>
  <c r="AJ34" i="15"/>
  <c r="P40" i="14"/>
  <c r="AI39" i="15" s="1"/>
  <c r="J38" i="14"/>
  <c r="AI36" i="15" s="1"/>
  <c r="C34" i="5"/>
  <c r="B34" i="5"/>
  <c r="H34" i="15"/>
  <c r="C33" i="5"/>
  <c r="B33" i="5"/>
  <c r="H33" i="15"/>
  <c r="B34" i="9"/>
  <c r="C34" i="9"/>
  <c r="V34" i="15" s="1"/>
  <c r="T34" i="15"/>
  <c r="C31" i="9"/>
  <c r="D29" i="15"/>
  <c r="S30" i="3"/>
  <c r="U30" i="3" s="1"/>
  <c r="A32" i="3"/>
  <c r="W32" i="3" s="1"/>
  <c r="B30" i="15"/>
  <c r="B31" i="3"/>
  <c r="AC32" i="15"/>
  <c r="C32" i="12"/>
  <c r="B32" i="12"/>
  <c r="M30" i="15"/>
  <c r="R30" i="6"/>
  <c r="Y30" i="15"/>
  <c r="R30" i="10"/>
  <c r="B32" i="9"/>
  <c r="T32" i="15"/>
  <c r="C32" i="9"/>
  <c r="V32" i="15" s="1"/>
  <c r="A34" i="6"/>
  <c r="Q34" i="6" s="1"/>
  <c r="B31" i="6"/>
  <c r="C31" i="6" s="1"/>
  <c r="A32" i="6"/>
  <c r="A33" i="6"/>
  <c r="K31" i="15"/>
  <c r="B33" i="9"/>
  <c r="T33" i="15"/>
  <c r="C33" i="9"/>
  <c r="V33" i="15" s="1"/>
  <c r="AC33" i="15"/>
  <c r="B33" i="12"/>
  <c r="C33" i="12"/>
  <c r="AK33" i="15"/>
  <c r="R33" i="14"/>
  <c r="T33" i="14" s="1"/>
  <c r="U34" i="10"/>
  <c r="AL30" i="3" l="1"/>
  <c r="AF31" i="3"/>
  <c r="AK31" i="3" s="1"/>
  <c r="AD31" i="3"/>
  <c r="AJ31" i="3" s="1"/>
  <c r="AC32" i="3"/>
  <c r="AE32" i="3"/>
  <c r="C31" i="3"/>
  <c r="X32" i="3"/>
  <c r="T32" i="3" s="1"/>
  <c r="P32" i="3" s="1"/>
  <c r="C29" i="15"/>
  <c r="O30" i="11"/>
  <c r="Q30" i="11" s="1"/>
  <c r="O34" i="12"/>
  <c r="Q34" i="12" s="1"/>
  <c r="O33" i="9"/>
  <c r="Q33" i="9" s="1"/>
  <c r="U33" i="15" s="1"/>
  <c r="O32" i="9"/>
  <c r="Q32" i="9" s="1"/>
  <c r="U32" i="15" s="1"/>
  <c r="O34" i="9"/>
  <c r="Q34" i="9" s="1"/>
  <c r="O34" i="5"/>
  <c r="Q34" i="5" s="1"/>
  <c r="O33" i="5"/>
  <c r="Q33" i="5" s="1"/>
  <c r="R31" i="3"/>
  <c r="AA31" i="3" s="1"/>
  <c r="AB31" i="3" s="1"/>
  <c r="AI31" i="3" s="1"/>
  <c r="U32" i="8"/>
  <c r="U32" i="10"/>
  <c r="U33" i="6"/>
  <c r="U31" i="11"/>
  <c r="V32" i="3"/>
  <c r="U31" i="7"/>
  <c r="U32" i="6"/>
  <c r="U31" i="13"/>
  <c r="U33" i="10"/>
  <c r="U33" i="8"/>
  <c r="Z32" i="3" l="1"/>
  <c r="AG31" i="3"/>
  <c r="AH31" i="3" s="1"/>
  <c r="AL31" i="3" s="1"/>
  <c r="T29" i="7"/>
  <c r="T31" i="5"/>
  <c r="T30" i="10"/>
  <c r="T30" i="6"/>
  <c r="S33" i="8"/>
  <c r="AA30" i="15"/>
  <c r="Q31" i="6"/>
  <c r="L31" i="15" s="1"/>
  <c r="S34" i="8"/>
  <c r="O34" i="8" s="1"/>
  <c r="Q34" i="8"/>
  <c r="S32" i="8"/>
  <c r="Q32" i="5"/>
  <c r="I32" i="15" s="1"/>
  <c r="I33" i="15"/>
  <c r="Q30" i="7"/>
  <c r="O30" i="15" s="1"/>
  <c r="Q30" i="13"/>
  <c r="AG30" i="15" s="1"/>
  <c r="T29" i="13"/>
  <c r="Q33" i="12"/>
  <c r="AD33" i="15" s="1"/>
  <c r="Q32" i="12"/>
  <c r="AD32" i="15" s="1"/>
  <c r="T31" i="12"/>
  <c r="Q31" i="10"/>
  <c r="X31" i="15" s="1"/>
  <c r="S31" i="13"/>
  <c r="O31" i="13" s="1"/>
  <c r="S31" i="11"/>
  <c r="S32" i="10"/>
  <c r="S34" i="10"/>
  <c r="S33" i="10"/>
  <c r="O33" i="10" s="1"/>
  <c r="V31" i="15"/>
  <c r="R31" i="9"/>
  <c r="T31" i="9" s="1"/>
  <c r="R33" i="9"/>
  <c r="T33" i="9" s="1"/>
  <c r="R32" i="9"/>
  <c r="T32" i="9" s="1"/>
  <c r="R34" i="9"/>
  <c r="T34" i="9" s="1"/>
  <c r="S31" i="7"/>
  <c r="S32" i="6"/>
  <c r="S33" i="6"/>
  <c r="S34" i="6"/>
  <c r="O34" i="6" s="1"/>
  <c r="R30" i="11"/>
  <c r="T30" i="11" s="1"/>
  <c r="AB30" i="15"/>
  <c r="A34" i="11"/>
  <c r="Q34" i="11" s="1"/>
  <c r="A33" i="11"/>
  <c r="A32" i="11"/>
  <c r="Z31" i="15"/>
  <c r="B31" i="11"/>
  <c r="C31" i="11" s="1"/>
  <c r="P30" i="15"/>
  <c r="R30" i="7"/>
  <c r="B31" i="7"/>
  <c r="C31" i="7" s="1"/>
  <c r="A34" i="7"/>
  <c r="A32" i="7"/>
  <c r="A33" i="7"/>
  <c r="N31" i="15"/>
  <c r="C33" i="8"/>
  <c r="Q33" i="15"/>
  <c r="B33" i="8"/>
  <c r="C34" i="8"/>
  <c r="B34" i="8"/>
  <c r="T34" i="8"/>
  <c r="U34" i="8"/>
  <c r="W34" i="8"/>
  <c r="Q34" i="15"/>
  <c r="C33" i="6"/>
  <c r="B33" i="6"/>
  <c r="K33" i="15"/>
  <c r="J33" i="15"/>
  <c r="R33" i="5"/>
  <c r="T33" i="5" s="1"/>
  <c r="A34" i="13"/>
  <c r="Q34" i="13" s="1"/>
  <c r="A32" i="13"/>
  <c r="A33" i="13"/>
  <c r="B31" i="13"/>
  <c r="C31" i="13" s="1"/>
  <c r="AF31" i="15"/>
  <c r="M31" i="15"/>
  <c r="R31" i="6"/>
  <c r="C34" i="6"/>
  <c r="W34" i="6"/>
  <c r="B34" i="6"/>
  <c r="K34" i="15"/>
  <c r="U34" i="6"/>
  <c r="T34" i="6"/>
  <c r="AE34" i="15"/>
  <c r="R34" i="12"/>
  <c r="T34" i="14"/>
  <c r="J37" i="14"/>
  <c r="AI35" i="15" s="1"/>
  <c r="AI37" i="15" s="1"/>
  <c r="S31" i="15"/>
  <c r="R31" i="8"/>
  <c r="T31" i="8" s="1"/>
  <c r="AH30" i="15"/>
  <c r="R30" i="13"/>
  <c r="C32" i="6"/>
  <c r="K32" i="15"/>
  <c r="B32" i="6"/>
  <c r="AD34" i="15"/>
  <c r="AE32" i="15"/>
  <c r="R32" i="12"/>
  <c r="J34" i="15"/>
  <c r="R34" i="5"/>
  <c r="W34" i="15"/>
  <c r="C34" i="10"/>
  <c r="B34" i="10"/>
  <c r="B32" i="8"/>
  <c r="C32" i="8"/>
  <c r="Q32" i="15"/>
  <c r="U34" i="15"/>
  <c r="P40" i="9"/>
  <c r="T39" i="15" s="1"/>
  <c r="J38" i="9"/>
  <c r="T36" i="15" s="1"/>
  <c r="I34" i="15"/>
  <c r="D30" i="15"/>
  <c r="S31" i="3"/>
  <c r="U31" i="3" s="1"/>
  <c r="C33" i="10"/>
  <c r="B33" i="10"/>
  <c r="W33" i="15"/>
  <c r="AE33" i="15"/>
  <c r="R33" i="12"/>
  <c r="Y31" i="15"/>
  <c r="R31" i="10"/>
  <c r="T31" i="10" s="1"/>
  <c r="A34" i="3"/>
  <c r="W34" i="3" s="1"/>
  <c r="A35" i="3"/>
  <c r="W35" i="3" s="1"/>
  <c r="B31" i="15"/>
  <c r="B32" i="3"/>
  <c r="A33" i="3"/>
  <c r="W33" i="3" s="1"/>
  <c r="J32" i="15"/>
  <c r="R32" i="5"/>
  <c r="C32" i="10"/>
  <c r="B32" i="10"/>
  <c r="W32" i="15"/>
  <c r="V35" i="3"/>
  <c r="U33" i="13"/>
  <c r="V34" i="3"/>
  <c r="U33" i="11"/>
  <c r="U33" i="7"/>
  <c r="U32" i="13"/>
  <c r="T31" i="6" l="1"/>
  <c r="AF32" i="3"/>
  <c r="AK32" i="3" s="1"/>
  <c r="AD32" i="3"/>
  <c r="AJ32" i="3" s="1"/>
  <c r="AE33" i="3"/>
  <c r="AC33" i="3"/>
  <c r="AE35" i="3"/>
  <c r="AC35" i="3"/>
  <c r="C32" i="3"/>
  <c r="X34" i="3"/>
  <c r="X33" i="3"/>
  <c r="X35" i="3"/>
  <c r="C30" i="15"/>
  <c r="O31" i="11"/>
  <c r="Q31" i="11" s="1"/>
  <c r="O33" i="8"/>
  <c r="Q33" i="8" s="1"/>
  <c r="R33" i="15" s="1"/>
  <c r="O33" i="6"/>
  <c r="Q33" i="6" s="1"/>
  <c r="O32" i="6"/>
  <c r="Q32" i="6" s="1"/>
  <c r="O34" i="10"/>
  <c r="Q34" i="10" s="1"/>
  <c r="O32" i="8"/>
  <c r="Q32" i="8" s="1"/>
  <c r="R32" i="15" s="1"/>
  <c r="O31" i="7"/>
  <c r="Q31" i="7" s="1"/>
  <c r="O32" i="10"/>
  <c r="Q32" i="10" s="1"/>
  <c r="X32" i="15" s="1"/>
  <c r="R32" i="3"/>
  <c r="AA32" i="3" s="1"/>
  <c r="AB32" i="3" s="1"/>
  <c r="AI32" i="3" s="1"/>
  <c r="U32" i="11"/>
  <c r="V33" i="3"/>
  <c r="T35" i="3" l="1"/>
  <c r="P35" i="3" s="1"/>
  <c r="T34" i="3"/>
  <c r="P34" i="3" s="1"/>
  <c r="T33" i="3"/>
  <c r="P33" i="3" s="1"/>
  <c r="Z34" i="3"/>
  <c r="AE34" i="3" s="1"/>
  <c r="Z33" i="3"/>
  <c r="Z35" i="3"/>
  <c r="AG32" i="3"/>
  <c r="AH32" i="3" s="1"/>
  <c r="AL32" i="3" s="1"/>
  <c r="T32" i="5"/>
  <c r="J38" i="5"/>
  <c r="H36" i="15" s="1"/>
  <c r="P40" i="5"/>
  <c r="H39" i="15" s="1"/>
  <c r="T33" i="12"/>
  <c r="T30" i="13"/>
  <c r="T30" i="7"/>
  <c r="L33" i="15"/>
  <c r="L32" i="15"/>
  <c r="AA31" i="15"/>
  <c r="Q31" i="13"/>
  <c r="AG31" i="15" s="1"/>
  <c r="J38" i="12"/>
  <c r="AC36" i="15" s="1"/>
  <c r="T32" i="12"/>
  <c r="P40" i="12"/>
  <c r="AC39" i="15" s="1"/>
  <c r="Q33" i="10"/>
  <c r="X33" i="15" s="1"/>
  <c r="S33" i="13"/>
  <c r="S34" i="13"/>
  <c r="O34" i="13" s="1"/>
  <c r="S32" i="13"/>
  <c r="O32" i="13" s="1"/>
  <c r="S32" i="11"/>
  <c r="S33" i="11"/>
  <c r="O33" i="11" s="1"/>
  <c r="S34" i="11"/>
  <c r="O34" i="11" s="1"/>
  <c r="J37" i="9"/>
  <c r="T35" i="15" s="1"/>
  <c r="T37" i="15" s="1"/>
  <c r="S33" i="7"/>
  <c r="S32" i="7"/>
  <c r="S34" i="7"/>
  <c r="AB31" i="15"/>
  <c r="R31" i="11"/>
  <c r="T31" i="11" s="1"/>
  <c r="C32" i="11"/>
  <c r="B32" i="11"/>
  <c r="Z32" i="15"/>
  <c r="C33" i="11"/>
  <c r="B33" i="11"/>
  <c r="Z33" i="15"/>
  <c r="C34" i="11"/>
  <c r="B34" i="11"/>
  <c r="Z34" i="15"/>
  <c r="U34" i="11"/>
  <c r="W37" i="11" s="1"/>
  <c r="W34" i="11"/>
  <c r="T34" i="11"/>
  <c r="AA34" i="15"/>
  <c r="C33" i="7"/>
  <c r="N33" i="15"/>
  <c r="B33" i="7"/>
  <c r="N32" i="15"/>
  <c r="B32" i="7"/>
  <c r="C32" i="7"/>
  <c r="B34" i="7"/>
  <c r="N34" i="15"/>
  <c r="C34" i="7"/>
  <c r="P31" i="15"/>
  <c r="R31" i="7"/>
  <c r="O31" i="15"/>
  <c r="C34" i="13"/>
  <c r="T34" i="13"/>
  <c r="U34" i="13"/>
  <c r="B34" i="13"/>
  <c r="AF34" i="15"/>
  <c r="W34" i="13"/>
  <c r="S32" i="3"/>
  <c r="D31" i="15"/>
  <c r="C35" i="3"/>
  <c r="B34" i="15"/>
  <c r="B35" i="3"/>
  <c r="M32" i="15"/>
  <c r="R32" i="6"/>
  <c r="T32" i="6" s="1"/>
  <c r="L34" i="15"/>
  <c r="P40" i="6"/>
  <c r="K39" i="15" s="1"/>
  <c r="J38" i="6"/>
  <c r="K36" i="15" s="1"/>
  <c r="B34" i="3"/>
  <c r="C34" i="3"/>
  <c r="B33" i="15"/>
  <c r="S32" i="15"/>
  <c r="R32" i="8"/>
  <c r="T32" i="8" s="1"/>
  <c r="M33" i="15"/>
  <c r="R33" i="6"/>
  <c r="T33" i="6" s="1"/>
  <c r="R34" i="6"/>
  <c r="M34" i="15"/>
  <c r="Y34" i="15"/>
  <c r="R34" i="10"/>
  <c r="C33" i="3"/>
  <c r="B33" i="3"/>
  <c r="B32" i="15"/>
  <c r="R34" i="15"/>
  <c r="P40" i="8"/>
  <c r="Q39" i="15" s="1"/>
  <c r="J38" i="8"/>
  <c r="Q36" i="15" s="1"/>
  <c r="X34" i="15"/>
  <c r="T34" i="5"/>
  <c r="J37" i="5"/>
  <c r="H35" i="15" s="1"/>
  <c r="T34" i="12"/>
  <c r="J37" i="12"/>
  <c r="AC35" i="15" s="1"/>
  <c r="R34" i="8"/>
  <c r="S34" i="15"/>
  <c r="Y33" i="15"/>
  <c r="R33" i="10"/>
  <c r="AH31" i="15"/>
  <c r="R31" i="13"/>
  <c r="AF33" i="15"/>
  <c r="C33" i="13"/>
  <c r="B33" i="13"/>
  <c r="Y32" i="15"/>
  <c r="R32" i="10"/>
  <c r="T32" i="10" s="1"/>
  <c r="C32" i="13"/>
  <c r="B32" i="13"/>
  <c r="AF32" i="15"/>
  <c r="S33" i="15"/>
  <c r="R33" i="8"/>
  <c r="T33" i="8" s="1"/>
  <c r="U32" i="7"/>
  <c r="U34" i="7"/>
  <c r="H37" i="15" l="1"/>
  <c r="AF35" i="3"/>
  <c r="AK35" i="3" s="1"/>
  <c r="AD35" i="3"/>
  <c r="AJ35" i="3" s="1"/>
  <c r="AF33" i="3"/>
  <c r="AK33" i="3" s="1"/>
  <c r="AD33" i="3"/>
  <c r="AJ33" i="3" s="1"/>
  <c r="AD34" i="3"/>
  <c r="AF34" i="3"/>
  <c r="AK34" i="3" s="1"/>
  <c r="C31" i="15"/>
  <c r="O32" i="11"/>
  <c r="Q32" i="11" s="1"/>
  <c r="AA32" i="15" s="1"/>
  <c r="O34" i="7"/>
  <c r="Q34" i="7" s="1"/>
  <c r="O34" i="15" s="1"/>
  <c r="O32" i="7"/>
  <c r="Q32" i="7" s="1"/>
  <c r="O32" i="15" s="1"/>
  <c r="O33" i="13"/>
  <c r="Q33" i="13" s="1"/>
  <c r="AG33" i="15" s="1"/>
  <c r="O33" i="7"/>
  <c r="Q33" i="7" s="1"/>
  <c r="O33" i="15" s="1"/>
  <c r="R34" i="3"/>
  <c r="AA34" i="3" s="1"/>
  <c r="R33" i="3"/>
  <c r="AA33" i="3" s="1"/>
  <c r="AB33" i="3" s="1"/>
  <c r="AI33" i="3" s="1"/>
  <c r="R35" i="3"/>
  <c r="AA35" i="3" s="1"/>
  <c r="AB35" i="3" s="1"/>
  <c r="AI35" i="3" s="1"/>
  <c r="T31" i="13"/>
  <c r="P40" i="10"/>
  <c r="W39" i="15" s="1"/>
  <c r="Q33" i="11"/>
  <c r="AA33" i="15" s="1"/>
  <c r="T33" i="10"/>
  <c r="J38" i="10"/>
  <c r="W36" i="15" s="1"/>
  <c r="Q32" i="13"/>
  <c r="AG32" i="15" s="1"/>
  <c r="AC37" i="15"/>
  <c r="AB33" i="15"/>
  <c r="R33" i="11"/>
  <c r="R34" i="11"/>
  <c r="AB34" i="15"/>
  <c r="AB32" i="15"/>
  <c r="R32" i="11"/>
  <c r="T31" i="7"/>
  <c r="P34" i="15"/>
  <c r="R34" i="7"/>
  <c r="P32" i="15"/>
  <c r="R32" i="7"/>
  <c r="R33" i="7"/>
  <c r="P33" i="15"/>
  <c r="U32" i="3"/>
  <c r="AH33" i="15"/>
  <c r="R33" i="13"/>
  <c r="D33" i="15"/>
  <c r="S34" i="3"/>
  <c r="AH32" i="15"/>
  <c r="R32" i="13"/>
  <c r="D32" i="15"/>
  <c r="S33" i="3"/>
  <c r="D34" i="15"/>
  <c r="S35" i="3"/>
  <c r="T34" i="10"/>
  <c r="J37" i="10"/>
  <c r="W35" i="15" s="1"/>
  <c r="J37" i="6"/>
  <c r="K35" i="15" s="1"/>
  <c r="K37" i="15" s="1"/>
  <c r="J37" i="8"/>
  <c r="Q35" i="15" s="1"/>
  <c r="Q37" i="15" s="1"/>
  <c r="AG34" i="15"/>
  <c r="R34" i="13"/>
  <c r="AH34" i="15"/>
  <c r="AB34" i="3" l="1"/>
  <c r="AI34" i="3" s="1"/>
  <c r="AC34" i="3"/>
  <c r="AJ34" i="3" s="1"/>
  <c r="AQ33" i="3" s="1"/>
  <c r="AQ34" i="3"/>
  <c r="AG35" i="3"/>
  <c r="AH35" i="3" s="1"/>
  <c r="AG33" i="3"/>
  <c r="AH33" i="3" s="1"/>
  <c r="AL33" i="3" s="1"/>
  <c r="AG34" i="3"/>
  <c r="AH34" i="3" s="1"/>
  <c r="T32" i="7"/>
  <c r="T33" i="7"/>
  <c r="J38" i="7"/>
  <c r="N36" i="15" s="1"/>
  <c r="P40" i="7"/>
  <c r="N39" i="15" s="1"/>
  <c r="T33" i="13"/>
  <c r="T34" i="7"/>
  <c r="U34" i="3"/>
  <c r="U33" i="3"/>
  <c r="U35" i="3"/>
  <c r="P40" i="11"/>
  <c r="Z39" i="15" s="1"/>
  <c r="T33" i="11"/>
  <c r="J38" i="11"/>
  <c r="Z36" i="15" s="1"/>
  <c r="P40" i="13"/>
  <c r="AF39" i="15" s="1"/>
  <c r="W37" i="15"/>
  <c r="J38" i="13"/>
  <c r="AF36" i="15" s="1"/>
  <c r="T32" i="13"/>
  <c r="T32" i="11"/>
  <c r="J37" i="11"/>
  <c r="Z35" i="15" s="1"/>
  <c r="J37" i="7"/>
  <c r="N35" i="15" s="1"/>
  <c r="N37" i="15" s="1"/>
  <c r="J37" i="13"/>
  <c r="AF35" i="15" s="1"/>
  <c r="F39" i="3"/>
  <c r="B35" i="15" s="1"/>
  <c r="AL34" i="3" l="1"/>
  <c r="AL35" i="3"/>
  <c r="C34" i="15"/>
  <c r="C33" i="15"/>
  <c r="C32" i="15"/>
  <c r="Z37" i="15"/>
  <c r="AF37" i="15"/>
  <c r="AL35" i="15"/>
  <c r="C4" i="15" l="1"/>
  <c r="U5" i="3"/>
  <c r="AN5" i="3" s="1"/>
  <c r="AN6" i="3" s="1"/>
  <c r="AN7" i="3" s="1"/>
  <c r="AN8" i="3" s="1"/>
  <c r="AN9" i="3" s="1"/>
  <c r="AN10" i="3" s="1"/>
  <c r="AN11" i="3" s="1"/>
  <c r="AN12" i="3" s="1"/>
  <c r="AN13" i="3" s="1"/>
  <c r="AN14" i="3" s="1"/>
  <c r="J36" i="5" l="1"/>
  <c r="E37" i="15" l="1"/>
  <c r="W4" i="5"/>
  <c r="W5" i="5" s="1"/>
  <c r="W6" i="5" s="1"/>
  <c r="W7" i="5" s="1"/>
  <c r="W8" i="5" s="1"/>
  <c r="W9" i="5" s="1"/>
  <c r="W10" i="5" s="1"/>
  <c r="W11" i="5" s="1"/>
  <c r="W12" i="5" s="1"/>
  <c r="W13" i="5" s="1"/>
  <c r="W14" i="5" s="1"/>
  <c r="W15" i="5" s="1"/>
  <c r="W16" i="5" s="1"/>
  <c r="W17" i="5" s="1"/>
  <c r="W18" i="5" s="1"/>
  <c r="W19" i="5" s="1"/>
  <c r="W20" i="5" s="1"/>
  <c r="W21" i="5" s="1"/>
  <c r="W22" i="5" s="1"/>
  <c r="W23" i="5" s="1"/>
  <c r="W24" i="5" s="1"/>
  <c r="W25" i="5" s="1"/>
  <c r="W26" i="5" s="1"/>
  <c r="W27" i="5" s="1"/>
  <c r="W28" i="5" s="1"/>
  <c r="W29" i="5" s="1"/>
  <c r="W30" i="5" s="1"/>
  <c r="W31" i="5" s="1"/>
  <c r="W32" i="5" s="1"/>
  <c r="W33" i="5" s="1"/>
  <c r="W34" i="5" s="1"/>
  <c r="J40" i="5"/>
  <c r="J36" i="6" s="1"/>
  <c r="J40" i="6" l="1"/>
  <c r="J36" i="7" s="1"/>
  <c r="W4" i="6"/>
  <c r="W5" i="6" s="1"/>
  <c r="W6" i="6" s="1"/>
  <c r="W7" i="6" s="1"/>
  <c r="W8" i="6" s="1"/>
  <c r="W9" i="6" s="1"/>
  <c r="W10" i="6" s="1"/>
  <c r="W11" i="6" s="1"/>
  <c r="W12" i="6" s="1"/>
  <c r="W13" i="6" s="1"/>
  <c r="W14" i="6" s="1"/>
  <c r="W15" i="6" s="1"/>
  <c r="W16" i="6" s="1"/>
  <c r="W17" i="6" s="1"/>
  <c r="W18" i="6" s="1"/>
  <c r="W19" i="6" s="1"/>
  <c r="W20" i="6" s="1"/>
  <c r="W21" i="6" s="1"/>
  <c r="W22" i="6" s="1"/>
  <c r="W23" i="6" s="1"/>
  <c r="W24" i="6" s="1"/>
  <c r="W25" i="6" s="1"/>
  <c r="W26" i="6" s="1"/>
  <c r="W27" i="6" s="1"/>
  <c r="W28" i="6" s="1"/>
  <c r="W29" i="6" s="1"/>
  <c r="W30" i="6" s="1"/>
  <c r="W31" i="6" s="1"/>
  <c r="W32" i="6" s="1"/>
  <c r="W33" i="6" s="1"/>
  <c r="J40" i="7" l="1"/>
  <c r="J36" i="8" s="1"/>
  <c r="W4" i="7"/>
  <c r="W5" i="7" s="1"/>
  <c r="W6" i="7" s="1"/>
  <c r="W7" i="7" s="1"/>
  <c r="W8" i="7" s="1"/>
  <c r="W9" i="7" s="1"/>
  <c r="W10" i="7" s="1"/>
  <c r="W11" i="7" s="1"/>
  <c r="W12" i="7" s="1"/>
  <c r="W13" i="7" s="1"/>
  <c r="W14" i="7" s="1"/>
  <c r="W15" i="7" s="1"/>
  <c r="W16" i="7" s="1"/>
  <c r="W17" i="7" s="1"/>
  <c r="W18" i="7" s="1"/>
  <c r="W19" i="7" s="1"/>
  <c r="W20" i="7" s="1"/>
  <c r="W21" i="7" s="1"/>
  <c r="W22" i="7" s="1"/>
  <c r="W23" i="7" s="1"/>
  <c r="W24" i="7" s="1"/>
  <c r="W25" i="7" s="1"/>
  <c r="W26" i="7" s="1"/>
  <c r="W27" i="7" s="1"/>
  <c r="W28" i="7" s="1"/>
  <c r="W29" i="7" s="1"/>
  <c r="W30" i="7" s="1"/>
  <c r="W31" i="7" s="1"/>
  <c r="W32" i="7" s="1"/>
  <c r="W33" i="7" s="1"/>
  <c r="W34" i="7" s="1"/>
  <c r="W4" i="8" l="1"/>
  <c r="W5" i="8" s="1"/>
  <c r="W6" i="8" s="1"/>
  <c r="W7" i="8" s="1"/>
  <c r="W8" i="8" s="1"/>
  <c r="W9" i="8" s="1"/>
  <c r="W10" i="8" s="1"/>
  <c r="W11" i="8" s="1"/>
  <c r="W12" i="8" s="1"/>
  <c r="W13" i="8" s="1"/>
  <c r="W14" i="8" s="1"/>
  <c r="W15" i="8" s="1"/>
  <c r="W16" i="8" s="1"/>
  <c r="W17" i="8" s="1"/>
  <c r="W18" i="8" s="1"/>
  <c r="W19" i="8" s="1"/>
  <c r="W20" i="8" s="1"/>
  <c r="W21" i="8" s="1"/>
  <c r="W22" i="8" s="1"/>
  <c r="W23" i="8" s="1"/>
  <c r="W24" i="8" s="1"/>
  <c r="W25" i="8" s="1"/>
  <c r="W26" i="8" s="1"/>
  <c r="W27" i="8" s="1"/>
  <c r="W28" i="8" s="1"/>
  <c r="W29" i="8" s="1"/>
  <c r="W30" i="8" s="1"/>
  <c r="W31" i="8" s="1"/>
  <c r="W32" i="8" s="1"/>
  <c r="W33" i="8" s="1"/>
  <c r="J40" i="8"/>
  <c r="J36" i="9" s="1"/>
  <c r="W4" i="9" l="1"/>
  <c r="W5" i="9" s="1"/>
  <c r="W6" i="9" s="1"/>
  <c r="W7" i="9" s="1"/>
  <c r="W8" i="9" s="1"/>
  <c r="W9" i="9" s="1"/>
  <c r="W10" i="9" s="1"/>
  <c r="W11" i="9" s="1"/>
  <c r="W12" i="9" s="1"/>
  <c r="W13" i="9" s="1"/>
  <c r="W14" i="9" s="1"/>
  <c r="W15" i="9" s="1"/>
  <c r="W16" i="9" s="1"/>
  <c r="W17" i="9" s="1"/>
  <c r="W18" i="9" s="1"/>
  <c r="W19" i="9" s="1"/>
  <c r="W20" i="9" s="1"/>
  <c r="W21" i="9" s="1"/>
  <c r="W22" i="9" s="1"/>
  <c r="W23" i="9" s="1"/>
  <c r="W24" i="9" s="1"/>
  <c r="W25" i="9" s="1"/>
  <c r="W26" i="9" s="1"/>
  <c r="W27" i="9" s="1"/>
  <c r="W28" i="9" s="1"/>
  <c r="W29" i="9" s="1"/>
  <c r="W30" i="9" s="1"/>
  <c r="W31" i="9" s="1"/>
  <c r="W32" i="9" s="1"/>
  <c r="W33" i="9" s="1"/>
  <c r="W34" i="9" s="1"/>
  <c r="J40" i="9"/>
  <c r="J36" i="10" s="1"/>
  <c r="J40" i="10" l="1"/>
  <c r="J36" i="11" s="1"/>
  <c r="W4" i="10"/>
  <c r="W5" i="10" s="1"/>
  <c r="W6" i="10" s="1"/>
  <c r="W7" i="10" s="1"/>
  <c r="W8" i="10" s="1"/>
  <c r="W9" i="10" s="1"/>
  <c r="W10" i="10" s="1"/>
  <c r="W11" i="10" s="1"/>
  <c r="W12" i="10" s="1"/>
  <c r="W13" i="10" s="1"/>
  <c r="W14" i="10" s="1"/>
  <c r="W15" i="10" s="1"/>
  <c r="W16" i="10" s="1"/>
  <c r="W17" i="10" s="1"/>
  <c r="W18" i="10" s="1"/>
  <c r="W19" i="10" s="1"/>
  <c r="W20" i="10" s="1"/>
  <c r="W21" i="10" s="1"/>
  <c r="W22" i="10" s="1"/>
  <c r="W23" i="10" s="1"/>
  <c r="W24" i="10" s="1"/>
  <c r="W25" i="10" s="1"/>
  <c r="W26" i="10" s="1"/>
  <c r="W27" i="10" s="1"/>
  <c r="W28" i="10" s="1"/>
  <c r="W29" i="10" s="1"/>
  <c r="W30" i="10" s="1"/>
  <c r="W31" i="10" s="1"/>
  <c r="W32" i="10" s="1"/>
  <c r="W33" i="10" s="1"/>
  <c r="W34" i="10" s="1"/>
  <c r="W4" i="11" l="1"/>
  <c r="W5" i="11" s="1"/>
  <c r="W6" i="11" s="1"/>
  <c r="W7" i="11" s="1"/>
  <c r="W8" i="11" s="1"/>
  <c r="W9" i="11" s="1"/>
  <c r="W10" i="11" s="1"/>
  <c r="W11" i="11" s="1"/>
  <c r="W12" i="11" s="1"/>
  <c r="W13" i="11" s="1"/>
  <c r="W14" i="11" s="1"/>
  <c r="W15" i="11" s="1"/>
  <c r="W16" i="11" s="1"/>
  <c r="W17" i="11" s="1"/>
  <c r="W18" i="11" s="1"/>
  <c r="W19" i="11" s="1"/>
  <c r="W20" i="11" s="1"/>
  <c r="W21" i="11" s="1"/>
  <c r="W22" i="11" s="1"/>
  <c r="W23" i="11" s="1"/>
  <c r="W24" i="11" s="1"/>
  <c r="W25" i="11" s="1"/>
  <c r="W26" i="11" s="1"/>
  <c r="W27" i="11" s="1"/>
  <c r="W28" i="11" s="1"/>
  <c r="W29" i="11" s="1"/>
  <c r="W30" i="11" s="1"/>
  <c r="W31" i="11" s="1"/>
  <c r="W32" i="11" s="1"/>
  <c r="W33" i="11" s="1"/>
  <c r="J40" i="11"/>
  <c r="J36" i="12" s="1"/>
  <c r="W4" i="12" l="1"/>
  <c r="W5" i="12" s="1"/>
  <c r="W6" i="12" s="1"/>
  <c r="W7" i="12" s="1"/>
  <c r="W8" i="12" s="1"/>
  <c r="W9" i="12" s="1"/>
  <c r="W10" i="12" s="1"/>
  <c r="W11" i="12" s="1"/>
  <c r="W12" i="12" s="1"/>
  <c r="W13" i="12" s="1"/>
  <c r="W14" i="12" s="1"/>
  <c r="W15" i="12" s="1"/>
  <c r="W16" i="12" s="1"/>
  <c r="W17" i="12" s="1"/>
  <c r="W18" i="12" s="1"/>
  <c r="W19" i="12" s="1"/>
  <c r="W20" i="12" s="1"/>
  <c r="W21" i="12" s="1"/>
  <c r="W22" i="12" s="1"/>
  <c r="W23" i="12" s="1"/>
  <c r="W24" i="12" s="1"/>
  <c r="W25" i="12" s="1"/>
  <c r="W26" i="12" s="1"/>
  <c r="W27" i="12" s="1"/>
  <c r="W28" i="12" s="1"/>
  <c r="W29" i="12" s="1"/>
  <c r="W30" i="12" s="1"/>
  <c r="W31" i="12" s="1"/>
  <c r="W32" i="12" s="1"/>
  <c r="W33" i="12" s="1"/>
  <c r="W34" i="12" s="1"/>
  <c r="J40" i="12"/>
  <c r="J36" i="13" s="1"/>
  <c r="W4" i="13" l="1"/>
  <c r="W5" i="13" s="1"/>
  <c r="W6" i="13" s="1"/>
  <c r="W7" i="13" s="1"/>
  <c r="W8" i="13" s="1"/>
  <c r="W9" i="13" s="1"/>
  <c r="W10" i="13" s="1"/>
  <c r="W11" i="13" s="1"/>
  <c r="W12" i="13" s="1"/>
  <c r="W13" i="13" s="1"/>
  <c r="W14" i="13" s="1"/>
  <c r="W15" i="13" s="1"/>
  <c r="W16" i="13" s="1"/>
  <c r="W17" i="13" s="1"/>
  <c r="W18" i="13" s="1"/>
  <c r="W19" i="13" s="1"/>
  <c r="W20" i="13" s="1"/>
  <c r="W21" i="13" s="1"/>
  <c r="W22" i="13" s="1"/>
  <c r="W23" i="13" s="1"/>
  <c r="W24" i="13" s="1"/>
  <c r="W25" i="13" s="1"/>
  <c r="W26" i="13" s="1"/>
  <c r="W27" i="13" s="1"/>
  <c r="W28" i="13" s="1"/>
  <c r="W29" i="13" s="1"/>
  <c r="W30" i="13" s="1"/>
  <c r="W31" i="13" s="1"/>
  <c r="W32" i="13" s="1"/>
  <c r="W33" i="13" s="1"/>
  <c r="J40" i="13"/>
  <c r="J36" i="14" s="1"/>
  <c r="W4" i="14" l="1"/>
  <c r="W5" i="14" s="1"/>
  <c r="W6" i="14" s="1"/>
  <c r="W7" i="14" s="1"/>
  <c r="W8" i="14" s="1"/>
  <c r="W9" i="14" s="1"/>
  <c r="W10" i="14" s="1"/>
  <c r="W11" i="14" s="1"/>
  <c r="W12" i="14" s="1"/>
  <c r="W13" i="14" s="1"/>
  <c r="W14" i="14" s="1"/>
  <c r="W15" i="14" s="1"/>
  <c r="W16" i="14" s="1"/>
  <c r="W17" i="14" s="1"/>
  <c r="W18" i="14" s="1"/>
  <c r="W19" i="14" s="1"/>
  <c r="W20" i="14" s="1"/>
  <c r="W21" i="14" s="1"/>
  <c r="W22" i="14" s="1"/>
  <c r="W23" i="14" s="1"/>
  <c r="W24" i="14" s="1"/>
  <c r="W25" i="14" s="1"/>
  <c r="W26" i="14" s="1"/>
  <c r="W27" i="14" s="1"/>
  <c r="W28" i="14" s="1"/>
  <c r="W29" i="14" s="1"/>
  <c r="W30" i="14" s="1"/>
  <c r="W31" i="14" s="1"/>
  <c r="W32" i="14" s="1"/>
  <c r="W33" i="14" s="1"/>
  <c r="W34" i="14" s="1"/>
  <c r="J40" i="14"/>
  <c r="Z15" i="3" l="1"/>
  <c r="T15" i="3"/>
  <c r="P15" i="3" s="1"/>
  <c r="R15" i="3" s="1"/>
  <c r="C14" i="15" l="1"/>
  <c r="U15" i="3"/>
  <c r="AN15" i="3" s="1"/>
  <c r="AN16" i="3" s="1"/>
  <c r="AN17" i="3" s="1"/>
  <c r="AN18" i="3" s="1"/>
  <c r="AN19" i="3" s="1"/>
  <c r="AN20" i="3" s="1"/>
  <c r="AN21" i="3" s="1"/>
  <c r="AN22" i="3" s="1"/>
  <c r="AN23" i="3" s="1"/>
  <c r="AN24" i="3" s="1"/>
  <c r="AN25" i="3" s="1"/>
  <c r="AN26" i="3" s="1"/>
  <c r="AN27" i="3" s="1"/>
  <c r="AN28" i="3" s="1"/>
  <c r="AN29" i="3" s="1"/>
  <c r="AN30" i="3" s="1"/>
  <c r="AN31" i="3" s="1"/>
  <c r="AN32" i="3" s="1"/>
  <c r="AN33" i="3" s="1"/>
  <c r="AN34" i="3" s="1"/>
  <c r="AN35" i="3" s="1"/>
  <c r="AA15" i="3"/>
  <c r="AB15" i="3" s="1"/>
  <c r="AI15" i="3" s="1"/>
  <c r="AQ32" i="3" s="1"/>
  <c r="O42" i="3"/>
  <c r="B39" i="15" s="1"/>
  <c r="AL39" i="15" s="1"/>
  <c r="E2" i="17" s="1"/>
  <c r="AG15" i="3"/>
  <c r="AH15" i="3" s="1"/>
  <c r="F40" i="3"/>
  <c r="F42" i="3" l="1"/>
  <c r="B36" i="15"/>
  <c r="AQ31" i="3"/>
  <c r="AQ35" i="3" s="1"/>
  <c r="AL15" i="3"/>
  <c r="E4" i="17"/>
  <c r="E15" i="17" s="1"/>
  <c r="E14" i="17" s="1"/>
  <c r="E8" i="17"/>
  <c r="AL36" i="15" l="1"/>
  <c r="B37" i="15"/>
  <c r="AL37" i="15" s="1"/>
  <c r="AL38" i="15" s="1"/>
  <c r="Z38" i="15" l="1"/>
  <c r="AC38" i="15"/>
  <c r="H38" i="15"/>
  <c r="Q38" i="15"/>
  <c r="B38" i="15"/>
  <c r="E38" i="15"/>
  <c r="K38" i="15"/>
  <c r="AI38" i="15"/>
  <c r="W38" i="15"/>
  <c r="AF38" i="15"/>
  <c r="N38" i="15"/>
  <c r="T38" i="1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C26" authorId="0" shapeId="0" xr:uid="{00000000-0006-0000-0100-000001000000}">
      <text>
        <r>
          <rPr>
            <b/>
            <sz val="8"/>
            <color indexed="8"/>
            <rFont val="Tahoma"/>
            <family val="2"/>
          </rPr>
          <t xml:space="preserve">Faktor für die Berechnung von Heiligabend und Silvester
</t>
        </r>
        <r>
          <rPr>
            <sz val="8"/>
            <color indexed="8"/>
            <rFont val="Tahoma"/>
            <family val="2"/>
          </rPr>
          <t>0,0 - kein Urlaub an diesen Tagen erforderlich
0,5 - jeweils 1/2 Tag Urlaub erforderlich
1,0 - jeweils ein ganzer Tag Urlaub erforderlich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D5" authorId="0" shapeId="0" xr:uid="{EEF4AC96-4971-452B-8A32-FD505C266E4A}">
      <text>
        <r>
          <rPr>
            <sz val="8"/>
            <color indexed="8"/>
            <rFont val="Tahoma"/>
            <family val="2"/>
          </rPr>
          <t>Eingabe der aktuellen Pendlerpauschale</t>
        </r>
      </text>
    </comment>
    <comment ref="D6" authorId="0" shapeId="0" xr:uid="{D1880A2F-F7A6-4EE0-BBE7-83032CB116C5}">
      <text>
        <r>
          <rPr>
            <sz val="8"/>
            <color indexed="8"/>
            <rFont val="Tahoma"/>
            <family val="2"/>
          </rPr>
          <t>Eingabe der aktuellen Pendlerpauschale</t>
        </r>
      </text>
    </comment>
  </commentList>
</comments>
</file>

<file path=xl/sharedStrings.xml><?xml version="1.0" encoding="utf-8"?>
<sst xmlns="http://schemas.openxmlformats.org/spreadsheetml/2006/main" count="635" uniqueCount="220">
  <si>
    <t>Benutzer-Voreinstellungen</t>
  </si>
  <si>
    <t>Jahr</t>
  </si>
  <si>
    <t>Name</t>
  </si>
  <si>
    <t>Personal-Nummer</t>
  </si>
  <si>
    <t>Übertrag von</t>
  </si>
  <si>
    <t>Pausenzeitenprüfung</t>
  </si>
  <si>
    <t>Minus-Zeit</t>
  </si>
  <si>
    <t>Plus-Zeit</t>
  </si>
  <si>
    <t>Übertrag in</t>
  </si>
  <si>
    <t>SOLL-Arbeitszeit</t>
  </si>
  <si>
    <t>Wochensumme</t>
  </si>
  <si>
    <t>Montag</t>
  </si>
  <si>
    <t>Dienstag</t>
  </si>
  <si>
    <t>Mittwoch</t>
  </si>
  <si>
    <t>Donnerstag</t>
  </si>
  <si>
    <t>Freitag</t>
  </si>
  <si>
    <t>Samstag</t>
  </si>
  <si>
    <t>Sonntag</t>
  </si>
  <si>
    <t>Arbeitszeit 1 ab</t>
  </si>
  <si>
    <t>Arbeitszeit 2 ab</t>
  </si>
  <si>
    <t>Arbeitszeit 3 ab</t>
  </si>
  <si>
    <t>Arbeitszeit 4 ab</t>
  </si>
  <si>
    <t>Arbeitszeit 5 ab</t>
  </si>
  <si>
    <t>Bezeichnung</t>
  </si>
  <si>
    <t>Code</t>
  </si>
  <si>
    <t>Faktor</t>
  </si>
  <si>
    <t>Feiertag</t>
  </si>
  <si>
    <t>F</t>
  </si>
  <si>
    <t>Gleittag</t>
  </si>
  <si>
    <t>G</t>
  </si>
  <si>
    <t>Krank</t>
  </si>
  <si>
    <t>K</t>
  </si>
  <si>
    <t>NONE</t>
  </si>
  <si>
    <t>Kurzarbeit</t>
  </si>
  <si>
    <t>KU</t>
  </si>
  <si>
    <t>Kurzarbeit Restzeit</t>
  </si>
  <si>
    <t>KA</t>
  </si>
  <si>
    <t>Urlaub</t>
  </si>
  <si>
    <t>U</t>
  </si>
  <si>
    <t>Urlaub ½ Tag</t>
  </si>
  <si>
    <t>UH</t>
  </si>
  <si>
    <t>Bereitschaft</t>
  </si>
  <si>
    <t>B</t>
  </si>
  <si>
    <t>XTRA</t>
  </si>
  <si>
    <t>Urlaubsanspruch</t>
  </si>
  <si>
    <t>Tage</t>
  </si>
  <si>
    <t>Datum</t>
  </si>
  <si>
    <t>Bemerkung</t>
  </si>
  <si>
    <t>Neujahr</t>
  </si>
  <si>
    <t>Heilige Drei Könige</t>
  </si>
  <si>
    <t>Karfreitag</t>
  </si>
  <si>
    <t>Ostersonntag</t>
  </si>
  <si>
    <t>Ostermontag</t>
  </si>
  <si>
    <t>Maifeiertag</t>
  </si>
  <si>
    <t>Maifeiertag (Deutschland); Staatsfeiertag (Österreich)</t>
  </si>
  <si>
    <t>Christi Himmelfahrt</t>
  </si>
  <si>
    <t>Pfingstsonntag</t>
  </si>
  <si>
    <t>Pfingstmontag</t>
  </si>
  <si>
    <t>Fronleichnam</t>
  </si>
  <si>
    <t>Friedensfest</t>
  </si>
  <si>
    <t>Mariä Himmelfahrt</t>
  </si>
  <si>
    <t>Tag der dt. Einheit</t>
  </si>
  <si>
    <t>Nationalfeiertag</t>
  </si>
  <si>
    <t>Reformationstag</t>
  </si>
  <si>
    <t>Allerheiligen</t>
  </si>
  <si>
    <t>Buß- und Bettag</t>
  </si>
  <si>
    <t>Mariä Empfängnis</t>
  </si>
  <si>
    <t>Heiliger Abend</t>
  </si>
  <si>
    <t>1.Weihnachtsfeiertag</t>
  </si>
  <si>
    <t>1. Weihnachtsfeiertag (Deutschland); Christtag (Österreich); Weihnachtstag (Schweiz)</t>
  </si>
  <si>
    <t>2.Weihnachtsfeiertag</t>
  </si>
  <si>
    <t>2. Weihnachtsfeiertag (Deutschland); Stefanitag (Österreich); Stephanstag (Schweiz)</t>
  </si>
  <si>
    <t>Silvester</t>
  </si>
  <si>
    <t>Tag</t>
  </si>
  <si>
    <t>Kommt
1</t>
  </si>
  <si>
    <t>Geht
1</t>
  </si>
  <si>
    <t>Kommt
2</t>
  </si>
  <si>
    <t>Geht
2</t>
  </si>
  <si>
    <t>IST
Arbeits-
zeit</t>
  </si>
  <si>
    <t>SOLL
Arbeits-
zeit</t>
  </si>
  <si>
    <t xml:space="preserve"> +/-</t>
  </si>
  <si>
    <t>AZ</t>
  </si>
  <si>
    <t>Bemerkungen</t>
  </si>
  <si>
    <t>Aktuell
+/-</t>
  </si>
  <si>
    <t>abzüglich Überstunden ausgezahlt:</t>
  </si>
  <si>
    <t>Übertrag in den nächsten Monat:</t>
  </si>
  <si>
    <t>Anwesenheit</t>
  </si>
  <si>
    <t>Arbeitnehmer</t>
  </si>
  <si>
    <t>Arbeitgeber</t>
  </si>
  <si>
    <t>Januar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</si>
  <si>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</si>
  <si>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</si>
  <si>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</si>
  <si>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</si>
  <si>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</si>
  <si>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</si>
  <si>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</si>
  <si>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</si>
  <si>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</si>
  <si>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</si>
  <si>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</si>
  <si>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IST-Arbeitszeit</t>
  </si>
  <si>
    <t>+/-</t>
  </si>
  <si>
    <t>Anwesenheitstage</t>
  </si>
  <si>
    <t>Fahrten zur Arbeit</t>
  </si>
  <si>
    <t>Entfernung km (einfach)</t>
  </si>
  <si>
    <t>Summe km</t>
  </si>
  <si>
    <t>Werbungskosten</t>
  </si>
  <si>
    <t>Eigene Kosten</t>
  </si>
  <si>
    <t>KFZ-Fixkosten/Jahr</t>
  </si>
  <si>
    <t>Verbrauch je 100km</t>
  </si>
  <si>
    <t>Preis je Liter</t>
  </si>
  <si>
    <t>Fahrtkosten/Monat</t>
  </si>
  <si>
    <t>Fahrtkosten/Jahr</t>
  </si>
  <si>
    <t>Eigener Code 1</t>
  </si>
  <si>
    <t>Eigener Code 2</t>
  </si>
  <si>
    <t>Eigener Code 3</t>
  </si>
  <si>
    <t>Eigener Code 4</t>
  </si>
  <si>
    <t>Eigener Code 5</t>
  </si>
  <si>
    <t>E1</t>
  </si>
  <si>
    <t>E2</t>
  </si>
  <si>
    <t>E3</t>
  </si>
  <si>
    <t>E4</t>
  </si>
  <si>
    <t>E5</t>
  </si>
  <si>
    <t>Rosenmontag</t>
  </si>
  <si>
    <t>Fastnachtdienstag</t>
  </si>
  <si>
    <t>Register Feiertage</t>
  </si>
  <si>
    <t>Homeoffice</t>
  </si>
  <si>
    <t>H</t>
  </si>
  <si>
    <t>Int. Frauentag</t>
  </si>
  <si>
    <t>Weltkindertag</t>
  </si>
  <si>
    <t>REST</t>
  </si>
  <si>
    <t>bis</t>
  </si>
  <si>
    <t>Entfernungspauschale</t>
  </si>
  <si>
    <t>Tätigkeit</t>
  </si>
  <si>
    <t>Km</t>
  </si>
  <si>
    <t>Dropdown</t>
  </si>
  <si>
    <t>Entfernung</t>
  </si>
  <si>
    <t>Verketten</t>
  </si>
  <si>
    <t>Ziel</t>
  </si>
  <si>
    <t>Start 1</t>
  </si>
  <si>
    <t>Ort 1</t>
  </si>
  <si>
    <t>Ort 2</t>
  </si>
  <si>
    <t>Start</t>
  </si>
  <si>
    <t>Pause</t>
  </si>
  <si>
    <t>Ort</t>
  </si>
  <si>
    <t>größer als 6 Stunden</t>
  </si>
  <si>
    <t>Arb. IST
Ohne
Pause</t>
  </si>
  <si>
    <t>Zusammenfassung Kilometer</t>
  </si>
  <si>
    <t>Kilometerpauschale</t>
  </si>
  <si>
    <t>Stunden</t>
  </si>
  <si>
    <t>Kilometer</t>
  </si>
  <si>
    <t>Km-Pauschale</t>
  </si>
  <si>
    <t>Gesamt</t>
  </si>
  <si>
    <t>Firma</t>
  </si>
  <si>
    <t>Spalte1</t>
  </si>
  <si>
    <t>Entfernungsberechnung</t>
  </si>
  <si>
    <t>Bereich</t>
  </si>
  <si>
    <t>Beschäftigt seit</t>
  </si>
  <si>
    <t>74-Trauma WG</t>
  </si>
  <si>
    <t>01.02.2019</t>
  </si>
  <si>
    <t xml:space="preserve">Betriebszugehörigkeit </t>
  </si>
  <si>
    <t>Jahre</t>
  </si>
  <si>
    <t>Anspruch Kind Krank</t>
  </si>
  <si>
    <t>Kind 1</t>
  </si>
  <si>
    <t>Kind 2</t>
  </si>
  <si>
    <t>Kind 3</t>
  </si>
  <si>
    <t>Kind 4</t>
  </si>
  <si>
    <t>Allein erziehend</t>
  </si>
  <si>
    <t>Ja</t>
  </si>
  <si>
    <t>Nein</t>
  </si>
  <si>
    <t>Geboren am</t>
  </si>
  <si>
    <t>Anspruch</t>
  </si>
  <si>
    <t>Tage Anspruch</t>
  </si>
  <si>
    <t>12. LJ vollendet</t>
  </si>
  <si>
    <t>Krank Kind</t>
  </si>
  <si>
    <t>KK</t>
  </si>
  <si>
    <t>Grundlohn</t>
  </si>
  <si>
    <t>Abruf 1</t>
  </si>
  <si>
    <t>Tagdienst</t>
  </si>
  <si>
    <t>von</t>
  </si>
  <si>
    <t>Arbeitszeit</t>
  </si>
  <si>
    <t>SOLL</t>
  </si>
  <si>
    <t>IST</t>
  </si>
  <si>
    <t>Abruf 2</t>
  </si>
  <si>
    <t>Abruf 3</t>
  </si>
  <si>
    <t>o. Pause</t>
  </si>
  <si>
    <t>Nachtschicht</t>
  </si>
  <si>
    <t>Nacht-
Bereits.</t>
  </si>
  <si>
    <t>Abruf</t>
  </si>
  <si>
    <t>h
Ges.</t>
  </si>
  <si>
    <t>Nachtbereits.</t>
  </si>
  <si>
    <t>Stundensatz</t>
  </si>
  <si>
    <t>€</t>
  </si>
  <si>
    <t>h / Tag</t>
  </si>
  <si>
    <t>h / Nacht</t>
  </si>
  <si>
    <t>pro Stunde</t>
  </si>
  <si>
    <t>Nachtzuschlag</t>
  </si>
  <si>
    <t>Sonn- &amp; Feiertagszuschlag</t>
  </si>
  <si>
    <t>Nacht- So.- Feiertagszuschlag</t>
  </si>
  <si>
    <t>bezahlt pro Bereitschaftsstunde</t>
  </si>
  <si>
    <t>h / So</t>
  </si>
  <si>
    <t>h / FT</t>
  </si>
  <si>
    <t>h / 
N-So</t>
  </si>
  <si>
    <t>h / 
N-FT</t>
  </si>
  <si>
    <t>h / WT</t>
  </si>
  <si>
    <r>
      <t xml:space="preserve">Gesamt </t>
    </r>
    <r>
      <rPr>
        <b/>
        <sz val="8"/>
        <rFont val="Arial"/>
        <family val="2"/>
      </rPr>
      <t>€</t>
    </r>
  </si>
  <si>
    <t>Vivien Günther</t>
  </si>
  <si>
    <t>60161</t>
  </si>
  <si>
    <t>Summe Stundensatz</t>
  </si>
  <si>
    <t>Summe Zuschlag 20%</t>
  </si>
  <si>
    <t>Summe Zuschlag 25%</t>
  </si>
  <si>
    <t>Summe Zuschlag 45%</t>
  </si>
  <si>
    <t>Summe Gesamt</t>
  </si>
  <si>
    <t xml:space="preserve"> </t>
  </si>
  <si>
    <t>Hilfsspalte Nacht</t>
  </si>
  <si>
    <t>Summe Stunden</t>
  </si>
  <si>
    <t>Summe Stunden 20%</t>
  </si>
  <si>
    <t>Summe Stunden 25%</t>
  </si>
  <si>
    <t>Summe Stunden 45%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</si>
</sst>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2">
    <numFmt numFmtId="44" formatCode="_-* #,##0.00\ &quot;€&quot;_-;\-* #,##0.00\ &quot;€&quot;_-;_-* &quot;-&quot;??\ &quot;€&quot;_-;_-@_-"/>
    <numFmt numFmtId="164" formatCode="_-* #,##0.00_-;\-* #,##0.00_-;_-* &quot;-&quot;??_-;_-@_-"/>
    <numFmt numFmtId="165" formatCode="&quot;€&quot;#,##0.00_);[Red]\(&quot;€&quot;#,##0.00\)"/>
    <numFmt numFmtId="166" formatCode="[h]:mm"/>
    <numFmt numFmtId="167" formatCode="[Blue]\+[h]:mm;[Red]\-[h]:mm;[Green][h]:mm"/>
    <numFmt numFmtId="168" formatCode="h:mm"/>
    <numFmt numFmtId="169" formatCode="0.0"/>
    <numFmt numFmtId="170" formatCode="dddd&quot;, &quot;mmmm\ dd&quot;, &quot;yyyy"/>
    <numFmt numFmtId="171" formatCode="h:mm;@"/>
    <numFmt numFmtId="172" formatCode="mmmm\ yyyy"/>
    <numFmt numFmtId="173" formatCode="[Blue]\+[h]:mm;[Red]\-[h]:mm;[h]:mm"/>
    <numFmt numFmtId="174" formatCode="dddd"/>
    <numFmt numFmtId="175" formatCode="dd"/>
    <numFmt numFmtId="176" formatCode="[Red]\-[h]:mm;[Blue]\+[h]:mm;[h]:mm"/>
    <numFmt numFmtId="177" formatCode="[Blue][h]:mm;[Red]\-[h]:mm;[Green][h]:mm"/>
    <numFmt numFmtId="178" formatCode="#,##0.00&quot; h&quot;;[Red]\-#,##0.00&quot; h&quot;"/>
    <numFmt numFmtId="179" formatCode="ddd"/>
    <numFmt numFmtId="180" formatCode="[Red]&quot;||&quot;;&quot;&quot;"/>
    <numFmt numFmtId="181" formatCode="0&quot; km&quot;"/>
    <numFmt numFmtId="182" formatCode="#,##0.00\ [$€-407]"/>
    <numFmt numFmtId="183" formatCode="#,##0.00&quot; €&quot;"/>
    <numFmt numFmtId="184" formatCode="0&quot; l&quot;"/>
    <numFmt numFmtId="185" formatCode="[hh]:mm"/>
    <numFmt numFmtId="186" formatCode="[Blue]\+[h]:mm;[Red]\-[h]:mm;"/>
    <numFmt numFmtId="187" formatCode="[h]:mm;[Red]\-[h]:mm;[Green][h]:mm"/>
    <numFmt numFmtId="188" formatCode="[h]:mm;;"/>
    <numFmt numFmtId="189" formatCode="0.00;;"/>
    <numFmt numFmtId="190" formatCode="[h]:mm;[Red]\-[h]:mm;"/>
    <numFmt numFmtId="191" formatCode="0.00_ ;[Red]\-0.00\ "/>
    <numFmt numFmtId="192" formatCode="0.0&quot; km&quot;"/>
    <numFmt numFmtId="193" formatCode="#,##0.00\ &quot;€&quot;"/>
    <numFmt numFmtId="194" formatCode="_-* #,##0.00\ [$€-407]_-;\-* #,##0.00\ [$€-407]_-;_-* &quot;-&quot;??\ [$€-407]_-;_-@_-"/>
  </numFmts>
  <fonts count="24" x14ac:knownFonts="1"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9"/>
      <color indexed="10"/>
      <name val="Arial"/>
      <family val="2"/>
    </font>
    <font>
      <sz val="9"/>
      <color indexed="12"/>
      <name val="Arial"/>
      <family val="2"/>
    </font>
    <font>
      <sz val="9"/>
      <color indexed="8"/>
      <name val="Arial"/>
      <family val="2"/>
    </font>
    <font>
      <b/>
      <sz val="8"/>
      <color indexed="8"/>
      <name val="Tahoma"/>
      <family val="2"/>
    </font>
    <font>
      <sz val="8"/>
      <color indexed="8"/>
      <name val="Tahoma"/>
      <family val="2"/>
    </font>
    <font>
      <sz val="8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14"/>
      <name val="Arial"/>
      <family val="2"/>
    </font>
    <font>
      <sz val="9"/>
      <color rgb="FFFFFF00"/>
      <name val="Arial"/>
      <family val="2"/>
    </font>
    <font>
      <sz val="10"/>
      <name val="Arial"/>
      <family val="2"/>
    </font>
    <font>
      <sz val="9"/>
      <color rgb="FFC7254E"/>
      <name val="Consolas"/>
      <family val="3"/>
    </font>
    <font>
      <sz val="9"/>
      <color theme="0"/>
      <name val="Arial"/>
      <family val="2"/>
    </font>
    <font>
      <sz val="8.5"/>
      <name val="Arial"/>
      <family val="2"/>
    </font>
    <font>
      <b/>
      <sz val="9"/>
      <color rgb="FF0000FF"/>
      <name val="Arial"/>
      <family val="2"/>
    </font>
    <font>
      <b/>
      <sz val="8"/>
      <color rgb="FF222223"/>
      <name val="Roboto"/>
    </font>
    <font>
      <sz val="9"/>
      <name val="Consolas"/>
      <family val="3"/>
    </font>
    <font>
      <b/>
      <sz val="11"/>
      <name val="Arial"/>
      <family val="2"/>
    </font>
    <font>
      <sz val="10"/>
      <color theme="0"/>
      <name val="Arial"/>
      <family val="2"/>
    </font>
    <font>
      <sz val="9"/>
      <color rgb="FF000000"/>
      <name val="Segoe UI"/>
      <family val="2"/>
    </font>
  </fonts>
  <fills count="28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indexed="9"/>
        <bgColor indexed="26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4.9989318521683403E-2"/>
        <bgColor indexed="9"/>
      </patternFill>
    </fill>
    <fill>
      <patternFill patternType="solid">
        <fgColor theme="0" tint="-4.9989318521683403E-2"/>
        <bgColor indexed="26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indexed="31"/>
      </patternFill>
    </fill>
    <fill>
      <patternFill patternType="solid">
        <fgColor rgb="FFFFC000"/>
        <bgColor indexed="31"/>
      </patternFill>
    </fill>
    <fill>
      <patternFill patternType="solid">
        <fgColor rgb="FF0070C0"/>
        <bgColor indexed="31"/>
      </patternFill>
    </fill>
    <fill>
      <patternFill patternType="solid">
        <fgColor theme="4" tint="0.59996337778862885"/>
        <bgColor indexed="31"/>
      </patternFill>
    </fill>
    <fill>
      <patternFill patternType="solid">
        <fgColor rgb="FFFFFF66"/>
        <bgColor indexed="31"/>
      </patternFill>
    </fill>
    <fill>
      <patternFill patternType="solid">
        <fgColor rgb="FF00B0F0"/>
        <bgColor indexed="31"/>
      </patternFill>
    </fill>
    <fill>
      <patternFill patternType="solid">
        <fgColor rgb="FFFFC000"/>
        <bgColor indexed="51"/>
      </patternFill>
    </fill>
    <fill>
      <patternFill patternType="solid">
        <fgColor rgb="FFFFFF00"/>
        <bgColor indexed="31"/>
      </patternFill>
    </fill>
    <fill>
      <patternFill patternType="solid">
        <fgColor rgb="FF92D050"/>
        <bgColor indexed="26"/>
      </patternFill>
    </fill>
    <fill>
      <patternFill patternType="solid">
        <fgColor theme="3" tint="0.59999389629810485"/>
        <bgColor indexed="26"/>
      </patternFill>
    </fill>
    <fill>
      <patternFill patternType="solid">
        <fgColor theme="9" tint="0.39997558519241921"/>
        <bgColor indexed="26"/>
      </patternFill>
    </fill>
    <fill>
      <patternFill patternType="solid">
        <fgColor rgb="FFFFD250"/>
        <bgColor indexed="51"/>
      </patternFill>
    </fill>
    <fill>
      <patternFill patternType="solid">
        <fgColor rgb="FFFFFF00"/>
        <bgColor indexed="64"/>
      </patternFill>
    </fill>
    <fill>
      <patternFill patternType="solid">
        <fgColor theme="0" tint="-0.24994659260841701"/>
        <bgColor indexed="31"/>
      </patternFill>
    </fill>
    <fill>
      <patternFill patternType="solid">
        <fgColor rgb="FFC0C0C0"/>
        <bgColor indexed="31"/>
      </patternFill>
    </fill>
    <fill>
      <patternFill patternType="solid">
        <fgColor rgb="FFC0C0C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30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55"/>
      </left>
      <right/>
      <top style="thin">
        <color indexed="55"/>
      </top>
      <bottom style="hair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hair">
        <color indexed="22"/>
      </bottom>
      <diagonal/>
    </border>
    <border>
      <left style="thin">
        <color indexed="55"/>
      </left>
      <right/>
      <top style="hair">
        <color indexed="55"/>
      </top>
      <bottom style="hair">
        <color indexed="55"/>
      </bottom>
      <diagonal/>
    </border>
    <border>
      <left/>
      <right style="thin">
        <color indexed="55"/>
      </right>
      <top style="hair">
        <color indexed="55"/>
      </top>
      <bottom style="hair">
        <color indexed="55"/>
      </bottom>
      <diagonal/>
    </border>
    <border>
      <left style="thin">
        <color indexed="55"/>
      </left>
      <right style="thin">
        <color indexed="55"/>
      </right>
      <top style="hair">
        <color indexed="22"/>
      </top>
      <bottom style="hair">
        <color indexed="22"/>
      </bottom>
      <diagonal/>
    </border>
    <border>
      <left style="thin">
        <color indexed="55"/>
      </left>
      <right/>
      <top style="hair">
        <color indexed="55"/>
      </top>
      <bottom style="thin">
        <color indexed="55"/>
      </bottom>
      <diagonal/>
    </border>
    <border>
      <left/>
      <right style="thin">
        <color indexed="55"/>
      </right>
      <top style="hair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hair">
        <color indexed="22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hair">
        <color indexed="55"/>
      </bottom>
      <diagonal/>
    </border>
    <border>
      <left/>
      <right/>
      <top style="hair">
        <color indexed="55"/>
      </top>
      <bottom style="hair">
        <color indexed="55"/>
      </bottom>
      <diagonal/>
    </border>
    <border>
      <left/>
      <right/>
      <top style="hair">
        <color indexed="55"/>
      </top>
      <bottom style="thin">
        <color indexed="55"/>
      </bottom>
      <diagonal/>
    </border>
    <border>
      <left style="hair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 style="hair">
        <color indexed="22"/>
      </right>
      <top style="thin">
        <color indexed="55"/>
      </top>
      <bottom style="thin">
        <color indexed="55"/>
      </bottom>
      <diagonal/>
    </border>
    <border>
      <left style="hair">
        <color indexed="22"/>
      </left>
      <right style="hair">
        <color indexed="22"/>
      </right>
      <top style="thin">
        <color indexed="55"/>
      </top>
      <bottom style="thin">
        <color indexed="55"/>
      </bottom>
      <diagonal/>
    </border>
    <border>
      <left style="hair">
        <color indexed="22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hair">
        <color indexed="22"/>
      </right>
      <top style="thin">
        <color indexed="55"/>
      </top>
      <bottom/>
      <diagonal/>
    </border>
    <border>
      <left/>
      <right style="hair">
        <color indexed="22"/>
      </right>
      <top/>
      <bottom style="hair">
        <color indexed="22"/>
      </bottom>
      <diagonal/>
    </border>
    <border>
      <left style="hair">
        <color indexed="22"/>
      </left>
      <right style="hair">
        <color indexed="22"/>
      </right>
      <top/>
      <bottom style="hair">
        <color indexed="22"/>
      </bottom>
      <diagonal/>
    </border>
    <border>
      <left style="hair">
        <color indexed="22"/>
      </left>
      <right style="thin">
        <color indexed="55"/>
      </right>
      <top/>
      <bottom style="hair">
        <color indexed="22"/>
      </bottom>
      <diagonal/>
    </border>
    <border>
      <left style="thin">
        <color indexed="55"/>
      </left>
      <right style="thin">
        <color indexed="55"/>
      </right>
      <top style="hair">
        <color indexed="55"/>
      </top>
      <bottom style="hair">
        <color indexed="55"/>
      </bottom>
      <diagonal/>
    </border>
    <border>
      <left/>
      <right style="hair">
        <color indexed="22"/>
      </right>
      <top style="hair">
        <color indexed="22"/>
      </top>
      <bottom style="hair">
        <color indexed="22"/>
      </bottom>
      <diagonal/>
    </border>
    <border>
      <left style="hair">
        <color indexed="22"/>
      </left>
      <right style="hair">
        <color indexed="22"/>
      </right>
      <top style="hair">
        <color indexed="22"/>
      </top>
      <bottom style="hair">
        <color indexed="22"/>
      </bottom>
      <diagonal/>
    </border>
    <border>
      <left style="hair">
        <color indexed="22"/>
      </left>
      <right style="thin">
        <color indexed="55"/>
      </right>
      <top style="hair">
        <color indexed="22"/>
      </top>
      <bottom style="hair">
        <color indexed="22"/>
      </bottom>
      <diagonal/>
    </border>
    <border>
      <left/>
      <right style="hair">
        <color indexed="22"/>
      </right>
      <top style="hair">
        <color indexed="22"/>
      </top>
      <bottom style="thin">
        <color indexed="55"/>
      </bottom>
      <diagonal/>
    </border>
    <border>
      <left style="hair">
        <color indexed="22"/>
      </left>
      <right style="hair">
        <color indexed="22"/>
      </right>
      <top style="hair">
        <color indexed="22"/>
      </top>
      <bottom style="thin">
        <color indexed="55"/>
      </bottom>
      <diagonal/>
    </border>
    <border>
      <left style="hair">
        <color indexed="22"/>
      </left>
      <right style="thin">
        <color indexed="55"/>
      </right>
      <top style="hair">
        <color indexed="22"/>
      </top>
      <bottom style="thin">
        <color indexed="55"/>
      </bottom>
      <diagonal/>
    </border>
    <border>
      <left style="thin">
        <color indexed="55"/>
      </left>
      <right style="hair">
        <color indexed="22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hair">
        <color indexed="22"/>
      </right>
      <top style="hair">
        <color indexed="22"/>
      </top>
      <bottom style="hair">
        <color indexed="22"/>
      </bottom>
      <diagonal/>
    </border>
    <border>
      <left style="thin">
        <color indexed="55"/>
      </left>
      <right style="hair">
        <color indexed="22"/>
      </right>
      <top style="hair">
        <color indexed="22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hair">
        <color indexed="22"/>
      </bottom>
      <diagonal/>
    </border>
    <border>
      <left/>
      <right/>
      <top style="thin">
        <color indexed="55"/>
      </top>
      <bottom style="hair">
        <color indexed="22"/>
      </bottom>
      <diagonal/>
    </border>
    <border>
      <left style="thin">
        <color indexed="55"/>
      </left>
      <right/>
      <top style="hair">
        <color indexed="22"/>
      </top>
      <bottom style="hair">
        <color indexed="22"/>
      </bottom>
      <diagonal/>
    </border>
    <border>
      <left/>
      <right/>
      <top style="hair">
        <color indexed="22"/>
      </top>
      <bottom style="hair">
        <color indexed="22"/>
      </bottom>
      <diagonal/>
    </border>
    <border>
      <left style="thin">
        <color indexed="55"/>
      </left>
      <right/>
      <top style="hair">
        <color indexed="22"/>
      </top>
      <bottom style="thin">
        <color indexed="55"/>
      </bottom>
      <diagonal/>
    </border>
    <border>
      <left/>
      <right style="thin">
        <color indexed="55"/>
      </right>
      <top/>
      <bottom style="thin">
        <color indexed="55"/>
      </bottom>
      <diagonal/>
    </border>
    <border>
      <left/>
      <right style="thin">
        <color indexed="55"/>
      </right>
      <top/>
      <bottom/>
      <diagonal/>
    </border>
    <border>
      <left style="thin">
        <color indexed="55"/>
      </left>
      <right style="hair">
        <color indexed="55"/>
      </right>
      <top style="thin">
        <color indexed="55"/>
      </top>
      <bottom/>
      <diagonal/>
    </border>
    <border>
      <left style="hair">
        <color indexed="55"/>
      </left>
      <right style="hair">
        <color indexed="55"/>
      </right>
      <top style="thin">
        <color indexed="55"/>
      </top>
      <bottom style="hair">
        <color indexed="55"/>
      </bottom>
      <diagonal/>
    </border>
    <border>
      <left style="hair">
        <color indexed="55"/>
      </left>
      <right style="thin">
        <color indexed="55"/>
      </right>
      <top style="thin">
        <color indexed="55"/>
      </top>
      <bottom style="hair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hair">
        <color indexed="55"/>
      </bottom>
      <diagonal/>
    </border>
    <border>
      <left/>
      <right style="hair">
        <color indexed="55"/>
      </right>
      <top style="hair">
        <color indexed="55"/>
      </top>
      <bottom style="hair">
        <color indexed="55"/>
      </bottom>
      <diagonal/>
    </border>
    <border>
      <left style="hair">
        <color indexed="55"/>
      </left>
      <right style="hair">
        <color indexed="55"/>
      </right>
      <top style="hair">
        <color indexed="55"/>
      </top>
      <bottom style="hair">
        <color indexed="55"/>
      </bottom>
      <diagonal/>
    </border>
    <border>
      <left style="hair">
        <color indexed="55"/>
      </left>
      <right style="thin">
        <color indexed="55"/>
      </right>
      <top style="hair">
        <color indexed="55"/>
      </top>
      <bottom style="hair">
        <color indexed="55"/>
      </bottom>
      <diagonal/>
    </border>
    <border>
      <left style="thin">
        <color indexed="55"/>
      </left>
      <right style="thin">
        <color indexed="55"/>
      </right>
      <top style="hair">
        <color indexed="55"/>
      </top>
      <bottom style="thin">
        <color indexed="55"/>
      </bottom>
      <diagonal/>
    </border>
    <border>
      <left style="thin">
        <color indexed="55"/>
      </left>
      <right style="hair">
        <color indexed="55"/>
      </right>
      <top/>
      <bottom style="hair">
        <color indexed="55"/>
      </bottom>
      <diagonal/>
    </border>
    <border>
      <left style="thin">
        <color indexed="55"/>
      </left>
      <right style="hair">
        <color indexed="55"/>
      </right>
      <top style="hair">
        <color indexed="55"/>
      </top>
      <bottom style="hair">
        <color indexed="55"/>
      </bottom>
      <diagonal/>
    </border>
    <border>
      <left style="hair">
        <color indexed="55"/>
      </left>
      <right style="hair">
        <color indexed="55"/>
      </right>
      <top style="hair">
        <color indexed="55"/>
      </top>
      <bottom/>
      <diagonal/>
    </border>
    <border>
      <left style="hair">
        <color indexed="55"/>
      </left>
      <right style="hair">
        <color indexed="55"/>
      </right>
      <top/>
      <bottom style="hair">
        <color indexed="55"/>
      </bottom>
      <diagonal/>
    </border>
    <border>
      <left style="thin">
        <color indexed="55"/>
      </left>
      <right style="hair">
        <color indexed="55"/>
      </right>
      <top style="hair">
        <color indexed="55"/>
      </top>
      <bottom/>
      <diagonal/>
    </border>
    <border>
      <left style="hair">
        <color indexed="55"/>
      </left>
      <right style="hair">
        <color indexed="55"/>
      </right>
      <top style="hair">
        <color indexed="55"/>
      </top>
      <bottom style="thin">
        <color indexed="55"/>
      </bottom>
      <diagonal/>
    </border>
    <border>
      <left style="hair">
        <color indexed="55"/>
      </left>
      <right style="thin">
        <color indexed="55"/>
      </right>
      <top style="hair">
        <color indexed="55"/>
      </top>
      <bottom/>
      <diagonal/>
    </border>
    <border>
      <left style="thin">
        <color indexed="55"/>
      </left>
      <right style="hair">
        <color indexed="55"/>
      </right>
      <top style="thin">
        <color indexed="55"/>
      </top>
      <bottom style="hair">
        <color indexed="55"/>
      </bottom>
      <diagonal/>
    </border>
    <border>
      <left style="hair">
        <color indexed="55"/>
      </left>
      <right style="thin">
        <color indexed="55"/>
      </right>
      <top/>
      <bottom style="hair">
        <color indexed="55"/>
      </bottom>
      <diagonal/>
    </border>
    <border>
      <left style="thin">
        <color indexed="55"/>
      </left>
      <right style="hair">
        <color indexed="55"/>
      </right>
      <top style="hair">
        <color indexed="55"/>
      </top>
      <bottom style="thin">
        <color indexed="55"/>
      </bottom>
      <diagonal/>
    </border>
    <border>
      <left style="hair">
        <color indexed="55"/>
      </left>
      <right style="thin">
        <color indexed="55"/>
      </right>
      <top style="hair">
        <color indexed="55"/>
      </top>
      <bottom style="thin">
        <color indexed="55"/>
      </bottom>
      <diagonal/>
    </border>
    <border>
      <left/>
      <right/>
      <top style="thin">
        <color indexed="23"/>
      </top>
      <bottom/>
      <diagonal/>
    </border>
    <border>
      <left/>
      <right/>
      <top/>
      <bottom style="thin">
        <color indexed="23"/>
      </bottom>
      <diagonal/>
    </border>
    <border>
      <left style="thin">
        <color indexed="23"/>
      </left>
      <right style="hair">
        <color indexed="23"/>
      </right>
      <top style="thin">
        <color indexed="23"/>
      </top>
      <bottom style="hair">
        <color indexed="23"/>
      </bottom>
      <diagonal/>
    </border>
    <border>
      <left style="hair">
        <color indexed="23"/>
      </left>
      <right style="hair">
        <color indexed="23"/>
      </right>
      <top style="thin">
        <color indexed="23"/>
      </top>
      <bottom style="hair">
        <color indexed="23"/>
      </bottom>
      <diagonal/>
    </border>
    <border>
      <left/>
      <right style="hair">
        <color indexed="23"/>
      </right>
      <top style="thin">
        <color indexed="23"/>
      </top>
      <bottom style="hair">
        <color indexed="23"/>
      </bottom>
      <diagonal/>
    </border>
    <border>
      <left style="hair">
        <color indexed="23"/>
      </left>
      <right style="thin">
        <color indexed="23"/>
      </right>
      <top style="thin">
        <color indexed="23"/>
      </top>
      <bottom style="hair">
        <color indexed="23"/>
      </bottom>
      <diagonal/>
    </border>
    <border>
      <left style="thin">
        <color indexed="23"/>
      </left>
      <right style="hair">
        <color indexed="23"/>
      </right>
      <top style="hair">
        <color indexed="23"/>
      </top>
      <bottom style="hair">
        <color indexed="23"/>
      </bottom>
      <diagonal/>
    </border>
    <border>
      <left style="hair">
        <color indexed="23"/>
      </left>
      <right style="hair">
        <color indexed="23"/>
      </right>
      <top style="hair">
        <color indexed="23"/>
      </top>
      <bottom style="hair">
        <color indexed="23"/>
      </bottom>
      <diagonal/>
    </border>
    <border>
      <left/>
      <right style="hair">
        <color indexed="23"/>
      </right>
      <top style="hair">
        <color indexed="23"/>
      </top>
      <bottom style="hair">
        <color indexed="23"/>
      </bottom>
      <diagonal/>
    </border>
    <border>
      <left style="hair">
        <color indexed="23"/>
      </left>
      <right style="thin">
        <color indexed="23"/>
      </right>
      <top style="hair">
        <color indexed="23"/>
      </top>
      <bottom style="hair">
        <color indexed="23"/>
      </bottom>
      <diagonal/>
    </border>
    <border>
      <left style="thin">
        <color indexed="23"/>
      </left>
      <right/>
      <top style="hair">
        <color indexed="23"/>
      </top>
      <bottom style="hair">
        <color indexed="23"/>
      </bottom>
      <diagonal/>
    </border>
    <border>
      <left/>
      <right/>
      <top style="hair">
        <color indexed="23"/>
      </top>
      <bottom style="hair">
        <color indexed="23"/>
      </bottom>
      <diagonal/>
    </border>
    <border>
      <left/>
      <right style="thin">
        <color indexed="23"/>
      </right>
      <top style="hair">
        <color indexed="23"/>
      </top>
      <bottom style="hair">
        <color indexed="23"/>
      </bottom>
      <diagonal/>
    </border>
    <border>
      <left style="thick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ck">
        <color indexed="23"/>
      </right>
      <top style="thin">
        <color indexed="23"/>
      </top>
      <bottom style="thin">
        <color indexed="23"/>
      </bottom>
      <diagonal/>
    </border>
    <border>
      <left style="thick">
        <color indexed="23"/>
      </left>
      <right style="thin">
        <color indexed="23"/>
      </right>
      <top style="thin">
        <color indexed="23"/>
      </top>
      <bottom style="hair">
        <color indexed="8"/>
      </bottom>
      <diagonal/>
    </border>
    <border>
      <left style="thin">
        <color indexed="23"/>
      </left>
      <right style="thick">
        <color indexed="23"/>
      </right>
      <top style="thin">
        <color indexed="23"/>
      </top>
      <bottom style="hair">
        <color indexed="8"/>
      </bottom>
      <diagonal/>
    </border>
    <border>
      <left style="thick">
        <color indexed="23"/>
      </left>
      <right style="thin">
        <color indexed="23"/>
      </right>
      <top style="hair">
        <color indexed="8"/>
      </top>
      <bottom style="hair">
        <color indexed="8"/>
      </bottom>
      <diagonal/>
    </border>
    <border>
      <left style="thin">
        <color indexed="23"/>
      </left>
      <right style="thick">
        <color indexed="23"/>
      </right>
      <top style="hair">
        <color indexed="8"/>
      </top>
      <bottom style="hair">
        <color indexed="8"/>
      </bottom>
      <diagonal/>
    </border>
    <border>
      <left style="thick">
        <color indexed="23"/>
      </left>
      <right style="thin">
        <color indexed="23"/>
      </right>
      <top style="hair">
        <color indexed="8"/>
      </top>
      <bottom/>
      <diagonal/>
    </border>
    <border>
      <left style="thin">
        <color indexed="23"/>
      </left>
      <right style="thick">
        <color indexed="23"/>
      </right>
      <top style="hair">
        <color indexed="8"/>
      </top>
      <bottom/>
      <diagonal/>
    </border>
    <border>
      <left style="thick">
        <color indexed="23"/>
      </left>
      <right style="thin">
        <color indexed="23"/>
      </right>
      <top style="thick">
        <color indexed="23"/>
      </top>
      <bottom style="hair">
        <color indexed="23"/>
      </bottom>
      <diagonal/>
    </border>
    <border>
      <left/>
      <right style="thin">
        <color indexed="23"/>
      </right>
      <top style="thick">
        <color indexed="23"/>
      </top>
      <bottom style="hair">
        <color indexed="23"/>
      </bottom>
      <diagonal/>
    </border>
    <border>
      <left/>
      <right/>
      <top style="thick">
        <color indexed="23"/>
      </top>
      <bottom style="hair">
        <color indexed="23"/>
      </bottom>
      <diagonal/>
    </border>
    <border>
      <left style="thin">
        <color indexed="23"/>
      </left>
      <right style="thick">
        <color indexed="23"/>
      </right>
      <top style="thick">
        <color indexed="23"/>
      </top>
      <bottom style="hair">
        <color indexed="23"/>
      </bottom>
      <diagonal/>
    </border>
    <border>
      <left style="thick">
        <color indexed="23"/>
      </left>
      <right style="thin">
        <color indexed="23"/>
      </right>
      <top style="hair">
        <color indexed="23"/>
      </top>
      <bottom style="hair">
        <color indexed="23"/>
      </bottom>
      <diagonal/>
    </border>
    <border>
      <left style="thin">
        <color indexed="23"/>
      </left>
      <right style="thick">
        <color indexed="23"/>
      </right>
      <top style="hair">
        <color indexed="23"/>
      </top>
      <bottom style="hair">
        <color indexed="23"/>
      </bottom>
      <diagonal/>
    </border>
    <border>
      <left style="thick">
        <color indexed="23"/>
      </left>
      <right style="thin">
        <color indexed="23"/>
      </right>
      <top style="hair">
        <color indexed="23"/>
      </top>
      <bottom style="thick">
        <color indexed="23"/>
      </bottom>
      <diagonal/>
    </border>
    <border>
      <left/>
      <right style="thin">
        <color indexed="23"/>
      </right>
      <top style="hair">
        <color indexed="23"/>
      </top>
      <bottom style="thick">
        <color indexed="23"/>
      </bottom>
      <diagonal/>
    </border>
    <border>
      <left/>
      <right/>
      <top style="hair">
        <color indexed="23"/>
      </top>
      <bottom style="thick">
        <color indexed="23"/>
      </bottom>
      <diagonal/>
    </border>
    <border>
      <left style="thin">
        <color indexed="23"/>
      </left>
      <right style="thick">
        <color indexed="23"/>
      </right>
      <top style="hair">
        <color indexed="23"/>
      </top>
      <bottom style="thick">
        <color indexed="23"/>
      </bottom>
      <diagonal/>
    </border>
    <border>
      <left style="thick">
        <color indexed="23"/>
      </left>
      <right style="thin">
        <color indexed="23"/>
      </right>
      <top style="thick">
        <color indexed="23"/>
      </top>
      <bottom style="thick">
        <color indexed="23"/>
      </bottom>
      <diagonal/>
    </border>
    <border>
      <left style="thin">
        <color indexed="23"/>
      </left>
      <right style="thick">
        <color indexed="23"/>
      </right>
      <top style="thick">
        <color indexed="23"/>
      </top>
      <bottom style="thick">
        <color indexed="23"/>
      </bottom>
      <diagonal/>
    </border>
    <border>
      <left style="thin">
        <color indexed="55"/>
      </left>
      <right/>
      <top/>
      <bottom/>
      <diagonal/>
    </border>
    <border>
      <left style="thin">
        <color indexed="55"/>
      </left>
      <right/>
      <top/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 style="thin">
        <color indexed="55"/>
      </left>
      <right/>
      <top style="hair">
        <color indexed="22"/>
      </top>
      <bottom/>
      <diagonal/>
    </border>
    <border>
      <left/>
      <right/>
      <top style="hair">
        <color indexed="22"/>
      </top>
      <bottom/>
      <diagonal/>
    </border>
    <border>
      <left style="thin">
        <color indexed="55"/>
      </left>
      <right style="thin">
        <color indexed="55"/>
      </right>
      <top style="hair">
        <color indexed="22"/>
      </top>
      <bottom/>
      <diagonal/>
    </border>
    <border>
      <left style="hair">
        <color indexed="55"/>
      </left>
      <right style="thin">
        <color indexed="55"/>
      </right>
      <top style="thin">
        <color indexed="55"/>
      </top>
      <bottom style="hair">
        <color indexed="22"/>
      </bottom>
      <diagonal/>
    </border>
    <border>
      <left/>
      <right/>
      <top style="hair">
        <color indexed="22"/>
      </top>
      <bottom style="thin">
        <color indexed="55"/>
      </bottom>
      <diagonal/>
    </border>
    <border>
      <left style="hair">
        <color indexed="55"/>
      </left>
      <right style="thin">
        <color indexed="55"/>
      </right>
      <top style="hair">
        <color indexed="22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hair">
        <color indexed="23"/>
      </left>
      <right/>
      <top style="hair">
        <color indexed="23"/>
      </top>
      <bottom style="hair">
        <color indexed="23"/>
      </bottom>
      <diagonal/>
    </border>
    <border>
      <left style="thin">
        <color indexed="23"/>
      </left>
      <right/>
      <top style="thin">
        <color indexed="23"/>
      </top>
      <bottom/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/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/>
      <top style="thick">
        <color indexed="23"/>
      </top>
      <bottom style="thick">
        <color indexed="23"/>
      </bottom>
      <diagonal/>
    </border>
    <border>
      <left style="thin">
        <color indexed="23"/>
      </left>
      <right style="thin">
        <color indexed="23"/>
      </right>
      <top style="hair">
        <color indexed="23"/>
      </top>
      <bottom style="hair">
        <color indexed="23"/>
      </bottom>
      <diagonal/>
    </border>
    <border>
      <left style="thin">
        <color indexed="23"/>
      </left>
      <right style="thin">
        <color indexed="23"/>
      </right>
      <top style="thick">
        <color indexed="23"/>
      </top>
      <bottom style="hair">
        <color indexed="23"/>
      </bottom>
      <diagonal/>
    </border>
    <border>
      <left style="thin">
        <color indexed="23"/>
      </left>
      <right/>
      <top style="hair">
        <color indexed="23"/>
      </top>
      <bottom style="thick">
        <color indexed="23"/>
      </bottom>
      <diagonal/>
    </border>
    <border>
      <left style="thin">
        <color indexed="23"/>
      </left>
      <right/>
      <top style="thick">
        <color indexed="23"/>
      </top>
      <bottom style="hair">
        <color indexed="23"/>
      </bottom>
      <diagonal/>
    </border>
    <border>
      <left style="hair">
        <color indexed="23"/>
      </left>
      <right/>
      <top style="thin">
        <color indexed="23"/>
      </top>
      <bottom style="hair">
        <color indexed="23"/>
      </bottom>
      <diagonal/>
    </border>
    <border>
      <left style="thin">
        <color theme="0" tint="-0.499984740745262"/>
      </left>
      <right style="hair">
        <color theme="0" tint="-0.499984740745262"/>
      </right>
      <top style="thin">
        <color theme="0" tint="-0.499984740745262"/>
      </top>
      <bottom style="hair">
        <color theme="0" tint="-0.499984740745262"/>
      </bottom>
      <diagonal/>
    </border>
    <border>
      <left style="thin">
        <color theme="0" tint="-0.499984740745262"/>
      </left>
      <right style="hair">
        <color theme="0" tint="-0.499984740745262"/>
      </right>
      <top style="hair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hair">
        <color theme="0" tint="-0.499984740745262"/>
      </left>
      <right style="thin">
        <color theme="0" tint="-0.499984740745262"/>
      </right>
      <top style="thin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 style="thin">
        <color theme="0" tint="-0.499984740745262"/>
      </right>
      <top style="hair">
        <color theme="0" tint="-0.499984740745262"/>
      </top>
      <bottom style="thin">
        <color theme="0" tint="-0.499984740745262"/>
      </bottom>
      <diagonal/>
    </border>
    <border>
      <left style="thin">
        <color indexed="23"/>
      </left>
      <right style="hair">
        <color indexed="23"/>
      </right>
      <top style="hair">
        <color indexed="23"/>
      </top>
      <bottom style="thick">
        <color indexed="23"/>
      </bottom>
      <diagonal/>
    </border>
    <border>
      <left style="hair">
        <color indexed="23"/>
      </left>
      <right style="hair">
        <color indexed="23"/>
      </right>
      <top style="hair">
        <color indexed="23"/>
      </top>
      <bottom style="thick">
        <color indexed="23"/>
      </bottom>
      <diagonal/>
    </border>
    <border>
      <left style="hair">
        <color indexed="23"/>
      </left>
      <right/>
      <top style="hair">
        <color indexed="23"/>
      </top>
      <bottom style="thick">
        <color indexed="23"/>
      </bottom>
      <diagonal/>
    </border>
    <border>
      <left style="hair">
        <color indexed="23"/>
      </left>
      <right style="thin">
        <color indexed="23"/>
      </right>
      <top style="hair">
        <color indexed="23"/>
      </top>
      <bottom style="thick">
        <color indexed="23"/>
      </bottom>
      <diagonal/>
    </border>
    <border>
      <left/>
      <right style="hair">
        <color indexed="23"/>
      </right>
      <top style="hair">
        <color indexed="23"/>
      </top>
      <bottom style="thick">
        <color indexed="23"/>
      </bottom>
      <diagonal/>
    </border>
    <border>
      <left/>
      <right style="hair">
        <color indexed="55"/>
      </right>
      <top/>
      <bottom style="hair">
        <color indexed="55"/>
      </bottom>
      <diagonal/>
    </border>
    <border>
      <left style="hair">
        <color indexed="55"/>
      </left>
      <right/>
      <top style="hair">
        <color indexed="55"/>
      </top>
      <bottom/>
      <diagonal/>
    </border>
    <border>
      <left style="hair">
        <color indexed="55"/>
      </left>
      <right style="hair">
        <color indexed="55"/>
      </right>
      <top/>
      <bottom/>
      <diagonal/>
    </border>
    <border>
      <left style="thick">
        <color indexed="23"/>
      </left>
      <right/>
      <top/>
      <bottom style="thin">
        <color indexed="23"/>
      </bottom>
      <diagonal/>
    </border>
    <border>
      <left/>
      <right style="thick">
        <color indexed="23"/>
      </right>
      <top/>
      <bottom style="thin">
        <color indexed="23"/>
      </bottom>
      <diagonal/>
    </border>
    <border>
      <left/>
      <right/>
      <top style="thick">
        <color indexed="23"/>
      </top>
      <bottom/>
      <diagonal/>
    </border>
    <border>
      <left style="thick">
        <color indexed="23"/>
      </left>
      <right/>
      <top style="thick">
        <color indexed="23"/>
      </top>
      <bottom/>
      <diagonal/>
    </border>
    <border>
      <left/>
      <right style="thick">
        <color indexed="23"/>
      </right>
      <top style="thick">
        <color indexed="23"/>
      </top>
      <bottom/>
      <diagonal/>
    </border>
    <border>
      <left style="thin">
        <color indexed="23"/>
      </left>
      <right style="hair">
        <color theme="0" tint="-0.24994659260841701"/>
      </right>
      <top style="thin">
        <color indexed="23"/>
      </top>
      <bottom style="hair">
        <color theme="0" tint="-0.24994659260841701"/>
      </bottom>
      <diagonal/>
    </border>
    <border>
      <left style="hair">
        <color theme="0" tint="-0.24994659260841701"/>
      </left>
      <right style="thin">
        <color indexed="23"/>
      </right>
      <top style="thin">
        <color indexed="23"/>
      </top>
      <bottom style="hair">
        <color theme="0" tint="-0.24994659260841701"/>
      </bottom>
      <diagonal/>
    </border>
    <border>
      <left style="thin">
        <color indexed="23"/>
      </left>
      <right style="hair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 style="hair">
        <color theme="0" tint="-0.24994659260841701"/>
      </left>
      <right style="thin">
        <color indexed="23"/>
      </right>
      <top style="hair">
        <color theme="0" tint="-0.24994659260841701"/>
      </top>
      <bottom style="hair">
        <color theme="0" tint="-0.24994659260841701"/>
      </bottom>
      <diagonal/>
    </border>
    <border>
      <left style="hair">
        <color theme="0" tint="-0.24994659260841701"/>
      </left>
      <right/>
      <top style="thin">
        <color indexed="23"/>
      </top>
      <bottom style="hair">
        <color theme="0" tint="-0.24994659260841701"/>
      </bottom>
      <diagonal/>
    </border>
    <border>
      <left/>
      <right style="hair">
        <color theme="0" tint="-0.24994659260841701"/>
      </right>
      <top style="thin">
        <color indexed="23"/>
      </top>
      <bottom style="hair">
        <color theme="0" tint="-0.24994659260841701"/>
      </bottom>
      <diagonal/>
    </border>
    <border>
      <left style="hair">
        <color theme="0" tint="-0.24994659260841701"/>
      </left>
      <right/>
      <top style="hair">
        <color theme="0" tint="-0.24994659260841701"/>
      </top>
      <bottom style="hair">
        <color theme="0" tint="-0.24994659260841701"/>
      </bottom>
      <diagonal/>
    </border>
    <border>
      <left/>
      <right style="hair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/>
      <right style="hair">
        <color theme="0" tint="-0.24994659260841701"/>
      </right>
      <top style="hair">
        <color theme="0" tint="-0.24994659260841701"/>
      </top>
      <bottom style="thin">
        <color indexed="23"/>
      </bottom>
      <diagonal/>
    </border>
    <border>
      <left style="thin">
        <color indexed="55"/>
      </left>
      <right/>
      <top/>
      <bottom style="hair">
        <color indexed="55"/>
      </bottom>
      <diagonal/>
    </border>
    <border>
      <left/>
      <right/>
      <top style="hair">
        <color theme="0" tint="-0.24994659260841701"/>
      </top>
      <bottom style="hair">
        <color theme="0" tint="-0.24994659260841701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hair">
        <color theme="0" tint="-0.24994659260841701"/>
      </left>
      <right style="thin">
        <color indexed="23"/>
      </right>
      <top style="hair">
        <color theme="0" tint="-0.24994659260841701"/>
      </top>
      <bottom/>
      <diagonal/>
    </border>
    <border>
      <left style="hair">
        <color theme="0" tint="-0.24994659260841701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hair">
        <color theme="0" tint="-0.24994659260841701"/>
      </bottom>
      <diagonal/>
    </border>
    <border>
      <left/>
      <right/>
      <top style="thin">
        <color indexed="23"/>
      </top>
      <bottom style="hair">
        <color theme="0" tint="-0.24994659260841701"/>
      </bottom>
      <diagonal/>
    </border>
    <border>
      <left style="thin">
        <color indexed="23"/>
      </left>
      <right/>
      <top style="hair">
        <color theme="0" tint="-0.24994659260841701"/>
      </top>
      <bottom style="hair">
        <color theme="0" tint="-0.24994659260841701"/>
      </bottom>
      <diagonal/>
    </border>
    <border>
      <left style="thin">
        <color indexed="23"/>
      </left>
      <right/>
      <top style="hair">
        <color theme="0" tint="-0.24994659260841701"/>
      </top>
      <bottom style="thin">
        <color indexed="23"/>
      </bottom>
      <diagonal/>
    </border>
    <border>
      <left/>
      <right/>
      <top style="hair">
        <color theme="0" tint="-0.24994659260841701"/>
      </top>
      <bottom style="thin">
        <color indexed="23"/>
      </bottom>
      <diagonal/>
    </border>
    <border>
      <left/>
      <right style="thin">
        <color indexed="23"/>
      </right>
      <top style="hair">
        <color theme="0" tint="-0.24994659260841701"/>
      </top>
      <bottom style="hair">
        <color theme="0" tint="-0.24994659260841701"/>
      </bottom>
      <diagonal/>
    </border>
    <border>
      <left style="thin">
        <color theme="0" tint="-0.499984740745262"/>
      </left>
      <right style="hair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 style="thin">
        <color theme="0" tint="-0.499984740745262"/>
      </left>
      <right style="hair">
        <color theme="0" tint="-0.24994659260841701"/>
      </right>
      <top style="hair">
        <color theme="0" tint="-0.24994659260841701"/>
      </top>
      <bottom style="thin">
        <color theme="0" tint="-0.499984740745262"/>
      </bottom>
      <diagonal/>
    </border>
    <border>
      <left style="hair">
        <color theme="0" tint="-0.24994659260841701"/>
      </left>
      <right/>
      <top style="hair">
        <color theme="0" tint="-0.24994659260841701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hair">
        <color theme="0" tint="-0.24994659260841701"/>
      </top>
      <bottom style="hair">
        <color theme="0" tint="-0.24994659260841701"/>
      </bottom>
      <diagonal/>
    </border>
    <border>
      <left/>
      <right/>
      <top/>
      <bottom style="hair">
        <color theme="1" tint="0.4999847407452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hair">
        <color theme="0" tint="-0.24994659260841701"/>
      </left>
      <right style="hair">
        <color theme="0" tint="-0.24994659260841701"/>
      </right>
      <top style="thin">
        <color theme="1" tint="0.499984740745262"/>
      </top>
      <bottom style="hair">
        <color theme="0" tint="-0.24994659260841701"/>
      </bottom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0.24994659260841701"/>
      </top>
      <bottom style="thin">
        <color theme="1" tint="0.499984740745262"/>
      </bottom>
      <diagonal/>
    </border>
    <border>
      <left/>
      <right style="thin">
        <color indexed="23"/>
      </right>
      <top style="thin">
        <color indexed="23"/>
      </top>
      <bottom style="hair">
        <color theme="0" tint="-0.24994659260841701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hair">
        <color indexed="22"/>
      </left>
      <right/>
      <top style="thin">
        <color indexed="55"/>
      </top>
      <bottom style="thin">
        <color indexed="55"/>
      </bottom>
      <diagonal/>
    </border>
    <border>
      <left style="thin">
        <color indexed="55"/>
      </left>
      <right style="hair">
        <color indexed="22"/>
      </right>
      <top style="thin">
        <color indexed="55"/>
      </top>
      <bottom style="hair">
        <color theme="0" tint="-0.24994659260841701"/>
      </bottom>
      <diagonal/>
    </border>
    <border>
      <left style="hair">
        <color indexed="22"/>
      </left>
      <right style="hair">
        <color indexed="22"/>
      </right>
      <top style="thin">
        <color indexed="55"/>
      </top>
      <bottom style="hair">
        <color theme="0" tint="-0.24994659260841701"/>
      </bottom>
      <diagonal/>
    </border>
    <border>
      <left style="thin">
        <color indexed="55"/>
      </left>
      <right style="hair">
        <color indexed="22"/>
      </right>
      <top style="hair">
        <color theme="0" tint="-0.24994659260841701"/>
      </top>
      <bottom style="hair">
        <color indexed="22"/>
      </bottom>
      <diagonal/>
    </border>
    <border>
      <left style="hair">
        <color indexed="22"/>
      </left>
      <right style="hair">
        <color indexed="22"/>
      </right>
      <top style="hair">
        <color theme="0" tint="-0.24994659260841701"/>
      </top>
      <bottom style="hair">
        <color indexed="22"/>
      </bottom>
      <diagonal/>
    </border>
    <border>
      <left style="hair">
        <color indexed="22"/>
      </left>
      <right style="thin">
        <color theme="1" tint="0.499984740745262"/>
      </right>
      <top style="thin">
        <color indexed="55"/>
      </top>
      <bottom style="hair">
        <color theme="0" tint="-0.24994659260841701"/>
      </bottom>
      <diagonal/>
    </border>
    <border>
      <left style="hair">
        <color indexed="22"/>
      </left>
      <right style="thin">
        <color theme="1" tint="0.499984740745262"/>
      </right>
      <top style="hair">
        <color theme="0" tint="-0.24994659260841701"/>
      </top>
      <bottom style="hair">
        <color indexed="22"/>
      </bottom>
      <diagonal/>
    </border>
    <border>
      <left style="hair">
        <color indexed="22"/>
      </left>
      <right style="thin">
        <color theme="1" tint="0.499984740745262"/>
      </right>
      <top style="hair">
        <color indexed="22"/>
      </top>
      <bottom style="hair">
        <color indexed="22"/>
      </bottom>
      <diagonal/>
    </border>
    <border>
      <left style="hair">
        <color indexed="22"/>
      </left>
      <right style="thin">
        <color theme="1" tint="0.499984740745262"/>
      </right>
      <top style="hair">
        <color indexed="22"/>
      </top>
      <bottom style="thin">
        <color indexed="55"/>
      </bottom>
      <diagonal/>
    </border>
    <border>
      <left style="thin">
        <color indexed="55"/>
      </left>
      <right/>
      <top style="hair">
        <color indexed="55"/>
      </top>
      <bottom style="hair">
        <color theme="0" tint="-0.24994659260841701"/>
      </bottom>
      <diagonal/>
    </border>
    <border>
      <left style="thin">
        <color indexed="55"/>
      </left>
      <right/>
      <top style="hair">
        <color theme="0" tint="-0.24994659260841701"/>
      </top>
      <bottom style="hair">
        <color indexed="55"/>
      </bottom>
      <diagonal/>
    </border>
    <border>
      <left/>
      <right style="hair">
        <color indexed="55"/>
      </right>
      <top style="hair">
        <color indexed="55"/>
      </top>
      <bottom/>
      <diagonal/>
    </border>
    <border>
      <left style="hair">
        <color theme="0" tint="-0.24994659260841701"/>
      </left>
      <right style="thin">
        <color theme="1" tint="0.499984740745262"/>
      </right>
      <top style="thin">
        <color theme="1" tint="0.499984740745262"/>
      </top>
      <bottom style="hair">
        <color theme="0" tint="-0.24994659260841701"/>
      </bottom>
      <diagonal/>
    </border>
    <border>
      <left style="hair">
        <color theme="0" tint="-0.24994659260841701"/>
      </left>
      <right style="thin">
        <color theme="1" tint="0.499984740745262"/>
      </right>
      <top style="hair">
        <color theme="0" tint="-0.24994659260841701"/>
      </top>
      <bottom style="thin">
        <color theme="1" tint="0.499984740745262"/>
      </bottom>
      <diagonal/>
    </border>
    <border>
      <left style="thin">
        <color theme="1" tint="0.499984740745262"/>
      </left>
      <right style="hair">
        <color theme="0" tint="-0.24994659260841701"/>
      </right>
      <top style="thin">
        <color theme="1" tint="0.499984740745262"/>
      </top>
      <bottom style="hair">
        <color theme="0" tint="-0.24994659260841701"/>
      </bottom>
      <diagonal/>
    </border>
    <border>
      <left style="hair">
        <color theme="0" tint="-0.24994659260841701"/>
      </left>
      <right/>
      <top style="thin">
        <color theme="1" tint="0.499984740745262"/>
      </top>
      <bottom style="hair">
        <color theme="0" tint="-0.24994659260841701"/>
      </bottom>
      <diagonal/>
    </border>
    <border>
      <left style="thin">
        <color theme="1" tint="0.499984740745262"/>
      </left>
      <right style="hair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 style="hair">
        <color theme="0" tint="-0.24994659260841701"/>
      </left>
      <right style="thin">
        <color theme="1" tint="0.499984740745262"/>
      </right>
      <top style="hair">
        <color theme="0" tint="-0.24994659260841701"/>
      </top>
      <bottom style="hair">
        <color theme="0" tint="-0.24994659260841701"/>
      </bottom>
      <diagonal/>
    </border>
    <border>
      <left style="thin">
        <color theme="1" tint="0.499984740745262"/>
      </left>
      <right style="hair">
        <color theme="0" tint="-0.24994659260841701"/>
      </right>
      <top style="hair">
        <color theme="0" tint="-0.24994659260841701"/>
      </top>
      <bottom style="thin">
        <color theme="1" tint="0.499984740745262"/>
      </bottom>
      <diagonal/>
    </border>
    <border>
      <left style="hair">
        <color theme="0" tint="-0.24994659260841701"/>
      </left>
      <right/>
      <top style="hair">
        <color theme="0" tint="-0.24994659260841701"/>
      </top>
      <bottom style="thin">
        <color theme="1" tint="0.499984740745262"/>
      </bottom>
      <diagonal/>
    </border>
    <border>
      <left style="thin">
        <color indexed="55"/>
      </left>
      <right style="hair">
        <color theme="0" tint="-0.24994659260841701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hair">
        <color theme="0" tint="-0.24994659260841701"/>
      </top>
      <bottom style="thin">
        <color theme="1" tint="0.499984740745262"/>
      </bottom>
      <diagonal/>
    </border>
    <border>
      <left/>
      <right style="thin">
        <color indexed="55"/>
      </right>
      <top style="thin">
        <color indexed="55"/>
      </top>
      <bottom/>
      <diagonal/>
    </border>
    <border>
      <left style="thin">
        <color indexed="23"/>
      </left>
      <right style="thin">
        <color indexed="23"/>
      </right>
      <top style="hair">
        <color indexed="23"/>
      </top>
      <bottom style="thick">
        <color indexed="23"/>
      </bottom>
      <diagonal/>
    </border>
    <border>
      <left style="thin">
        <color indexed="55"/>
      </left>
      <right/>
      <top style="thin">
        <color theme="1" tint="0.499984740745262"/>
      </top>
      <bottom/>
      <diagonal/>
    </border>
    <border>
      <left/>
      <right/>
      <top style="thin">
        <color theme="1" tint="0.499984740745262"/>
      </top>
      <bottom/>
      <diagonal/>
    </border>
    <border>
      <left/>
      <right style="thin">
        <color indexed="55"/>
      </right>
      <top style="thin">
        <color theme="1" tint="0.499984740745262"/>
      </top>
      <bottom/>
      <diagonal/>
    </border>
    <border>
      <left style="thin">
        <color indexed="55"/>
      </left>
      <right/>
      <top/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thin">
        <color indexed="55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hair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hair">
        <color theme="1" tint="0.499984740745262"/>
      </top>
      <bottom style="thin">
        <color theme="1" tint="0.499984740745262"/>
      </bottom>
      <diagonal/>
    </border>
    <border>
      <left/>
      <right/>
      <top style="hair">
        <color theme="0" tint="-0.24994659260841701"/>
      </top>
      <bottom/>
      <diagonal/>
    </border>
    <border>
      <left/>
      <right/>
      <top style="thin">
        <color theme="1" tint="0.499984740745262"/>
      </top>
      <bottom style="hair">
        <color theme="0" tint="-0.24994659260841701"/>
      </bottom>
      <diagonal/>
    </border>
    <border>
      <left/>
      <right/>
      <top style="hair">
        <color theme="0" tint="-0.24994659260841701"/>
      </top>
      <bottom style="thin">
        <color theme="1" tint="0.499984740745262"/>
      </bottom>
      <diagonal/>
    </border>
    <border>
      <left style="thin">
        <color indexed="23"/>
      </left>
      <right/>
      <top style="thin">
        <color indexed="23"/>
      </top>
      <bottom style="thin">
        <color theme="1" tint="0.4999847407452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theme="1" tint="0.499984740745262"/>
      </bottom>
      <diagonal/>
    </border>
    <border>
      <left style="hair">
        <color theme="0" tint="-0.24994659260841701"/>
      </left>
      <right/>
      <top/>
      <bottom style="hair">
        <color theme="0" tint="-0.24994659260841701"/>
      </bottom>
      <diagonal/>
    </border>
    <border>
      <left/>
      <right style="hair">
        <color theme="0" tint="-0.24994659260841701"/>
      </right>
      <top style="thin">
        <color theme="1" tint="0.499984740745262"/>
      </top>
      <bottom style="hair">
        <color theme="0" tint="-0.24994659260841701"/>
      </bottom>
      <diagonal/>
    </border>
    <border>
      <left/>
      <right style="thin">
        <color theme="0" tint="-0.499984740745262"/>
      </right>
      <top style="hair">
        <color theme="0" tint="-0.24994659260841701"/>
      </top>
      <bottom/>
      <diagonal/>
    </border>
    <border>
      <left/>
      <right/>
      <top style="hair">
        <color theme="0" tint="-0.24994659260841701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 style="thin">
        <color theme="1" tint="0.499984740745262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theme="0" tint="-0.24994659260841701"/>
      </right>
      <top style="hair">
        <color theme="0" tint="-0.24994659260841701"/>
      </top>
      <bottom style="thin">
        <color theme="1" tint="0.499984740745262"/>
      </bottom>
      <diagonal/>
    </border>
    <border>
      <left style="dotted">
        <color theme="1" tint="0.499984740745262"/>
      </left>
      <right style="dotted">
        <color theme="1" tint="0.499984740745262"/>
      </right>
      <top style="thin">
        <color theme="1" tint="0.499984740745262"/>
      </top>
      <bottom style="hair">
        <color theme="0" tint="-0.24994659260841701"/>
      </bottom>
      <diagonal/>
    </border>
    <border>
      <left style="dotted">
        <color theme="1" tint="0.499984740745262"/>
      </left>
      <right style="dotted">
        <color theme="1" tint="0.499984740745262"/>
      </right>
      <top style="hair">
        <color theme="0" tint="-0.24994659260841701"/>
      </top>
      <bottom style="hair">
        <color theme="0" tint="-0.24994659260841701"/>
      </bottom>
      <diagonal/>
    </border>
    <border>
      <left style="dotted">
        <color theme="1" tint="0.499984740745262"/>
      </left>
      <right style="dotted">
        <color theme="1" tint="0.499984740745262"/>
      </right>
      <top style="hair">
        <color theme="0" tint="-0.24994659260841701"/>
      </top>
      <bottom style="thin">
        <color theme="1" tint="0.499984740745262"/>
      </bottom>
      <diagonal/>
    </border>
    <border>
      <left style="dotted">
        <color theme="1" tint="0.499984740745262"/>
      </left>
      <right style="dotted">
        <color theme="1" tint="0.499984740745262"/>
      </right>
      <top style="hair">
        <color theme="0" tint="-0.24994659260841701"/>
      </top>
      <bottom style="thin">
        <color indexed="2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theme="0" tint="-0.34998626667073579"/>
      </bottom>
      <diagonal/>
    </border>
    <border>
      <left style="thin">
        <color indexed="64"/>
      </left>
      <right/>
      <top style="thin">
        <color indexed="64"/>
      </top>
      <bottom style="hair">
        <color theme="0" tint="-0.34998626667073579"/>
      </bottom>
      <diagonal/>
    </border>
    <border>
      <left/>
      <right style="thin">
        <color indexed="64"/>
      </right>
      <top style="hair">
        <color theme="0" tint="-0.34998626667073579"/>
      </top>
      <bottom style="hair">
        <color theme="0" tint="-0.34998626667073579"/>
      </bottom>
      <diagonal/>
    </border>
    <border>
      <left style="thin">
        <color indexed="64"/>
      </left>
      <right style="thin">
        <color indexed="64"/>
      </right>
      <top style="hair">
        <color theme="0" tint="-0.34998626667073579"/>
      </top>
      <bottom style="hair">
        <color theme="0" tint="-0.34998626667073579"/>
      </bottom>
      <diagonal/>
    </border>
    <border>
      <left style="thin">
        <color indexed="64"/>
      </left>
      <right/>
      <top style="hair">
        <color theme="0" tint="-0.34998626667073579"/>
      </top>
      <bottom style="hair">
        <color theme="0" tint="-0.34998626667073579"/>
      </bottom>
      <diagonal/>
    </border>
    <border>
      <left/>
      <right style="thin">
        <color indexed="64"/>
      </right>
      <top style="hair">
        <color theme="0" tint="-0.34998626667073579"/>
      </top>
      <bottom/>
      <diagonal/>
    </border>
    <border>
      <left style="thin">
        <color indexed="64"/>
      </left>
      <right style="thin">
        <color indexed="64"/>
      </right>
      <top style="hair">
        <color theme="0" tint="-0.34998626667073579"/>
      </top>
      <bottom/>
      <diagonal/>
    </border>
    <border>
      <left style="thin">
        <color indexed="64"/>
      </left>
      <right/>
      <top style="hair">
        <color theme="0" tint="-0.34998626667073579"/>
      </top>
      <bottom/>
      <diagonal/>
    </border>
    <border>
      <left style="thin">
        <color indexed="55"/>
      </left>
      <right/>
      <top style="thin">
        <color indexed="55"/>
      </top>
      <bottom style="hair">
        <color indexed="55"/>
      </bottom>
      <diagonal/>
    </border>
    <border>
      <left/>
      <right style="thin">
        <color indexed="55"/>
      </right>
      <top style="thin">
        <color indexed="55"/>
      </top>
      <bottom style="hair">
        <color indexed="55"/>
      </bottom>
      <diagonal/>
    </border>
    <border>
      <left/>
      <right style="thin">
        <color indexed="64"/>
      </right>
      <top/>
      <bottom/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hair">
        <color rgb="FFC0C0C0"/>
      </right>
      <top style="thin">
        <color indexed="55"/>
      </top>
      <bottom style="hair">
        <color rgb="FFC0C0C0"/>
      </bottom>
      <diagonal/>
    </border>
    <border>
      <left style="hair">
        <color rgb="FFC0C0C0"/>
      </left>
      <right style="hair">
        <color rgb="FFC0C0C0"/>
      </right>
      <top style="thin">
        <color indexed="55"/>
      </top>
      <bottom style="hair">
        <color rgb="FFC0C0C0"/>
      </bottom>
      <diagonal/>
    </border>
    <border>
      <left style="thin">
        <color indexed="55"/>
      </left>
      <right style="hair">
        <color rgb="FFC0C0C0"/>
      </right>
      <top style="hair">
        <color rgb="FFC0C0C0"/>
      </top>
      <bottom style="hair">
        <color rgb="FFC0C0C0"/>
      </bottom>
      <diagonal/>
    </border>
    <border>
      <left style="hair">
        <color rgb="FFC0C0C0"/>
      </left>
      <right style="hair">
        <color rgb="FFC0C0C0"/>
      </right>
      <top style="hair">
        <color rgb="FFC0C0C0"/>
      </top>
      <bottom style="hair">
        <color rgb="FFC0C0C0"/>
      </bottom>
      <diagonal/>
    </border>
    <border>
      <left style="hair">
        <color rgb="FFC0C0C0"/>
      </left>
      <right style="hair">
        <color rgb="FFC0C0C0"/>
      </right>
      <top style="thin">
        <color indexed="55"/>
      </top>
      <bottom style="thin">
        <color indexed="55"/>
      </bottom>
      <diagonal/>
    </border>
    <border>
      <left style="hair">
        <color rgb="FFC0C0C0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hair">
        <color indexed="22"/>
      </bottom>
      <diagonal/>
    </border>
    <border>
      <left style="thin">
        <color indexed="55"/>
      </left>
      <right style="hair">
        <color rgb="FFC0C0C0"/>
      </right>
      <top style="thin">
        <color indexed="55"/>
      </top>
      <bottom style="thin">
        <color indexed="55"/>
      </bottom>
      <diagonal/>
    </border>
    <border>
      <left style="hair">
        <color rgb="FFC0C0C0"/>
      </left>
      <right/>
      <top style="thin">
        <color indexed="55"/>
      </top>
      <bottom style="thin">
        <color indexed="55"/>
      </bottom>
      <diagonal/>
    </border>
    <border>
      <left style="hair">
        <color rgb="FFC0C0C0"/>
      </left>
      <right/>
      <top style="thin">
        <color indexed="55"/>
      </top>
      <bottom style="hair">
        <color indexed="22"/>
      </bottom>
      <diagonal/>
    </border>
    <border>
      <left style="hair">
        <color rgb="FFC0C0C0"/>
      </left>
      <right/>
      <top style="hair">
        <color indexed="22"/>
      </top>
      <bottom style="thin">
        <color indexed="55"/>
      </bottom>
      <diagonal/>
    </border>
    <border>
      <left style="hair">
        <color rgb="FFC0C0C0"/>
      </left>
      <right/>
      <top/>
      <bottom style="thin">
        <color indexed="55"/>
      </bottom>
      <diagonal/>
    </border>
    <border>
      <left style="thick">
        <color indexed="23"/>
      </left>
      <right style="thin">
        <color indexed="23"/>
      </right>
      <top/>
      <bottom/>
      <diagonal/>
    </border>
    <border>
      <left style="thin">
        <color indexed="23"/>
      </left>
      <right style="thick">
        <color indexed="23"/>
      </right>
      <top/>
      <bottom/>
      <diagonal/>
    </border>
    <border>
      <left/>
      <right/>
      <top style="thick">
        <color indexed="23"/>
      </top>
      <bottom style="thick">
        <color indexed="23"/>
      </bottom>
      <diagonal/>
    </border>
    <border>
      <left/>
      <right style="thin">
        <color indexed="23"/>
      </right>
      <top style="thick">
        <color indexed="23"/>
      </top>
      <bottom style="thick">
        <color indexed="23"/>
      </bottom>
      <diagonal/>
    </border>
    <border>
      <left style="thin">
        <color indexed="23"/>
      </left>
      <right/>
      <top style="thin">
        <color indexed="23"/>
      </top>
      <bottom/>
      <diagonal/>
    </border>
    <border>
      <left style="dotted">
        <color indexed="23"/>
      </left>
      <right/>
      <top style="thin">
        <color theme="1" tint="0.499984740745262"/>
      </top>
      <bottom style="hair">
        <color theme="0" tint="-0.24994659260841701"/>
      </bottom>
      <diagonal/>
    </border>
    <border>
      <left style="dotted">
        <color indexed="23"/>
      </left>
      <right/>
      <top style="hair">
        <color theme="0" tint="-0.24994659260841701"/>
      </top>
      <bottom style="hair">
        <color theme="0" tint="-0.24994659260841701"/>
      </bottom>
      <diagonal/>
    </border>
    <border>
      <left style="dotted">
        <color indexed="23"/>
      </left>
      <right/>
      <top style="hair">
        <color theme="0" tint="-0.24994659260841701"/>
      </top>
      <bottom style="thin">
        <color theme="1" tint="0.499984740745262"/>
      </bottom>
      <diagonal/>
    </border>
    <border>
      <left style="dotted">
        <color theme="1" tint="0.499984740745262"/>
      </left>
      <right style="hair">
        <color theme="0" tint="-0.24994659260841701"/>
      </right>
      <top style="thin">
        <color theme="1" tint="0.499984740745262"/>
      </top>
      <bottom style="hair">
        <color theme="0" tint="-0.24994659260841701"/>
      </bottom>
      <diagonal/>
    </border>
    <border>
      <left style="hair">
        <color theme="0" tint="-0.24994659260841701"/>
      </left>
      <right style="dotted">
        <color theme="0" tint="-0.499984740745262"/>
      </right>
      <top style="thin">
        <color theme="1" tint="0.499984740745262"/>
      </top>
      <bottom style="hair">
        <color theme="0" tint="-0.24994659260841701"/>
      </bottom>
      <diagonal/>
    </border>
    <border>
      <left style="dotted">
        <color theme="1" tint="0.499984740745262"/>
      </left>
      <right style="hair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 style="hair">
        <color theme="0" tint="-0.24994659260841701"/>
      </left>
      <right style="dotted">
        <color theme="0" tint="-0.499984740745262"/>
      </right>
      <top style="hair">
        <color theme="0" tint="-0.24994659260841701"/>
      </top>
      <bottom style="hair">
        <color theme="0" tint="-0.24994659260841701"/>
      </bottom>
      <diagonal/>
    </border>
    <border>
      <left style="dotted">
        <color theme="1" tint="0.499984740745262"/>
      </left>
      <right style="hair">
        <color theme="0" tint="-0.24994659260841701"/>
      </right>
      <top style="hair">
        <color theme="0" tint="-0.24994659260841701"/>
      </top>
      <bottom style="thin">
        <color indexed="23"/>
      </bottom>
      <diagonal/>
    </border>
    <border>
      <left style="hair">
        <color theme="0" tint="-0.24994659260841701"/>
      </left>
      <right style="dotted">
        <color theme="0" tint="-0.499984740745262"/>
      </right>
      <top style="hair">
        <color theme="0" tint="-0.24994659260841701"/>
      </top>
      <bottom style="thin">
        <color indexed="23"/>
      </bottom>
      <diagonal/>
    </border>
    <border>
      <left/>
      <right/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hair">
        <color theme="0" tint="-0.24994659260841701"/>
      </left>
      <right style="hair">
        <color theme="0" tint="-0.24994659260841701"/>
      </right>
      <top/>
      <bottom style="hair">
        <color theme="0" tint="-0.24994659260841701"/>
      </bottom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/>
      <diagonal/>
    </border>
    <border>
      <left/>
      <right style="thin">
        <color indexed="23"/>
      </right>
      <top/>
      <bottom/>
      <diagonal/>
    </border>
    <border>
      <left/>
      <right/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/>
      <bottom style="thin">
        <color theme="1" tint="0.499984740745262"/>
      </bottom>
      <diagonal/>
    </border>
    <border>
      <left/>
      <right style="thin">
        <color indexed="23"/>
      </right>
      <top/>
      <bottom style="thin">
        <color theme="1" tint="0.499984740745262"/>
      </bottom>
      <diagonal/>
    </border>
    <border>
      <left style="thin">
        <color indexed="23"/>
      </left>
      <right style="thin">
        <color indexed="23"/>
      </right>
      <top/>
      <bottom style="thin">
        <color theme="1" tint="0.499984740745262"/>
      </bottom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0.24994659260841701"/>
      </top>
      <bottom style="thin">
        <color theme="0" tint="-0.499984740745262"/>
      </bottom>
      <diagonal/>
    </border>
    <border>
      <left style="hair">
        <color theme="0" tint="-0.24994659260841701"/>
      </left>
      <right style="dotted">
        <color theme="1" tint="0.499984740745262"/>
      </right>
      <top style="thin">
        <color theme="1" tint="0.499984740745262"/>
      </top>
      <bottom style="hair">
        <color theme="0" tint="-0.24994659260841701"/>
      </bottom>
      <diagonal/>
    </border>
    <border>
      <left style="hair">
        <color theme="0" tint="-0.24994659260841701"/>
      </left>
      <right style="dotted">
        <color theme="1" tint="0.499984740745262"/>
      </right>
      <top style="hair">
        <color theme="0" tint="-0.24994659260841701"/>
      </top>
      <bottom style="hair">
        <color theme="0" tint="-0.24994659260841701"/>
      </bottom>
      <diagonal/>
    </border>
    <border>
      <left style="hair">
        <color theme="0" tint="-0.24994659260841701"/>
      </left>
      <right style="dotted">
        <color theme="1" tint="0.499984740745262"/>
      </right>
      <top style="hair">
        <color theme="0" tint="-0.24994659260841701"/>
      </top>
      <bottom style="thin">
        <color theme="0" tint="-0.499984740745262"/>
      </bottom>
      <diagonal/>
    </border>
    <border>
      <left style="dotted">
        <color theme="0" tint="-0.499984740745262"/>
      </left>
      <right style="hair">
        <color theme="0" tint="-0.24994659260841701"/>
      </right>
      <top style="thin">
        <color theme="1" tint="0.499984740745262"/>
      </top>
      <bottom style="hair">
        <color theme="0" tint="-0.24994659260841701"/>
      </bottom>
      <diagonal/>
    </border>
    <border>
      <left style="dotted">
        <color theme="0" tint="-0.499984740745262"/>
      </left>
      <right style="hair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 style="dotted">
        <color theme="0" tint="-0.499984740745262"/>
      </left>
      <right style="hair">
        <color theme="0" tint="-0.24994659260841701"/>
      </right>
      <top style="hair">
        <color theme="0" tint="-0.24994659260841701"/>
      </top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0" tint="-0.499984740745262"/>
      </left>
      <right style="hair">
        <color theme="0" tint="-0.14996795556505021"/>
      </right>
      <top style="thin">
        <color theme="0" tint="-0.499984740745262"/>
      </top>
      <bottom style="hair">
        <color theme="0" tint="-0.14996795556505021"/>
      </bottom>
      <diagonal/>
    </border>
    <border>
      <left style="hair">
        <color theme="0" tint="-0.14996795556505021"/>
      </left>
      <right style="hair">
        <color theme="0" tint="-0.14996795556505021"/>
      </right>
      <top style="thin">
        <color theme="0" tint="-0.499984740745262"/>
      </top>
      <bottom style="hair">
        <color theme="0" tint="-0.14996795556505021"/>
      </bottom>
      <diagonal/>
    </border>
    <border>
      <left style="hair">
        <color theme="0" tint="-0.14996795556505021"/>
      </left>
      <right style="thin">
        <color theme="0" tint="-0.499984740745262"/>
      </right>
      <top style="thin">
        <color theme="0" tint="-0.499984740745262"/>
      </top>
      <bottom style="hair">
        <color theme="0" tint="-0.14996795556505021"/>
      </bottom>
      <diagonal/>
    </border>
    <border>
      <left style="thin">
        <color theme="0" tint="-0.499984740745262"/>
      </left>
      <right style="hair">
        <color theme="0" tint="-0.14996795556505021"/>
      </right>
      <top style="hair">
        <color theme="0" tint="-0.14996795556505021"/>
      </top>
      <bottom style="hair">
        <color theme="0" tint="-0.14996795556505021"/>
      </bottom>
      <diagonal/>
    </border>
    <border>
      <left style="hair">
        <color theme="0" tint="-0.14996795556505021"/>
      </left>
      <right style="hair">
        <color theme="0" tint="-0.14996795556505021"/>
      </right>
      <top style="hair">
        <color theme="0" tint="-0.14996795556505021"/>
      </top>
      <bottom style="hair">
        <color theme="0" tint="-0.14996795556505021"/>
      </bottom>
      <diagonal/>
    </border>
    <border>
      <left style="hair">
        <color theme="0" tint="-0.14996795556505021"/>
      </left>
      <right style="thin">
        <color theme="0" tint="-0.499984740745262"/>
      </right>
      <top style="hair">
        <color theme="0" tint="-0.14996795556505021"/>
      </top>
      <bottom style="hair">
        <color theme="0" tint="-0.14996795556505021"/>
      </bottom>
      <diagonal/>
    </border>
    <border>
      <left style="thin">
        <color theme="0" tint="-0.499984740745262"/>
      </left>
      <right style="hair">
        <color theme="0" tint="-0.14996795556505021"/>
      </right>
      <top style="hair">
        <color theme="0" tint="-0.14996795556505021"/>
      </top>
      <bottom style="thin">
        <color theme="0" tint="-0.499984740745262"/>
      </bottom>
      <diagonal/>
    </border>
    <border>
      <left style="hair">
        <color theme="0" tint="-0.14996795556505021"/>
      </left>
      <right style="hair">
        <color theme="0" tint="-0.14996795556505021"/>
      </right>
      <top style="hair">
        <color theme="0" tint="-0.14996795556505021"/>
      </top>
      <bottom style="thin">
        <color theme="0" tint="-0.499984740745262"/>
      </bottom>
      <diagonal/>
    </border>
    <border>
      <left style="hair">
        <color theme="0" tint="-0.14996795556505021"/>
      </left>
      <right style="thin">
        <color theme="0" tint="-0.499984740745262"/>
      </right>
      <top style="hair">
        <color theme="0" tint="-0.14996795556505021"/>
      </top>
      <bottom style="thin">
        <color theme="0" tint="-0.499984740745262"/>
      </bottom>
      <diagonal/>
    </border>
    <border>
      <left style="thin">
        <color theme="0" tint="-0.499984740745262"/>
      </left>
      <right style="hair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/>
      <top style="thin">
        <color theme="0" tint="-0.499984740745262"/>
      </top>
      <bottom style="hair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/>
      <top style="hair">
        <color theme="0" tint="-0.499984740745262"/>
      </top>
      <bottom style="hair">
        <color theme="0" tint="-0.499984740745262"/>
      </bottom>
      <diagonal/>
    </border>
    <border>
      <left/>
      <right style="thin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/>
      <top style="hair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hair">
        <color theme="0" tint="-0.499984740745262"/>
      </top>
      <bottom style="thin">
        <color theme="0" tint="-0.499984740745262"/>
      </bottom>
      <diagonal/>
    </border>
    <border>
      <left style="dotted">
        <color theme="0" tint="-0.499984740745262"/>
      </left>
      <right style="dotted">
        <color theme="1" tint="0.499984740745262"/>
      </right>
      <top style="thin">
        <color theme="1" tint="0.499984740745262"/>
      </top>
      <bottom style="hair">
        <color theme="0" tint="-0.24994659260841701"/>
      </bottom>
      <diagonal/>
    </border>
    <border>
      <left style="dotted">
        <color theme="0" tint="-0.499984740745262"/>
      </left>
      <right style="dotted">
        <color theme="1" tint="0.499984740745262"/>
      </right>
      <top style="hair">
        <color theme="0" tint="-0.24994659260841701"/>
      </top>
      <bottom style="hair">
        <color theme="0" tint="-0.24994659260841701"/>
      </bottom>
      <diagonal/>
    </border>
    <border>
      <left style="dotted">
        <color theme="0" tint="-0.499984740745262"/>
      </left>
      <right style="dotted">
        <color theme="1" tint="0.499984740745262"/>
      </right>
      <top style="hair">
        <color theme="0" tint="-0.24994659260841701"/>
      </top>
      <bottom style="thin">
        <color theme="1" tint="0.499984740745262"/>
      </bottom>
      <diagonal/>
    </border>
    <border>
      <left style="dotted">
        <color indexed="23"/>
      </left>
      <right/>
      <top/>
      <bottom style="thin">
        <color theme="1" tint="0.499984740745262"/>
      </bottom>
      <diagonal/>
    </border>
    <border>
      <left style="dotted">
        <color indexed="23"/>
      </left>
      <right/>
      <top style="thin">
        <color indexed="23"/>
      </top>
      <bottom/>
      <diagonal/>
    </border>
    <border>
      <left style="dotted">
        <color indexed="23"/>
      </left>
      <right/>
      <top/>
      <bottom/>
      <diagonal/>
    </border>
    <border>
      <left style="hair">
        <color theme="0" tint="-0.24994659260841701"/>
      </left>
      <right/>
      <top style="thin">
        <color indexed="23"/>
      </top>
      <bottom/>
      <diagonal/>
    </border>
    <border>
      <left/>
      <right style="hair">
        <color theme="0" tint="-0.24994659260841701"/>
      </right>
      <top style="thin">
        <color indexed="23"/>
      </top>
      <bottom/>
      <diagonal/>
    </border>
    <border>
      <left style="hair">
        <color theme="0" tint="-0.24994659260841701"/>
      </left>
      <right/>
      <top/>
      <bottom/>
      <diagonal/>
    </border>
    <border>
      <left/>
      <right style="hair">
        <color theme="0" tint="-0.24994659260841701"/>
      </right>
      <top/>
      <bottom/>
      <diagonal/>
    </border>
  </borders>
  <cellStyleXfs count="3">
    <xf numFmtId="0" fontId="0" fillId="0" borderId="0"/>
    <xf numFmtId="164" fontId="14" fillId="0" borderId="0" applyFont="0" applyFill="0" applyBorder="0" applyAlignment="0" applyProtection="0"/>
    <xf numFmtId="9" fontId="14" fillId="0" borderId="0" applyFont="0" applyFill="0" applyBorder="0" applyAlignment="0" applyProtection="0"/>
  </cellStyleXfs>
  <cellXfs count="741">
    <xf numFmtId="0" fontId="0" fillId="0" borderId="0" xfId="0"/>
    <xf numFmtId="0" fontId="1" fillId="0" borderId="0" xfId="0" applyFont="1" applyAlignment="1" applyProtection="1">
      <alignment vertical="center"/>
      <protection hidden="1"/>
    </xf>
    <xf numFmtId="0" fontId="1" fillId="2" borderId="11" xfId="0" applyFont="1" applyFill="1" applyBorder="1" applyAlignment="1" applyProtection="1">
      <alignment vertical="center"/>
      <protection hidden="1"/>
    </xf>
    <xf numFmtId="0" fontId="1" fillId="2" borderId="12" xfId="0" applyFont="1" applyFill="1" applyBorder="1" applyAlignment="1" applyProtection="1">
      <alignment vertical="center"/>
      <protection hidden="1"/>
    </xf>
    <xf numFmtId="0" fontId="1" fillId="2" borderId="13" xfId="0" applyFont="1" applyFill="1" applyBorder="1" applyAlignment="1" applyProtection="1">
      <alignment horizontal="center" vertical="center"/>
      <protection hidden="1"/>
    </xf>
    <xf numFmtId="0" fontId="1" fillId="2" borderId="14" xfId="0" applyFont="1" applyFill="1" applyBorder="1" applyAlignment="1" applyProtection="1">
      <alignment horizontal="center" vertical="center"/>
      <protection hidden="1"/>
    </xf>
    <xf numFmtId="0" fontId="1" fillId="2" borderId="15" xfId="0" applyFont="1" applyFill="1" applyBorder="1" applyAlignment="1" applyProtection="1">
      <alignment horizontal="center" vertical="center"/>
      <protection hidden="1"/>
    </xf>
    <xf numFmtId="167" fontId="4" fillId="2" borderId="16" xfId="0" applyNumberFormat="1" applyFont="1" applyFill="1" applyBorder="1" applyAlignment="1" applyProtection="1">
      <alignment horizontal="center" vertical="center"/>
      <protection hidden="1"/>
    </xf>
    <xf numFmtId="0" fontId="2" fillId="2" borderId="17" xfId="0" applyFont="1" applyFill="1" applyBorder="1" applyAlignment="1" applyProtection="1">
      <alignment horizontal="center" vertical="center"/>
      <protection hidden="1"/>
    </xf>
    <xf numFmtId="0" fontId="2" fillId="2" borderId="18" xfId="0" applyFont="1" applyFill="1" applyBorder="1" applyAlignment="1" applyProtection="1">
      <alignment horizontal="center" vertical="center"/>
      <protection hidden="1"/>
    </xf>
    <xf numFmtId="0" fontId="2" fillId="2" borderId="19" xfId="0" applyFont="1" applyFill="1" applyBorder="1" applyAlignment="1" applyProtection="1">
      <alignment horizontal="center" vertical="center"/>
      <protection hidden="1"/>
    </xf>
    <xf numFmtId="14" fontId="1" fillId="2" borderId="0" xfId="0" applyNumberFormat="1" applyFont="1" applyFill="1" applyAlignment="1" applyProtection="1">
      <alignment horizontal="center" vertical="center"/>
      <protection hidden="1"/>
    </xf>
    <xf numFmtId="166" fontId="1" fillId="2" borderId="3" xfId="0" applyNumberFormat="1" applyFont="1" applyFill="1" applyBorder="1" applyAlignment="1" applyProtection="1">
      <alignment horizontal="center" vertical="center"/>
      <protection hidden="1"/>
    </xf>
    <xf numFmtId="166" fontId="1" fillId="2" borderId="6" xfId="0" applyNumberFormat="1" applyFont="1" applyFill="1" applyBorder="1" applyAlignment="1" applyProtection="1">
      <alignment horizontal="center" vertical="center"/>
      <protection hidden="1"/>
    </xf>
    <xf numFmtId="166" fontId="1" fillId="2" borderId="9" xfId="0" applyNumberFormat="1" applyFont="1" applyFill="1" applyBorder="1" applyAlignment="1" applyProtection="1">
      <alignment horizontal="center" vertical="center"/>
      <protection hidden="1"/>
    </xf>
    <xf numFmtId="168" fontId="2" fillId="0" borderId="0" xfId="0" applyNumberFormat="1" applyFont="1" applyAlignment="1" applyProtection="1">
      <alignment horizontal="center" vertical="center"/>
      <protection hidden="1"/>
    </xf>
    <xf numFmtId="0" fontId="2" fillId="2" borderId="11" xfId="0" applyFont="1" applyFill="1" applyBorder="1" applyAlignment="1" applyProtection="1">
      <alignment horizontal="left" vertical="center"/>
      <protection hidden="1"/>
    </xf>
    <xf numFmtId="0" fontId="1" fillId="2" borderId="36" xfId="0" applyFont="1" applyFill="1" applyBorder="1" applyAlignment="1" applyProtection="1">
      <alignment vertical="center"/>
      <protection hidden="1"/>
    </xf>
    <xf numFmtId="0" fontId="1" fillId="2" borderId="38" xfId="0" applyFont="1" applyFill="1" applyBorder="1" applyAlignment="1" applyProtection="1">
      <alignment vertical="center"/>
      <protection hidden="1"/>
    </xf>
    <xf numFmtId="0" fontId="1" fillId="0" borderId="0" xfId="0" applyFont="1" applyProtection="1">
      <protection hidden="1"/>
    </xf>
    <xf numFmtId="0" fontId="2" fillId="0" borderId="0" xfId="0" applyFont="1" applyProtection="1">
      <protection hidden="1"/>
    </xf>
    <xf numFmtId="170" fontId="2" fillId="2" borderId="32" xfId="0" applyNumberFormat="1" applyFont="1" applyFill="1" applyBorder="1" applyAlignment="1" applyProtection="1">
      <alignment horizontal="left" vertical="center"/>
      <protection hidden="1"/>
    </xf>
    <xf numFmtId="0" fontId="2" fillId="2" borderId="19" xfId="0" applyFont="1" applyFill="1" applyBorder="1" applyAlignment="1" applyProtection="1">
      <alignment horizontal="left" vertical="center"/>
      <protection hidden="1"/>
    </xf>
    <xf numFmtId="0" fontId="2" fillId="2" borderId="19" xfId="0" applyFont="1" applyFill="1" applyBorder="1" applyAlignment="1" applyProtection="1">
      <alignment horizontal="center"/>
      <protection hidden="1"/>
    </xf>
    <xf numFmtId="0" fontId="2" fillId="2" borderId="20" xfId="0" applyFont="1" applyFill="1" applyBorder="1" applyProtection="1">
      <protection hidden="1"/>
    </xf>
    <xf numFmtId="170" fontId="1" fillId="2" borderId="42" xfId="0" applyNumberFormat="1" applyFont="1" applyFill="1" applyBorder="1" applyAlignment="1" applyProtection="1">
      <alignment horizontal="right" vertical="center"/>
      <protection hidden="1"/>
    </xf>
    <xf numFmtId="0" fontId="1" fillId="2" borderId="43" xfId="0" applyFont="1" applyFill="1" applyBorder="1" applyAlignment="1" applyProtection="1">
      <alignment vertical="center"/>
      <protection hidden="1"/>
    </xf>
    <xf numFmtId="169" fontId="1" fillId="2" borderId="43" xfId="0" applyNumberFormat="1" applyFont="1" applyFill="1" applyBorder="1" applyAlignment="1" applyProtection="1">
      <alignment horizontal="center" vertical="center"/>
      <protection hidden="1"/>
    </xf>
    <xf numFmtId="0" fontId="1" fillId="2" borderId="44" xfId="0" applyFont="1" applyFill="1" applyBorder="1" applyAlignment="1" applyProtection="1">
      <alignment vertical="center"/>
      <protection hidden="1"/>
    </xf>
    <xf numFmtId="0" fontId="1" fillId="2" borderId="46" xfId="0" applyFont="1" applyFill="1" applyBorder="1" applyAlignment="1" applyProtection="1">
      <alignment vertical="center"/>
      <protection hidden="1"/>
    </xf>
    <xf numFmtId="169" fontId="1" fillId="2" borderId="47" xfId="0" applyNumberFormat="1" applyFont="1" applyFill="1" applyBorder="1" applyAlignment="1" applyProtection="1">
      <alignment horizontal="center" vertical="center"/>
      <protection hidden="1"/>
    </xf>
    <xf numFmtId="0" fontId="5" fillId="2" borderId="48" xfId="0" applyFont="1" applyFill="1" applyBorder="1" applyProtection="1">
      <protection hidden="1"/>
    </xf>
    <xf numFmtId="0" fontId="1" fillId="2" borderId="48" xfId="0" applyFont="1" applyFill="1" applyBorder="1" applyAlignment="1" applyProtection="1">
      <alignment vertical="center"/>
      <protection hidden="1"/>
    </xf>
    <xf numFmtId="170" fontId="1" fillId="2" borderId="50" xfId="0" applyNumberFormat="1" applyFont="1" applyFill="1" applyBorder="1" applyAlignment="1" applyProtection="1">
      <alignment horizontal="right" vertical="center"/>
      <protection hidden="1"/>
    </xf>
    <xf numFmtId="0" fontId="1" fillId="2" borderId="47" xfId="0" applyFont="1" applyFill="1" applyBorder="1" applyAlignment="1" applyProtection="1">
      <alignment vertical="center"/>
      <protection hidden="1"/>
    </xf>
    <xf numFmtId="170" fontId="1" fillId="2" borderId="51" xfId="0" applyNumberFormat="1" applyFont="1" applyFill="1" applyBorder="1" applyAlignment="1" applyProtection="1">
      <alignment horizontal="right" vertical="center"/>
      <protection hidden="1"/>
    </xf>
    <xf numFmtId="0" fontId="1" fillId="2" borderId="52" xfId="0" applyFont="1" applyFill="1" applyBorder="1" applyAlignment="1" applyProtection="1">
      <alignment vertical="center"/>
      <protection hidden="1"/>
    </xf>
    <xf numFmtId="170" fontId="1" fillId="2" borderId="4" xfId="0" applyNumberFormat="1" applyFont="1" applyFill="1" applyBorder="1" applyAlignment="1" applyProtection="1">
      <alignment horizontal="right" vertical="center"/>
      <protection hidden="1"/>
    </xf>
    <xf numFmtId="169" fontId="1" fillId="2" borderId="46" xfId="0" applyNumberFormat="1" applyFont="1" applyFill="1" applyBorder="1" applyAlignment="1" applyProtection="1">
      <alignment horizontal="center" vertical="center"/>
      <protection hidden="1"/>
    </xf>
    <xf numFmtId="0" fontId="1" fillId="2" borderId="53" xfId="0" applyFont="1" applyFill="1" applyBorder="1" applyAlignment="1" applyProtection="1">
      <alignment vertical="center"/>
      <protection hidden="1"/>
    </xf>
    <xf numFmtId="170" fontId="1" fillId="2" borderId="54" xfId="0" applyNumberFormat="1" applyFont="1" applyFill="1" applyBorder="1" applyAlignment="1" applyProtection="1">
      <alignment horizontal="right" vertical="center"/>
      <protection hidden="1"/>
    </xf>
    <xf numFmtId="0" fontId="1" fillId="2" borderId="14" xfId="0" applyFont="1" applyFill="1" applyBorder="1" applyAlignment="1" applyProtection="1">
      <alignment vertical="center"/>
      <protection hidden="1"/>
    </xf>
    <xf numFmtId="0" fontId="1" fillId="2" borderId="5" xfId="0" applyFont="1" applyFill="1" applyBorder="1" applyAlignment="1" applyProtection="1">
      <alignment vertical="center"/>
      <protection hidden="1"/>
    </xf>
    <xf numFmtId="169" fontId="1" fillId="2" borderId="52" xfId="0" applyNumberFormat="1" applyFont="1" applyFill="1" applyBorder="1" applyAlignment="1" applyProtection="1">
      <alignment horizontal="center" vertical="center"/>
      <protection hidden="1"/>
    </xf>
    <xf numFmtId="0" fontId="1" fillId="2" borderId="56" xfId="0" applyFont="1" applyFill="1" applyBorder="1" applyAlignment="1" applyProtection="1">
      <alignment vertical="center"/>
      <protection hidden="1"/>
    </xf>
    <xf numFmtId="0" fontId="0" fillId="0" borderId="0" xfId="0" applyProtection="1">
      <protection hidden="1"/>
    </xf>
    <xf numFmtId="171" fontId="0" fillId="0" borderId="0" xfId="0" applyNumberFormat="1" applyProtection="1"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center"/>
      <protection hidden="1"/>
    </xf>
    <xf numFmtId="20" fontId="1" fillId="0" borderId="0" xfId="0" applyNumberFormat="1" applyFont="1" applyAlignment="1" applyProtection="1">
      <alignment horizontal="center"/>
      <protection hidden="1"/>
    </xf>
    <xf numFmtId="171" fontId="1" fillId="0" borderId="0" xfId="0" applyNumberFormat="1" applyFont="1" applyAlignment="1" applyProtection="1">
      <alignment horizontal="center"/>
      <protection hidden="1"/>
    </xf>
    <xf numFmtId="171" fontId="1" fillId="0" borderId="0" xfId="0" applyNumberFormat="1" applyFont="1" applyProtection="1">
      <protection hidden="1"/>
    </xf>
    <xf numFmtId="0" fontId="0" fillId="0" borderId="0" xfId="0" applyAlignment="1" applyProtection="1">
      <alignment vertical="center"/>
      <protection hidden="1"/>
    </xf>
    <xf numFmtId="0" fontId="10" fillId="2" borderId="74" xfId="0" applyFont="1" applyFill="1" applyBorder="1" applyAlignment="1" applyProtection="1">
      <alignment horizontal="center" vertical="center"/>
      <protection hidden="1"/>
    </xf>
    <xf numFmtId="0" fontId="10" fillId="2" borderId="75" xfId="0" applyFont="1" applyFill="1" applyBorder="1" applyAlignment="1" applyProtection="1">
      <alignment horizontal="center" vertical="center"/>
      <protection hidden="1"/>
    </xf>
    <xf numFmtId="0" fontId="10" fillId="2" borderId="76" xfId="0" applyFont="1" applyFill="1" applyBorder="1" applyAlignment="1" applyProtection="1">
      <alignment horizontal="center" vertical="center"/>
      <protection hidden="1"/>
    </xf>
    <xf numFmtId="0" fontId="10" fillId="2" borderId="77" xfId="0" applyFont="1" applyFill="1" applyBorder="1" applyAlignment="1" applyProtection="1">
      <alignment horizontal="center" vertical="center"/>
      <protection hidden="1"/>
    </xf>
    <xf numFmtId="0" fontId="10" fillId="2" borderId="78" xfId="0" applyFont="1" applyFill="1" applyBorder="1" applyAlignment="1" applyProtection="1">
      <alignment horizontal="center" vertical="center"/>
      <protection hidden="1"/>
    </xf>
    <xf numFmtId="0" fontId="10" fillId="2" borderId="79" xfId="0" applyFont="1" applyFill="1" applyBorder="1" applyAlignment="1" applyProtection="1">
      <alignment horizontal="center" vertical="center"/>
      <protection hidden="1"/>
    </xf>
    <xf numFmtId="0" fontId="10" fillId="2" borderId="80" xfId="0" applyFont="1" applyFill="1" applyBorder="1" applyAlignment="1" applyProtection="1">
      <alignment horizontal="center" vertical="center"/>
      <protection hidden="1"/>
    </xf>
    <xf numFmtId="0" fontId="10" fillId="2" borderId="81" xfId="0" applyFont="1" applyFill="1" applyBorder="1" applyAlignment="1" applyProtection="1">
      <alignment horizontal="center" vertical="center"/>
      <protection hidden="1"/>
    </xf>
    <xf numFmtId="0" fontId="1" fillId="2" borderId="82" xfId="0" applyFont="1" applyFill="1" applyBorder="1" applyAlignment="1" applyProtection="1">
      <alignment horizontal="left" vertical="center"/>
      <protection hidden="1"/>
    </xf>
    <xf numFmtId="0" fontId="1" fillId="2" borderId="86" xfId="0" applyFont="1" applyFill="1" applyBorder="1" applyAlignment="1" applyProtection="1">
      <alignment horizontal="left" vertical="center"/>
      <protection hidden="1"/>
    </xf>
    <xf numFmtId="0" fontId="1" fillId="2" borderId="88" xfId="0" applyFont="1" applyFill="1" applyBorder="1" applyAlignment="1" applyProtection="1">
      <alignment horizontal="left" vertical="center"/>
      <protection hidden="1"/>
    </xf>
    <xf numFmtId="167" fontId="1" fillId="2" borderId="89" xfId="0" applyNumberFormat="1" applyFont="1" applyFill="1" applyBorder="1" applyAlignment="1" applyProtection="1">
      <alignment horizontal="center" vertical="center"/>
      <protection hidden="1"/>
    </xf>
    <xf numFmtId="167" fontId="1" fillId="2" borderId="90" xfId="0" applyNumberFormat="1" applyFont="1" applyFill="1" applyBorder="1" applyAlignment="1" applyProtection="1">
      <alignment horizontal="center" vertical="center"/>
      <protection hidden="1"/>
    </xf>
    <xf numFmtId="167" fontId="10" fillId="2" borderId="91" xfId="0" applyNumberFormat="1" applyFont="1" applyFill="1" applyBorder="1" applyAlignment="1" applyProtection="1">
      <alignment horizontal="right" vertical="center"/>
      <protection hidden="1"/>
    </xf>
    <xf numFmtId="0" fontId="8" fillId="2" borderId="86" xfId="0" applyFont="1" applyFill="1" applyBorder="1" applyAlignment="1" applyProtection="1">
      <alignment horizontal="left" vertical="center"/>
      <protection hidden="1"/>
    </xf>
    <xf numFmtId="0" fontId="8" fillId="2" borderId="92" xfId="0" applyFont="1" applyFill="1" applyBorder="1" applyAlignment="1" applyProtection="1">
      <alignment vertical="center"/>
      <protection hidden="1"/>
    </xf>
    <xf numFmtId="0" fontId="8" fillId="0" borderId="0" xfId="0" applyFont="1" applyAlignment="1" applyProtection="1">
      <alignment vertical="center"/>
      <protection hidden="1"/>
    </xf>
    <xf numFmtId="2" fontId="1" fillId="0" borderId="0" xfId="0" applyNumberFormat="1" applyFont="1" applyProtection="1">
      <protection hidden="1"/>
    </xf>
    <xf numFmtId="0" fontId="9" fillId="2" borderId="10" xfId="0" applyFont="1" applyFill="1" applyBorder="1" applyAlignment="1" applyProtection="1">
      <alignment horizontal="left" vertical="center"/>
      <protection hidden="1"/>
    </xf>
    <xf numFmtId="0" fontId="2" fillId="2" borderId="12" xfId="0" applyFont="1" applyFill="1" applyBorder="1" applyAlignment="1" applyProtection="1">
      <alignment horizontal="left" vertical="center"/>
      <protection hidden="1"/>
    </xf>
    <xf numFmtId="0" fontId="1" fillId="2" borderId="94" xfId="0" applyFont="1" applyFill="1" applyBorder="1" applyAlignment="1" applyProtection="1">
      <alignment vertical="center"/>
      <protection hidden="1"/>
    </xf>
    <xf numFmtId="0" fontId="1" fillId="2" borderId="0" xfId="0" applyFont="1" applyFill="1" applyAlignment="1" applyProtection="1">
      <alignment vertical="center"/>
      <protection hidden="1"/>
    </xf>
    <xf numFmtId="0" fontId="1" fillId="2" borderId="41" xfId="0" applyFont="1" applyFill="1" applyBorder="1" applyAlignment="1" applyProtection="1">
      <alignment vertical="center"/>
      <protection hidden="1"/>
    </xf>
    <xf numFmtId="181" fontId="1" fillId="2" borderId="41" xfId="0" applyNumberFormat="1" applyFont="1" applyFill="1" applyBorder="1" applyAlignment="1" applyProtection="1">
      <alignment vertical="center"/>
      <protection hidden="1"/>
    </xf>
    <xf numFmtId="0" fontId="1" fillId="2" borderId="95" xfId="0" applyFont="1" applyFill="1" applyBorder="1" applyAlignment="1" applyProtection="1">
      <alignment vertical="center"/>
      <protection hidden="1"/>
    </xf>
    <xf numFmtId="0" fontId="1" fillId="2" borderId="96" xfId="0" applyFont="1" applyFill="1" applyBorder="1" applyAlignment="1" applyProtection="1">
      <alignment vertical="center"/>
      <protection hidden="1"/>
    </xf>
    <xf numFmtId="183" fontId="1" fillId="2" borderId="40" xfId="0" applyNumberFormat="1" applyFont="1" applyFill="1" applyBorder="1" applyAlignment="1" applyProtection="1">
      <alignment vertical="center"/>
      <protection hidden="1"/>
    </xf>
    <xf numFmtId="2" fontId="1" fillId="0" borderId="0" xfId="0" applyNumberFormat="1" applyFont="1" applyAlignment="1" applyProtection="1">
      <alignment vertical="center"/>
      <protection hidden="1"/>
    </xf>
    <xf numFmtId="2" fontId="1" fillId="2" borderId="11" xfId="0" applyNumberFormat="1" applyFont="1" applyFill="1" applyBorder="1" applyAlignment="1" applyProtection="1">
      <alignment vertical="center"/>
      <protection hidden="1"/>
    </xf>
    <xf numFmtId="0" fontId="1" fillId="2" borderId="35" xfId="0" applyFont="1" applyFill="1" applyBorder="1" applyAlignment="1" applyProtection="1">
      <alignment vertical="center"/>
      <protection hidden="1"/>
    </xf>
    <xf numFmtId="0" fontId="1" fillId="2" borderId="37" xfId="0" applyFont="1" applyFill="1" applyBorder="1" applyAlignment="1" applyProtection="1">
      <alignment vertical="center"/>
      <protection hidden="1"/>
    </xf>
    <xf numFmtId="0" fontId="1" fillId="2" borderId="97" xfId="0" applyFont="1" applyFill="1" applyBorder="1" applyAlignment="1" applyProtection="1">
      <alignment vertical="center"/>
      <protection hidden="1"/>
    </xf>
    <xf numFmtId="0" fontId="1" fillId="2" borderId="98" xfId="0" applyFont="1" applyFill="1" applyBorder="1" applyAlignment="1" applyProtection="1">
      <alignment vertical="center"/>
      <protection hidden="1"/>
    </xf>
    <xf numFmtId="0" fontId="2" fillId="2" borderId="35" xfId="0" applyFont="1" applyFill="1" applyBorder="1" applyAlignment="1" applyProtection="1">
      <alignment vertical="center"/>
      <protection hidden="1"/>
    </xf>
    <xf numFmtId="0" fontId="2" fillId="2" borderId="36" xfId="0" applyFont="1" applyFill="1" applyBorder="1" applyAlignment="1" applyProtection="1">
      <alignment vertical="center"/>
      <protection hidden="1"/>
    </xf>
    <xf numFmtId="183" fontId="2" fillId="2" borderId="100" xfId="0" applyNumberFormat="1" applyFont="1" applyFill="1" applyBorder="1" applyAlignment="1" applyProtection="1">
      <alignment vertical="center"/>
      <protection hidden="1"/>
    </xf>
    <xf numFmtId="0" fontId="2" fillId="2" borderId="39" xfId="0" applyFont="1" applyFill="1" applyBorder="1" applyAlignment="1" applyProtection="1">
      <alignment vertical="center"/>
      <protection hidden="1"/>
    </xf>
    <xf numFmtId="0" fontId="2" fillId="2" borderId="101" xfId="0" applyFont="1" applyFill="1" applyBorder="1" applyAlignment="1" applyProtection="1">
      <alignment vertical="center"/>
      <protection hidden="1"/>
    </xf>
    <xf numFmtId="183" fontId="2" fillId="2" borderId="102" xfId="0" applyNumberFormat="1" applyFont="1" applyFill="1" applyBorder="1" applyAlignment="1" applyProtection="1">
      <alignment vertical="center"/>
      <protection hidden="1"/>
    </xf>
    <xf numFmtId="179" fontId="8" fillId="3" borderId="63" xfId="0" applyNumberFormat="1" applyFont="1" applyFill="1" applyBorder="1" applyAlignment="1" applyProtection="1">
      <alignment horizontal="left" vertical="center"/>
      <protection hidden="1"/>
    </xf>
    <xf numFmtId="0" fontId="8" fillId="3" borderId="114" xfId="0" applyFont="1" applyFill="1" applyBorder="1" applyAlignment="1" applyProtection="1">
      <alignment horizontal="center" vertical="center"/>
      <protection hidden="1"/>
    </xf>
    <xf numFmtId="0" fontId="8" fillId="3" borderId="66" xfId="0" applyFont="1" applyFill="1" applyBorder="1" applyAlignment="1" applyProtection="1">
      <alignment horizontal="center" vertical="center"/>
      <protection hidden="1"/>
    </xf>
    <xf numFmtId="179" fontId="8" fillId="3" borderId="65" xfId="0" applyNumberFormat="1" applyFont="1" applyFill="1" applyBorder="1" applyAlignment="1" applyProtection="1">
      <alignment horizontal="left" vertical="center"/>
      <protection hidden="1"/>
    </xf>
    <xf numFmtId="180" fontId="8" fillId="3" borderId="114" xfId="0" applyNumberFormat="1" applyFont="1" applyFill="1" applyBorder="1" applyAlignment="1" applyProtection="1">
      <alignment horizontal="center" vertical="center"/>
      <protection hidden="1"/>
    </xf>
    <xf numFmtId="180" fontId="8" fillId="3" borderId="66" xfId="0" applyNumberFormat="1" applyFont="1" applyFill="1" applyBorder="1" applyAlignment="1" applyProtection="1">
      <alignment horizontal="center" vertical="center"/>
      <protection hidden="1"/>
    </xf>
    <xf numFmtId="179" fontId="8" fillId="3" borderId="67" xfId="0" applyNumberFormat="1" applyFont="1" applyFill="1" applyBorder="1" applyAlignment="1" applyProtection="1">
      <alignment horizontal="left" vertical="center"/>
      <protection hidden="1"/>
    </xf>
    <xf numFmtId="0" fontId="8" fillId="3" borderId="104" xfId="0" applyFont="1" applyFill="1" applyBorder="1" applyAlignment="1" applyProtection="1">
      <alignment horizontal="center" vertical="center"/>
      <protection hidden="1"/>
    </xf>
    <xf numFmtId="0" fontId="8" fillId="3" borderId="70" xfId="0" applyFont="1" applyFill="1" applyBorder="1" applyAlignment="1" applyProtection="1">
      <alignment horizontal="center" vertical="center"/>
      <protection hidden="1"/>
    </xf>
    <xf numFmtId="179" fontId="8" fillId="3" borderId="69" xfId="0" applyNumberFormat="1" applyFont="1" applyFill="1" applyBorder="1" applyAlignment="1" applyProtection="1">
      <alignment horizontal="left" vertical="center"/>
      <protection hidden="1"/>
    </xf>
    <xf numFmtId="180" fontId="8" fillId="3" borderId="104" xfId="0" applyNumberFormat="1" applyFont="1" applyFill="1" applyBorder="1" applyAlignment="1" applyProtection="1">
      <alignment horizontal="center" vertical="center"/>
      <protection hidden="1"/>
    </xf>
    <xf numFmtId="180" fontId="8" fillId="3" borderId="70" xfId="0" applyNumberFormat="1" applyFont="1" applyFill="1" applyBorder="1" applyAlignment="1" applyProtection="1">
      <alignment horizontal="center" vertical="center"/>
      <protection hidden="1"/>
    </xf>
    <xf numFmtId="179" fontId="8" fillId="3" borderId="121" xfId="0" applyNumberFormat="1" applyFont="1" applyFill="1" applyBorder="1" applyAlignment="1" applyProtection="1">
      <alignment horizontal="left" vertical="center"/>
      <protection hidden="1"/>
    </xf>
    <xf numFmtId="0" fontId="8" fillId="3" borderId="123" xfId="0" applyFont="1" applyFill="1" applyBorder="1" applyAlignment="1" applyProtection="1">
      <alignment horizontal="center" vertical="center"/>
      <protection hidden="1"/>
    </xf>
    <xf numFmtId="0" fontId="8" fillId="3" borderId="124" xfId="0" applyFont="1" applyFill="1" applyBorder="1" applyAlignment="1" applyProtection="1">
      <alignment horizontal="center" vertical="center"/>
      <protection hidden="1"/>
    </xf>
    <xf numFmtId="179" fontId="8" fillId="3" borderId="125" xfId="0" applyNumberFormat="1" applyFont="1" applyFill="1" applyBorder="1" applyAlignment="1" applyProtection="1">
      <alignment horizontal="left" vertical="center"/>
      <protection hidden="1"/>
    </xf>
    <xf numFmtId="180" fontId="8" fillId="3" borderId="123" xfId="0" applyNumberFormat="1" applyFont="1" applyFill="1" applyBorder="1" applyAlignment="1" applyProtection="1">
      <alignment horizontal="center" vertical="center"/>
      <protection hidden="1"/>
    </xf>
    <xf numFmtId="180" fontId="8" fillId="3" borderId="124" xfId="0" applyNumberFormat="1" applyFont="1" applyFill="1" applyBorder="1" applyAlignment="1" applyProtection="1">
      <alignment horizontal="center" vertical="center"/>
      <protection hidden="1"/>
    </xf>
    <xf numFmtId="20" fontId="2" fillId="7" borderId="1" xfId="0" applyNumberFormat="1" applyFont="1" applyFill="1" applyBorder="1" applyAlignment="1" applyProtection="1">
      <alignment horizontal="center" vertical="center" wrapText="1"/>
      <protection hidden="1"/>
    </xf>
    <xf numFmtId="183" fontId="1" fillId="7" borderId="3" xfId="0" applyNumberFormat="1" applyFont="1" applyFill="1" applyBorder="1" applyAlignment="1" applyProtection="1">
      <alignment vertical="center"/>
      <protection locked="0" hidden="1"/>
    </xf>
    <xf numFmtId="184" fontId="1" fillId="7" borderId="6" xfId="0" applyNumberFormat="1" applyFont="1" applyFill="1" applyBorder="1" applyAlignment="1" applyProtection="1">
      <alignment vertical="center"/>
      <protection locked="0" hidden="1"/>
    </xf>
    <xf numFmtId="183" fontId="1" fillId="7" borderId="99" xfId="0" applyNumberFormat="1" applyFont="1" applyFill="1" applyBorder="1" applyAlignment="1" applyProtection="1">
      <alignment vertical="center"/>
      <protection locked="0" hidden="1"/>
    </xf>
    <xf numFmtId="169" fontId="1" fillId="9" borderId="17" xfId="0" applyNumberFormat="1" applyFont="1" applyFill="1" applyBorder="1" applyAlignment="1" applyProtection="1">
      <alignment horizontal="center" vertical="center"/>
      <protection locked="0"/>
    </xf>
    <xf numFmtId="169" fontId="1" fillId="2" borderId="126" xfId="0" applyNumberFormat="1" applyFont="1" applyFill="1" applyBorder="1" applyAlignment="1" applyProtection="1">
      <alignment horizontal="center" vertical="center"/>
      <protection hidden="1"/>
    </xf>
    <xf numFmtId="0" fontId="1" fillId="2" borderId="127" xfId="0" applyFont="1" applyFill="1" applyBorder="1" applyAlignment="1" applyProtection="1">
      <alignment vertical="center"/>
      <protection hidden="1"/>
    </xf>
    <xf numFmtId="0" fontId="1" fillId="2" borderId="128" xfId="0" applyFont="1" applyFill="1" applyBorder="1" applyAlignment="1" applyProtection="1">
      <alignment vertical="center"/>
      <protection hidden="1"/>
    </xf>
    <xf numFmtId="0" fontId="1" fillId="9" borderId="45" xfId="0" applyFont="1" applyFill="1" applyBorder="1" applyAlignment="1" applyProtection="1">
      <alignment vertical="center"/>
      <protection locked="0"/>
    </xf>
    <xf numFmtId="0" fontId="1" fillId="9" borderId="49" xfId="0" applyFont="1" applyFill="1" applyBorder="1" applyAlignment="1" applyProtection="1">
      <alignment vertical="center"/>
      <protection locked="0"/>
    </xf>
    <xf numFmtId="166" fontId="1" fillId="7" borderId="22" xfId="0" applyNumberFormat="1" applyFont="1" applyFill="1" applyBorder="1" applyAlignment="1" applyProtection="1">
      <alignment horizontal="center" vertical="center"/>
      <protection locked="0"/>
    </xf>
    <xf numFmtId="166" fontId="1" fillId="7" borderId="23" xfId="0" applyNumberFormat="1" applyFont="1" applyFill="1" applyBorder="1" applyAlignment="1" applyProtection="1">
      <alignment horizontal="center" vertical="center"/>
      <protection locked="0"/>
    </xf>
    <xf numFmtId="166" fontId="1" fillId="7" borderId="24" xfId="0" applyNumberFormat="1" applyFont="1" applyFill="1" applyBorder="1" applyAlignment="1" applyProtection="1">
      <alignment horizontal="center" vertical="center"/>
      <protection locked="0"/>
    </xf>
    <xf numFmtId="166" fontId="1" fillId="7" borderId="26" xfId="0" applyNumberFormat="1" applyFont="1" applyFill="1" applyBorder="1" applyAlignment="1" applyProtection="1">
      <alignment horizontal="center" vertical="center"/>
      <protection locked="0"/>
    </xf>
    <xf numFmtId="166" fontId="1" fillId="7" borderId="27" xfId="0" applyNumberFormat="1" applyFont="1" applyFill="1" applyBorder="1" applyAlignment="1" applyProtection="1">
      <alignment horizontal="center" vertical="center"/>
      <protection locked="0"/>
    </xf>
    <xf numFmtId="166" fontId="1" fillId="7" borderId="28" xfId="0" applyNumberFormat="1" applyFont="1" applyFill="1" applyBorder="1" applyAlignment="1" applyProtection="1">
      <alignment horizontal="center" vertical="center"/>
      <protection locked="0"/>
    </xf>
    <xf numFmtId="166" fontId="1" fillId="7" borderId="29" xfId="0" applyNumberFormat="1" applyFont="1" applyFill="1" applyBorder="1" applyAlignment="1" applyProtection="1">
      <alignment horizontal="center" vertical="center"/>
      <protection locked="0"/>
    </xf>
    <xf numFmtId="166" fontId="1" fillId="7" borderId="30" xfId="0" applyNumberFormat="1" applyFont="1" applyFill="1" applyBorder="1" applyAlignment="1" applyProtection="1">
      <alignment horizontal="center" vertical="center"/>
      <protection locked="0"/>
    </xf>
    <xf numFmtId="166" fontId="1" fillId="7" borderId="31" xfId="0" applyNumberFormat="1" applyFont="1" applyFill="1" applyBorder="1" applyAlignment="1" applyProtection="1">
      <alignment horizontal="center" vertical="center"/>
      <protection locked="0"/>
    </xf>
    <xf numFmtId="175" fontId="1" fillId="0" borderId="137" xfId="0" applyNumberFormat="1" applyFont="1" applyBorder="1" applyAlignment="1" applyProtection="1">
      <alignment horizontal="center" vertical="center"/>
      <protection hidden="1"/>
    </xf>
    <xf numFmtId="186" fontId="1" fillId="0" borderId="137" xfId="0" applyNumberFormat="1" applyFont="1" applyBorder="1" applyAlignment="1" applyProtection="1">
      <alignment horizontal="right" vertical="center"/>
      <protection hidden="1"/>
    </xf>
    <xf numFmtId="0" fontId="1" fillId="7" borderId="137" xfId="0" applyFont="1" applyFill="1" applyBorder="1" applyProtection="1">
      <protection locked="0"/>
    </xf>
    <xf numFmtId="0" fontId="8" fillId="2" borderId="149" xfId="0" applyFont="1" applyFill="1" applyBorder="1" applyAlignment="1" applyProtection="1">
      <alignment vertical="center"/>
      <protection hidden="1"/>
    </xf>
    <xf numFmtId="0" fontId="8" fillId="2" borderId="150" xfId="0" applyFont="1" applyFill="1" applyBorder="1" applyAlignment="1" applyProtection="1">
      <alignment vertical="center"/>
      <protection hidden="1"/>
    </xf>
    <xf numFmtId="20" fontId="8" fillId="2" borderId="151" xfId="0" applyNumberFormat="1" applyFont="1" applyFill="1" applyBorder="1" applyAlignment="1" applyProtection="1">
      <alignment horizontal="center" vertical="center"/>
      <protection hidden="1"/>
    </xf>
    <xf numFmtId="20" fontId="8" fillId="2" borderId="145" xfId="0" applyNumberFormat="1" applyFont="1" applyFill="1" applyBorder="1" applyAlignment="1" applyProtection="1">
      <alignment horizontal="center" vertical="center"/>
      <protection hidden="1"/>
    </xf>
    <xf numFmtId="171" fontId="8" fillId="2" borderId="145" xfId="0" applyNumberFormat="1" applyFont="1" applyFill="1" applyBorder="1" applyAlignment="1" applyProtection="1">
      <alignment horizontal="center" vertical="center"/>
      <protection hidden="1"/>
    </xf>
    <xf numFmtId="178" fontId="8" fillId="2" borderId="151" xfId="0" applyNumberFormat="1" applyFont="1" applyFill="1" applyBorder="1" applyAlignment="1" applyProtection="1">
      <alignment horizontal="center" vertical="center"/>
      <protection hidden="1"/>
    </xf>
    <xf numFmtId="166" fontId="8" fillId="2" borderId="145" xfId="0" applyNumberFormat="1" applyFont="1" applyFill="1" applyBorder="1" applyAlignment="1" applyProtection="1">
      <alignment horizontal="center" vertical="center"/>
      <protection hidden="1"/>
    </xf>
    <xf numFmtId="0" fontId="8" fillId="2" borderId="152" xfId="0" applyFont="1" applyFill="1" applyBorder="1" applyAlignment="1" applyProtection="1">
      <alignment horizontal="center" vertical="center"/>
      <protection hidden="1"/>
    </xf>
    <xf numFmtId="20" fontId="8" fillId="2" borderId="153" xfId="0" applyNumberFormat="1" applyFont="1" applyFill="1" applyBorder="1" applyAlignment="1" applyProtection="1">
      <alignment horizontal="center" vertical="center"/>
      <protection hidden="1"/>
    </xf>
    <xf numFmtId="171" fontId="8" fillId="2" borderId="153" xfId="0" applyNumberFormat="1" applyFont="1" applyFill="1" applyBorder="1" applyAlignment="1" applyProtection="1">
      <alignment horizontal="center" vertical="center"/>
      <protection hidden="1"/>
    </xf>
    <xf numFmtId="187" fontId="3" fillId="7" borderId="3" xfId="0" applyNumberFormat="1" applyFont="1" applyFill="1" applyBorder="1" applyAlignment="1" applyProtection="1">
      <alignment horizontal="center" vertical="center"/>
      <protection locked="0"/>
    </xf>
    <xf numFmtId="187" fontId="4" fillId="7" borderId="9" xfId="0" applyNumberFormat="1" applyFont="1" applyFill="1" applyBorder="1" applyAlignment="1" applyProtection="1">
      <alignment horizontal="center" vertical="center"/>
      <protection locked="0"/>
    </xf>
    <xf numFmtId="0" fontId="1" fillId="2" borderId="27" xfId="0" applyFont="1" applyFill="1" applyBorder="1" applyAlignment="1" applyProtection="1">
      <alignment horizontal="center" vertical="center"/>
      <protection hidden="1"/>
    </xf>
    <xf numFmtId="0" fontId="2" fillId="2" borderId="10" xfId="0" applyFont="1" applyFill="1" applyBorder="1" applyAlignment="1" applyProtection="1">
      <alignment vertical="center"/>
      <protection hidden="1"/>
    </xf>
    <xf numFmtId="0" fontId="2" fillId="0" borderId="0" xfId="0" applyFont="1" applyAlignment="1" applyProtection="1">
      <alignment vertical="center"/>
      <protection hidden="1"/>
    </xf>
    <xf numFmtId="170" fontId="1" fillId="7" borderId="57" xfId="0" applyNumberFormat="1" applyFont="1" applyFill="1" applyBorder="1" applyAlignment="1" applyProtection="1">
      <alignment horizontal="right" vertical="center"/>
      <protection locked="0"/>
    </xf>
    <xf numFmtId="0" fontId="1" fillId="7" borderId="43" xfId="0" applyFont="1" applyFill="1" applyBorder="1" applyAlignment="1" applyProtection="1">
      <alignment vertical="center"/>
      <protection locked="0"/>
    </xf>
    <xf numFmtId="169" fontId="1" fillId="7" borderId="43" xfId="0" applyNumberFormat="1" applyFont="1" applyFill="1" applyBorder="1" applyAlignment="1" applyProtection="1">
      <alignment horizontal="center" vertical="center"/>
      <protection locked="0"/>
    </xf>
    <xf numFmtId="0" fontId="1" fillId="7" borderId="44" xfId="0" applyFont="1" applyFill="1" applyBorder="1" applyAlignment="1" applyProtection="1">
      <alignment vertical="center"/>
      <protection locked="0"/>
    </xf>
    <xf numFmtId="170" fontId="1" fillId="7" borderId="50" xfId="0" applyNumberFormat="1" applyFont="1" applyFill="1" applyBorder="1" applyAlignment="1" applyProtection="1">
      <alignment horizontal="right" vertical="center"/>
      <protection locked="0"/>
    </xf>
    <xf numFmtId="0" fontId="1" fillId="7" borderId="53" xfId="0" applyFont="1" applyFill="1" applyBorder="1" applyAlignment="1" applyProtection="1">
      <alignment vertical="center"/>
      <protection locked="0"/>
    </xf>
    <xf numFmtId="169" fontId="1" fillId="7" borderId="53" xfId="0" applyNumberFormat="1" applyFont="1" applyFill="1" applyBorder="1" applyAlignment="1" applyProtection="1">
      <alignment horizontal="center" vertical="center"/>
      <protection locked="0"/>
    </xf>
    <xf numFmtId="0" fontId="1" fillId="7" borderId="58" xfId="0" applyFont="1" applyFill="1" applyBorder="1" applyAlignment="1" applyProtection="1">
      <alignment vertical="center"/>
      <protection locked="0"/>
    </xf>
    <xf numFmtId="170" fontId="1" fillId="7" borderId="51" xfId="0" applyNumberFormat="1" applyFont="1" applyFill="1" applyBorder="1" applyAlignment="1" applyProtection="1">
      <alignment horizontal="right" vertical="center"/>
      <protection locked="0"/>
    </xf>
    <xf numFmtId="0" fontId="1" fillId="7" borderId="47" xfId="0" applyFont="1" applyFill="1" applyBorder="1" applyAlignment="1" applyProtection="1">
      <alignment vertical="center"/>
      <protection locked="0"/>
    </xf>
    <xf numFmtId="169" fontId="1" fillId="7" borderId="47" xfId="0" applyNumberFormat="1" applyFont="1" applyFill="1" applyBorder="1" applyAlignment="1" applyProtection="1">
      <alignment horizontal="center" vertical="center"/>
      <protection locked="0"/>
    </xf>
    <xf numFmtId="0" fontId="1" fillId="7" borderId="48" xfId="0" applyFont="1" applyFill="1" applyBorder="1" applyAlignment="1" applyProtection="1">
      <alignment vertical="center"/>
      <protection locked="0"/>
    </xf>
    <xf numFmtId="170" fontId="1" fillId="7" borderId="59" xfId="0" applyNumberFormat="1" applyFont="1" applyFill="1" applyBorder="1" applyAlignment="1" applyProtection="1">
      <alignment horizontal="right" vertical="center"/>
      <protection locked="0"/>
    </xf>
    <xf numFmtId="0" fontId="1" fillId="7" borderId="55" xfId="0" applyFont="1" applyFill="1" applyBorder="1" applyAlignment="1" applyProtection="1">
      <alignment vertical="center"/>
      <protection locked="0"/>
    </xf>
    <xf numFmtId="169" fontId="1" fillId="7" borderId="55" xfId="0" applyNumberFormat="1" applyFont="1" applyFill="1" applyBorder="1" applyAlignment="1" applyProtection="1">
      <alignment horizontal="center" vertical="center"/>
      <protection locked="0"/>
    </xf>
    <xf numFmtId="0" fontId="1" fillId="7" borderId="60" xfId="0" applyFont="1" applyFill="1" applyBorder="1" applyAlignment="1" applyProtection="1">
      <alignment vertical="center"/>
      <protection locked="0"/>
    </xf>
    <xf numFmtId="170" fontId="1" fillId="7" borderId="45" xfId="0" applyNumberFormat="1" applyFont="1" applyFill="1" applyBorder="1" applyAlignment="1" applyProtection="1">
      <alignment horizontal="right" vertical="center"/>
      <protection locked="0"/>
    </xf>
    <xf numFmtId="170" fontId="1" fillId="7" borderId="25" xfId="0" applyNumberFormat="1" applyFont="1" applyFill="1" applyBorder="1" applyAlignment="1" applyProtection="1">
      <alignment horizontal="right" vertical="center"/>
      <protection locked="0"/>
    </xf>
    <xf numFmtId="170" fontId="1" fillId="7" borderId="49" xfId="0" applyNumberFormat="1" applyFont="1" applyFill="1" applyBorder="1" applyAlignment="1" applyProtection="1">
      <alignment horizontal="right" vertical="center"/>
      <protection locked="0"/>
    </xf>
    <xf numFmtId="188" fontId="8" fillId="2" borderId="154" xfId="0" applyNumberFormat="1" applyFont="1" applyFill="1" applyBorder="1" applyProtection="1">
      <protection hidden="1"/>
    </xf>
    <xf numFmtId="188" fontId="8" fillId="2" borderId="154" xfId="0" applyNumberFormat="1" applyFont="1" applyFill="1" applyBorder="1" applyAlignment="1" applyProtection="1">
      <alignment vertical="center"/>
      <protection hidden="1"/>
    </xf>
    <xf numFmtId="188" fontId="8" fillId="2" borderId="158" xfId="0" applyNumberFormat="1" applyFont="1" applyFill="1" applyBorder="1" applyProtection="1">
      <protection hidden="1"/>
    </xf>
    <xf numFmtId="0" fontId="8" fillId="0" borderId="0" xfId="0" applyFont="1" applyProtection="1">
      <protection locked="0"/>
    </xf>
    <xf numFmtId="0" fontId="8" fillId="0" borderId="159" xfId="0" applyFont="1" applyBorder="1" applyProtection="1">
      <protection locked="0"/>
    </xf>
    <xf numFmtId="171" fontId="2" fillId="2" borderId="160" xfId="0" applyNumberFormat="1" applyFont="1" applyFill="1" applyBorder="1" applyAlignment="1" applyProtection="1">
      <alignment horizontal="center" vertical="center" wrapText="1"/>
      <protection hidden="1"/>
    </xf>
    <xf numFmtId="176" fontId="8" fillId="2" borderId="154" xfId="0" applyNumberFormat="1" applyFont="1" applyFill="1" applyBorder="1" applyAlignment="1" applyProtection="1">
      <alignment vertical="center"/>
      <protection hidden="1"/>
    </xf>
    <xf numFmtId="188" fontId="8" fillId="2" borderId="163" xfId="0" applyNumberFormat="1" applyFont="1" applyFill="1" applyBorder="1" applyAlignment="1" applyProtection="1">
      <alignment vertical="center"/>
      <protection hidden="1"/>
    </xf>
    <xf numFmtId="168" fontId="2" fillId="2" borderId="165" xfId="0" applyNumberFormat="1" applyFont="1" applyFill="1" applyBorder="1" applyAlignment="1" applyProtection="1">
      <alignment horizontal="center" vertical="center"/>
      <protection hidden="1"/>
    </xf>
    <xf numFmtId="0" fontId="1" fillId="16" borderId="27" xfId="0" applyFont="1" applyFill="1" applyBorder="1" applyAlignment="1" applyProtection="1">
      <alignment horizontal="center" vertical="center"/>
      <protection hidden="1"/>
    </xf>
    <xf numFmtId="0" fontId="1" fillId="13" borderId="27" xfId="0" applyFont="1" applyFill="1" applyBorder="1" applyAlignment="1" applyProtection="1">
      <alignment horizontal="center" vertical="center"/>
      <protection hidden="1"/>
    </xf>
    <xf numFmtId="0" fontId="1" fillId="11" borderId="27" xfId="0" applyFont="1" applyFill="1" applyBorder="1" applyAlignment="1" applyProtection="1">
      <alignment horizontal="center" vertical="center"/>
      <protection hidden="1"/>
    </xf>
    <xf numFmtId="0" fontId="1" fillId="14" borderId="27" xfId="0" applyFont="1" applyFill="1" applyBorder="1" applyAlignment="1" applyProtection="1">
      <alignment horizontal="center" vertical="center"/>
      <protection hidden="1"/>
    </xf>
    <xf numFmtId="0" fontId="2" fillId="15" borderId="20" xfId="0" applyFont="1" applyFill="1" applyBorder="1" applyAlignment="1" applyProtection="1">
      <alignment horizontal="center" vertical="center"/>
      <protection hidden="1"/>
    </xf>
    <xf numFmtId="0" fontId="1" fillId="10" borderId="167" xfId="0" applyFont="1" applyFill="1" applyBorder="1" applyAlignment="1" applyProtection="1">
      <alignment horizontal="center" vertical="center"/>
      <protection hidden="1"/>
    </xf>
    <xf numFmtId="0" fontId="1" fillId="12" borderId="169" xfId="0" applyFont="1" applyFill="1" applyBorder="1" applyAlignment="1" applyProtection="1">
      <alignment horizontal="center" vertical="center"/>
      <protection hidden="1"/>
    </xf>
    <xf numFmtId="167" fontId="1" fillId="2" borderId="89" xfId="0" applyNumberFormat="1" applyFont="1" applyFill="1" applyBorder="1" applyAlignment="1" applyProtection="1">
      <alignment vertical="center"/>
      <protection hidden="1"/>
    </xf>
    <xf numFmtId="190" fontId="1" fillId="2" borderId="83" xfId="0" applyNumberFormat="1" applyFont="1" applyFill="1" applyBorder="1" applyAlignment="1" applyProtection="1">
      <alignment vertical="center"/>
      <protection hidden="1"/>
    </xf>
    <xf numFmtId="190" fontId="1" fillId="2" borderId="83" xfId="0" applyNumberFormat="1" applyFont="1" applyFill="1" applyBorder="1" applyAlignment="1" applyProtection="1">
      <alignment horizontal="center" vertical="center"/>
      <protection hidden="1"/>
    </xf>
    <xf numFmtId="190" fontId="1" fillId="2" borderId="84" xfId="0" applyNumberFormat="1" applyFont="1" applyFill="1" applyBorder="1" applyAlignment="1" applyProtection="1">
      <alignment horizontal="center" vertical="center"/>
      <protection hidden="1"/>
    </xf>
    <xf numFmtId="190" fontId="10" fillId="2" borderId="85" xfId="0" applyNumberFormat="1" applyFont="1" applyFill="1" applyBorder="1" applyAlignment="1" applyProtection="1">
      <alignment horizontal="right" vertical="center"/>
      <protection hidden="1"/>
    </xf>
    <xf numFmtId="190" fontId="1" fillId="2" borderId="73" xfId="0" applyNumberFormat="1" applyFont="1" applyFill="1" applyBorder="1" applyAlignment="1" applyProtection="1">
      <alignment vertical="center"/>
      <protection hidden="1"/>
    </xf>
    <xf numFmtId="190" fontId="1" fillId="2" borderId="73" xfId="0" applyNumberFormat="1" applyFont="1" applyFill="1" applyBorder="1" applyAlignment="1" applyProtection="1">
      <alignment horizontal="center" vertical="center"/>
      <protection hidden="1"/>
    </xf>
    <xf numFmtId="190" fontId="1" fillId="2" borderId="72" xfId="0" applyNumberFormat="1" applyFont="1" applyFill="1" applyBorder="1" applyAlignment="1" applyProtection="1">
      <alignment horizontal="center" vertical="center"/>
      <protection hidden="1"/>
    </xf>
    <xf numFmtId="190" fontId="10" fillId="2" borderId="87" xfId="0" applyNumberFormat="1" applyFont="1" applyFill="1" applyBorder="1" applyAlignment="1" applyProtection="1">
      <alignment horizontal="right" vertical="center"/>
      <protection hidden="1"/>
    </xf>
    <xf numFmtId="2" fontId="1" fillId="2" borderId="170" xfId="0" applyNumberFormat="1" applyFont="1" applyFill="1" applyBorder="1" applyAlignment="1" applyProtection="1">
      <alignment horizontal="center" vertical="center"/>
      <protection hidden="1"/>
    </xf>
    <xf numFmtId="2" fontId="1" fillId="2" borderId="171" xfId="0" applyNumberFormat="1" applyFont="1" applyFill="1" applyBorder="1" applyAlignment="1" applyProtection="1">
      <alignment horizontal="center" vertical="center"/>
      <protection hidden="1"/>
    </xf>
    <xf numFmtId="2" fontId="1" fillId="2" borderId="172" xfId="0" applyNumberFormat="1" applyFont="1" applyFill="1" applyBorder="1" applyAlignment="1" applyProtection="1">
      <alignment horizontal="center" vertical="center"/>
      <protection hidden="1"/>
    </xf>
    <xf numFmtId="170" fontId="1" fillId="7" borderId="174" xfId="0" applyNumberFormat="1" applyFont="1" applyFill="1" applyBorder="1" applyAlignment="1" applyProtection="1">
      <alignment horizontal="right" vertical="center"/>
      <protection locked="0"/>
    </xf>
    <xf numFmtId="170" fontId="1" fillId="7" borderId="175" xfId="0" applyNumberFormat="1" applyFont="1" applyFill="1" applyBorder="1" applyAlignment="1" applyProtection="1">
      <alignment horizontal="right" vertical="center"/>
      <protection locked="0"/>
    </xf>
    <xf numFmtId="0" fontId="5" fillId="2" borderId="5" xfId="0" applyFont="1" applyFill="1" applyBorder="1" applyProtection="1">
      <protection hidden="1"/>
    </xf>
    <xf numFmtId="0" fontId="1" fillId="2" borderId="176" xfId="0" applyFont="1" applyFill="1" applyBorder="1" applyAlignment="1" applyProtection="1">
      <alignment vertical="center"/>
      <protection hidden="1"/>
    </xf>
    <xf numFmtId="0" fontId="1" fillId="2" borderId="126" xfId="0" applyFont="1" applyFill="1" applyBorder="1" applyAlignment="1" applyProtection="1">
      <alignment vertical="center"/>
      <protection hidden="1"/>
    </xf>
    <xf numFmtId="169" fontId="1" fillId="2" borderId="53" xfId="0" applyNumberFormat="1" applyFont="1" applyFill="1" applyBorder="1" applyAlignment="1" applyProtection="1">
      <alignment horizontal="center" vertical="center"/>
      <protection hidden="1"/>
    </xf>
    <xf numFmtId="0" fontId="1" fillId="9" borderId="161" xfId="0" applyFont="1" applyFill="1" applyBorder="1" applyAlignment="1" applyProtection="1">
      <alignment vertical="center"/>
      <protection locked="0"/>
    </xf>
    <xf numFmtId="169" fontId="1" fillId="9" borderId="177" xfId="0" applyNumberFormat="1" applyFont="1" applyFill="1" applyBorder="1" applyAlignment="1" applyProtection="1">
      <alignment horizontal="center" vertical="center"/>
      <protection locked="0"/>
    </xf>
    <xf numFmtId="0" fontId="1" fillId="9" borderId="162" xfId="0" applyFont="1" applyFill="1" applyBorder="1" applyAlignment="1" applyProtection="1">
      <alignment vertical="center"/>
      <protection locked="0"/>
    </xf>
    <xf numFmtId="169" fontId="1" fillId="9" borderId="178" xfId="0" applyNumberFormat="1" applyFont="1" applyFill="1" applyBorder="1" applyAlignment="1" applyProtection="1">
      <alignment horizontal="center" vertical="center"/>
      <protection locked="0"/>
    </xf>
    <xf numFmtId="0" fontId="2" fillId="2" borderId="105" xfId="0" applyFont="1" applyFill="1" applyBorder="1" applyAlignment="1" applyProtection="1">
      <alignment horizontal="center" vertical="center"/>
      <protection hidden="1"/>
    </xf>
    <xf numFmtId="0" fontId="2" fillId="2" borderId="107" xfId="0" applyFont="1" applyFill="1" applyBorder="1" applyAlignment="1" applyProtection="1">
      <alignment horizontal="center" vertical="center"/>
      <protection hidden="1"/>
    </xf>
    <xf numFmtId="20" fontId="2" fillId="7" borderId="160" xfId="0" applyNumberFormat="1" applyFont="1" applyFill="1" applyBorder="1" applyAlignment="1" applyProtection="1">
      <alignment horizontal="center" vertical="center" wrapText="1"/>
      <protection hidden="1"/>
    </xf>
    <xf numFmtId="173" fontId="2" fillId="2" borderId="160" xfId="0" applyNumberFormat="1" applyFont="1" applyFill="1" applyBorder="1" applyAlignment="1" applyProtection="1">
      <alignment horizontal="center" vertical="center"/>
      <protection hidden="1"/>
    </xf>
    <xf numFmtId="166" fontId="2" fillId="2" borderId="160" xfId="0" applyNumberFormat="1" applyFont="1" applyFill="1" applyBorder="1" applyAlignment="1" applyProtection="1">
      <alignment horizontal="center" vertical="center"/>
      <protection hidden="1"/>
    </xf>
    <xf numFmtId="0" fontId="2" fillId="7" borderId="160" xfId="0" applyFont="1" applyFill="1" applyBorder="1" applyAlignment="1" applyProtection="1">
      <alignment horizontal="center" vertical="center"/>
      <protection hidden="1"/>
    </xf>
    <xf numFmtId="175" fontId="1" fillId="0" borderId="161" xfId="0" applyNumberFormat="1" applyFont="1" applyBorder="1" applyAlignment="1" applyProtection="1">
      <alignment horizontal="center" vertical="center"/>
      <protection hidden="1"/>
    </xf>
    <xf numFmtId="186" fontId="1" fillId="0" borderId="161" xfId="0" applyNumberFormat="1" applyFont="1" applyBorder="1" applyAlignment="1" applyProtection="1">
      <alignment horizontal="right" vertical="center"/>
      <protection hidden="1"/>
    </xf>
    <xf numFmtId="0" fontId="1" fillId="7" borderId="161" xfId="0" applyFont="1" applyFill="1" applyBorder="1" applyProtection="1">
      <protection locked="0"/>
    </xf>
    <xf numFmtId="177" fontId="1" fillId="0" borderId="177" xfId="0" applyNumberFormat="1" applyFont="1" applyBorder="1" applyAlignment="1" applyProtection="1">
      <alignment horizontal="right" vertical="center"/>
      <protection hidden="1"/>
    </xf>
    <xf numFmtId="177" fontId="1" fillId="0" borderId="182" xfId="0" applyNumberFormat="1" applyFont="1" applyBorder="1" applyAlignment="1" applyProtection="1">
      <alignment horizontal="right" vertical="center"/>
      <protection hidden="1"/>
    </xf>
    <xf numFmtId="175" fontId="1" fillId="0" borderId="162" xfId="0" applyNumberFormat="1" applyFont="1" applyBorder="1" applyAlignment="1" applyProtection="1">
      <alignment horizontal="center" vertical="center"/>
      <protection hidden="1"/>
    </xf>
    <xf numFmtId="186" fontId="1" fillId="0" borderId="162" xfId="0" applyNumberFormat="1" applyFont="1" applyBorder="1" applyAlignment="1" applyProtection="1">
      <alignment horizontal="right" vertical="center"/>
      <protection hidden="1"/>
    </xf>
    <xf numFmtId="0" fontId="1" fillId="7" borderId="162" xfId="0" applyFont="1" applyFill="1" applyBorder="1" applyProtection="1">
      <protection locked="0"/>
    </xf>
    <xf numFmtId="177" fontId="1" fillId="0" borderId="178" xfId="0" applyNumberFormat="1" applyFont="1" applyBorder="1" applyAlignment="1" applyProtection="1">
      <alignment horizontal="right" vertical="center"/>
      <protection hidden="1"/>
    </xf>
    <xf numFmtId="0" fontId="2" fillId="20" borderId="19" xfId="0" applyFont="1" applyFill="1" applyBorder="1" applyAlignment="1" applyProtection="1">
      <alignment horizontal="center" vertical="center"/>
      <protection hidden="1"/>
    </xf>
    <xf numFmtId="170" fontId="1" fillId="9" borderId="185" xfId="0" applyNumberFormat="1" applyFont="1" applyFill="1" applyBorder="1" applyAlignment="1" applyProtection="1">
      <alignment horizontal="right" vertical="center"/>
      <protection locked="0" hidden="1"/>
    </xf>
    <xf numFmtId="170" fontId="1" fillId="2" borderId="144" xfId="0" applyNumberFormat="1" applyFont="1" applyFill="1" applyBorder="1" applyAlignment="1" applyProtection="1">
      <alignment horizontal="right" vertical="center"/>
      <protection hidden="1"/>
    </xf>
    <xf numFmtId="0" fontId="1" fillId="7" borderId="187" xfId="0" applyFont="1" applyFill="1" applyBorder="1" applyAlignment="1" applyProtection="1">
      <alignment vertical="center"/>
      <protection locked="0" hidden="1"/>
    </xf>
    <xf numFmtId="0" fontId="1" fillId="9" borderId="186" xfId="0" applyFont="1" applyFill="1" applyBorder="1" applyAlignment="1" applyProtection="1">
      <alignment vertical="center"/>
      <protection locked="0" hidden="1"/>
    </xf>
    <xf numFmtId="188" fontId="1" fillId="3" borderId="161" xfId="0" applyNumberFormat="1" applyFont="1" applyFill="1" applyBorder="1" applyAlignment="1" applyProtection="1">
      <alignment horizontal="center" vertical="center"/>
      <protection hidden="1"/>
    </xf>
    <xf numFmtId="188" fontId="1" fillId="3" borderId="137" xfId="0" applyNumberFormat="1" applyFont="1" applyFill="1" applyBorder="1" applyAlignment="1" applyProtection="1">
      <alignment horizontal="center" vertical="center"/>
      <protection hidden="1"/>
    </xf>
    <xf numFmtId="188" fontId="1" fillId="3" borderId="162" xfId="0" applyNumberFormat="1" applyFont="1" applyFill="1" applyBorder="1" applyAlignment="1" applyProtection="1">
      <alignment horizontal="center" vertical="center"/>
      <protection hidden="1"/>
    </xf>
    <xf numFmtId="0" fontId="13" fillId="16" borderId="17" xfId="0" applyFont="1" applyFill="1" applyBorder="1" applyProtection="1">
      <protection hidden="1"/>
    </xf>
    <xf numFmtId="0" fontId="13" fillId="21" borderId="0" xfId="0" applyFont="1" applyFill="1" applyProtection="1">
      <protection hidden="1"/>
    </xf>
    <xf numFmtId="0" fontId="13" fillId="21" borderId="41" xfId="0" applyFont="1" applyFill="1" applyBorder="1" applyProtection="1">
      <protection hidden="1"/>
    </xf>
    <xf numFmtId="0" fontId="1" fillId="22" borderId="27" xfId="0" applyFont="1" applyFill="1" applyBorder="1" applyAlignment="1" applyProtection="1">
      <alignment horizontal="center" vertical="center"/>
      <protection hidden="1"/>
    </xf>
    <xf numFmtId="170" fontId="1" fillId="7" borderId="94" xfId="0" applyNumberFormat="1" applyFont="1" applyFill="1" applyBorder="1" applyAlignment="1" applyProtection="1">
      <alignment horizontal="right" vertical="center"/>
      <protection locked="0"/>
    </xf>
    <xf numFmtId="0" fontId="1" fillId="22" borderId="179" xfId="0" applyFont="1" applyFill="1" applyBorder="1" applyAlignment="1" applyProtection="1">
      <alignment vertical="center"/>
      <protection hidden="1"/>
    </xf>
    <xf numFmtId="169" fontId="1" fillId="22" borderId="161" xfId="0" applyNumberFormat="1" applyFont="1" applyFill="1" applyBorder="1" applyAlignment="1" applyProtection="1">
      <alignment horizontal="center" vertical="center"/>
      <protection hidden="1"/>
    </xf>
    <xf numFmtId="0" fontId="8" fillId="2" borderId="154" xfId="0" applyFont="1" applyFill="1" applyBorder="1" applyAlignment="1" applyProtection="1">
      <alignment vertical="center"/>
      <protection hidden="1"/>
    </xf>
    <xf numFmtId="0" fontId="8" fillId="2" borderId="82" xfId="0" applyFont="1" applyFill="1" applyBorder="1" applyAlignment="1" applyProtection="1">
      <alignment horizontal="left" vertical="center"/>
      <protection hidden="1"/>
    </xf>
    <xf numFmtId="0" fontId="8" fillId="2" borderId="88" xfId="0" applyFont="1" applyFill="1" applyBorder="1" applyAlignment="1" applyProtection="1">
      <alignment horizontal="left" vertical="center"/>
      <protection hidden="1"/>
    </xf>
    <xf numFmtId="0" fontId="9" fillId="2" borderId="11" xfId="0" applyFont="1" applyFill="1" applyBorder="1" applyAlignment="1" applyProtection="1">
      <alignment horizontal="left" vertical="center"/>
      <protection hidden="1"/>
    </xf>
    <xf numFmtId="0" fontId="2" fillId="2" borderId="11" xfId="0" applyFont="1" applyFill="1" applyBorder="1" applyAlignment="1" applyProtection="1">
      <alignment vertical="center"/>
      <protection hidden="1"/>
    </xf>
    <xf numFmtId="0" fontId="1" fillId="2" borderId="189" xfId="0" applyFont="1" applyFill="1" applyBorder="1" applyAlignment="1" applyProtection="1">
      <alignment vertical="center"/>
      <protection hidden="1"/>
    </xf>
    <xf numFmtId="0" fontId="1" fillId="2" borderId="190" xfId="0" applyFont="1" applyFill="1" applyBorder="1" applyAlignment="1" applyProtection="1">
      <alignment vertical="center"/>
      <protection hidden="1"/>
    </xf>
    <xf numFmtId="0" fontId="1" fillId="2" borderId="192" xfId="0" applyFont="1" applyFill="1" applyBorder="1" applyAlignment="1" applyProtection="1">
      <alignment vertical="center"/>
      <protection hidden="1"/>
    </xf>
    <xf numFmtId="0" fontId="1" fillId="2" borderId="193" xfId="0" applyFont="1" applyFill="1" applyBorder="1" applyAlignment="1" applyProtection="1">
      <alignment vertical="center"/>
      <protection hidden="1"/>
    </xf>
    <xf numFmtId="181" fontId="1" fillId="2" borderId="193" xfId="0" applyNumberFormat="1" applyFont="1" applyFill="1" applyBorder="1" applyAlignment="1" applyProtection="1">
      <alignment horizontal="right" vertical="center"/>
      <protection hidden="1"/>
    </xf>
    <xf numFmtId="183" fontId="1" fillId="2" borderId="194" xfId="0" applyNumberFormat="1" applyFont="1" applyFill="1" applyBorder="1" applyAlignment="1" applyProtection="1">
      <alignment vertical="center"/>
      <protection hidden="1"/>
    </xf>
    <xf numFmtId="165" fontId="1" fillId="2" borderId="191" xfId="0" applyNumberFormat="1" applyFont="1" applyFill="1" applyBorder="1" applyAlignment="1" applyProtection="1">
      <alignment vertical="center"/>
      <protection hidden="1"/>
    </xf>
    <xf numFmtId="165" fontId="1" fillId="2" borderId="41" xfId="0" applyNumberFormat="1" applyFont="1" applyFill="1" applyBorder="1" applyAlignment="1" applyProtection="1">
      <alignment vertical="center"/>
      <protection hidden="1"/>
    </xf>
    <xf numFmtId="182" fontId="1" fillId="7" borderId="195" xfId="0" applyNumberFormat="1" applyFont="1" applyFill="1" applyBorder="1" applyAlignment="1" applyProtection="1">
      <alignment vertical="center"/>
      <protection locked="0"/>
    </xf>
    <xf numFmtId="182" fontId="1" fillId="7" borderId="196" xfId="0" applyNumberFormat="1" applyFont="1" applyFill="1" applyBorder="1" applyAlignment="1" applyProtection="1">
      <alignment vertical="center"/>
      <protection locked="0"/>
    </xf>
    <xf numFmtId="181" fontId="1" fillId="7" borderId="164" xfId="0" applyNumberFormat="1" applyFont="1" applyFill="1" applyBorder="1" applyAlignment="1" applyProtection="1">
      <alignment vertical="center"/>
      <protection locked="0"/>
    </xf>
    <xf numFmtId="168" fontId="1" fillId="16" borderId="161" xfId="0" applyNumberFormat="1" applyFont="1" applyFill="1" applyBorder="1" applyAlignment="1" applyProtection="1">
      <alignment horizontal="center" vertical="center"/>
      <protection hidden="1"/>
    </xf>
    <xf numFmtId="168" fontId="1" fillId="16" borderId="137" xfId="0" applyNumberFormat="1" applyFont="1" applyFill="1" applyBorder="1" applyAlignment="1" applyProtection="1">
      <alignment horizontal="center" vertical="center"/>
      <protection hidden="1"/>
    </xf>
    <xf numFmtId="168" fontId="1" fillId="16" borderId="162" xfId="0" applyNumberFormat="1" applyFont="1" applyFill="1" applyBorder="1" applyAlignment="1" applyProtection="1">
      <alignment horizontal="center" vertical="center"/>
      <protection hidden="1"/>
    </xf>
    <xf numFmtId="20" fontId="2" fillId="7" borderId="105" xfId="0" applyNumberFormat="1" applyFont="1" applyFill="1" applyBorder="1" applyAlignment="1" applyProtection="1">
      <alignment horizontal="center" vertical="center" wrapText="1"/>
      <protection hidden="1"/>
    </xf>
    <xf numFmtId="188" fontId="1" fillId="7" borderId="180" xfId="0" applyNumberFormat="1" applyFont="1" applyFill="1" applyBorder="1" applyAlignment="1" applyProtection="1">
      <alignment horizontal="center" vertical="center"/>
      <protection locked="0"/>
    </xf>
    <xf numFmtId="188" fontId="1" fillId="7" borderId="141" xfId="0" applyNumberFormat="1" applyFont="1" applyFill="1" applyBorder="1" applyAlignment="1" applyProtection="1">
      <alignment horizontal="center" vertical="center"/>
      <protection locked="0"/>
    </xf>
    <xf numFmtId="188" fontId="1" fillId="7" borderId="184" xfId="0" applyNumberFormat="1" applyFont="1" applyFill="1" applyBorder="1" applyAlignment="1" applyProtection="1">
      <alignment horizontal="center" vertical="center"/>
      <protection locked="0"/>
    </xf>
    <xf numFmtId="20" fontId="2" fillId="7" borderId="61" xfId="0" applyNumberFormat="1" applyFont="1" applyFill="1" applyBorder="1" applyAlignment="1" applyProtection="1">
      <alignment horizontal="center" vertical="center" wrapText="1"/>
      <protection hidden="1"/>
    </xf>
    <xf numFmtId="171" fontId="2" fillId="7" borderId="105" xfId="0" applyNumberFormat="1" applyFont="1" applyFill="1" applyBorder="1" applyAlignment="1" applyProtection="1">
      <alignment horizontal="center" vertical="center" wrapText="1"/>
      <protection hidden="1"/>
    </xf>
    <xf numFmtId="0" fontId="1" fillId="2" borderId="62" xfId="0" applyFont="1" applyFill="1" applyBorder="1" applyAlignment="1" applyProtection="1">
      <alignment vertical="center"/>
      <protection hidden="1"/>
    </xf>
    <xf numFmtId="49" fontId="10" fillId="2" borderId="61" xfId="0" applyNumberFormat="1" applyFont="1" applyFill="1" applyBorder="1" applyAlignment="1" applyProtection="1">
      <alignment vertical="center"/>
      <protection hidden="1"/>
    </xf>
    <xf numFmtId="176" fontId="1" fillId="0" borderId="180" xfId="0" applyNumberFormat="1" applyFont="1" applyBorder="1" applyAlignment="1" applyProtection="1">
      <alignment horizontal="center" vertical="center"/>
      <protection hidden="1"/>
    </xf>
    <xf numFmtId="176" fontId="1" fillId="0" borderId="141" xfId="0" applyNumberFormat="1" applyFont="1" applyBorder="1" applyAlignment="1" applyProtection="1">
      <alignment horizontal="center" vertical="center"/>
      <protection hidden="1"/>
    </xf>
    <xf numFmtId="176" fontId="1" fillId="0" borderId="184" xfId="0" applyNumberFormat="1" applyFont="1" applyBorder="1" applyAlignment="1" applyProtection="1">
      <alignment horizontal="center" vertical="center"/>
      <protection hidden="1"/>
    </xf>
    <xf numFmtId="188" fontId="8" fillId="6" borderId="68" xfId="0" applyNumberFormat="1" applyFont="1" applyFill="1" applyBorder="1" applyAlignment="1" applyProtection="1">
      <alignment horizontal="center" vertical="center"/>
      <protection hidden="1"/>
    </xf>
    <xf numFmtId="188" fontId="8" fillId="6" borderId="64" xfId="0" applyNumberFormat="1" applyFont="1" applyFill="1" applyBorder="1" applyAlignment="1" applyProtection="1">
      <alignment horizontal="center" vertical="center"/>
      <protection hidden="1"/>
    </xf>
    <xf numFmtId="188" fontId="8" fillId="6" borderId="122" xfId="0" applyNumberFormat="1" applyFont="1" applyFill="1" applyBorder="1" applyAlignment="1" applyProtection="1">
      <alignment horizontal="center" vertical="center"/>
      <protection hidden="1"/>
    </xf>
    <xf numFmtId="189" fontId="2" fillId="2" borderId="85" xfId="0" applyNumberFormat="1" applyFont="1" applyFill="1" applyBorder="1" applyAlignment="1" applyProtection="1">
      <alignment horizontal="center" vertical="center"/>
      <protection hidden="1"/>
    </xf>
    <xf numFmtId="189" fontId="2" fillId="2" borderId="87" xfId="0" applyNumberFormat="1" applyFont="1" applyFill="1" applyBorder="1" applyAlignment="1" applyProtection="1">
      <alignment horizontal="center" vertical="center"/>
      <protection hidden="1"/>
    </xf>
    <xf numFmtId="189" fontId="2" fillId="2" borderId="91" xfId="0" applyNumberFormat="1" applyFont="1" applyFill="1" applyBorder="1" applyAlignment="1" applyProtection="1">
      <alignment horizontal="center" vertical="center"/>
      <protection hidden="1"/>
    </xf>
    <xf numFmtId="188" fontId="2" fillId="2" borderId="93" xfId="0" applyNumberFormat="1" applyFont="1" applyFill="1" applyBorder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center"/>
      <protection hidden="1"/>
    </xf>
    <xf numFmtId="171" fontId="8" fillId="2" borderId="150" xfId="0" applyNumberFormat="1" applyFont="1" applyFill="1" applyBorder="1" applyAlignment="1" applyProtection="1">
      <alignment horizontal="center" vertical="center"/>
      <protection hidden="1"/>
    </xf>
    <xf numFmtId="171" fontId="8" fillId="2" borderId="197" xfId="0" applyNumberFormat="1" applyFont="1" applyFill="1" applyBorder="1" applyAlignment="1" applyProtection="1">
      <alignment horizontal="center" vertical="center"/>
      <protection hidden="1"/>
    </xf>
    <xf numFmtId="171" fontId="8" fillId="2" borderId="0" xfId="0" applyNumberFormat="1" applyFont="1" applyFill="1" applyAlignment="1" applyProtection="1">
      <alignment horizontal="center" vertical="center"/>
      <protection hidden="1"/>
    </xf>
    <xf numFmtId="171" fontId="11" fillId="2" borderId="62" xfId="0" applyNumberFormat="1" applyFont="1" applyFill="1" applyBorder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/>
      <protection hidden="1"/>
    </xf>
    <xf numFmtId="0" fontId="8" fillId="0" borderId="0" xfId="0" applyFont="1" applyAlignment="1" applyProtection="1">
      <alignment horizontal="center"/>
      <protection locked="0"/>
    </xf>
    <xf numFmtId="0" fontId="8" fillId="0" borderId="159" xfId="0" applyFont="1" applyBorder="1" applyAlignment="1" applyProtection="1">
      <alignment horizontal="center"/>
      <protection locked="0"/>
    </xf>
    <xf numFmtId="171" fontId="2" fillId="7" borderId="1" xfId="0" applyNumberFormat="1" applyFont="1" applyFill="1" applyBorder="1" applyAlignment="1" applyProtection="1">
      <alignment horizontal="center" vertical="center" wrapText="1"/>
      <protection hidden="1"/>
    </xf>
    <xf numFmtId="172" fontId="9" fillId="2" borderId="61" xfId="0" applyNumberFormat="1" applyFont="1" applyFill="1" applyBorder="1" applyAlignment="1" applyProtection="1">
      <alignment horizontal="center" vertical="center"/>
      <protection hidden="1"/>
    </xf>
    <xf numFmtId="172" fontId="9" fillId="2" borderId="62" xfId="0" applyNumberFormat="1" applyFont="1" applyFill="1" applyBorder="1" applyAlignment="1" applyProtection="1">
      <alignment horizontal="center" vertical="center"/>
      <protection hidden="1"/>
    </xf>
    <xf numFmtId="20" fontId="2" fillId="7" borderId="201" xfId="0" applyNumberFormat="1" applyFont="1" applyFill="1" applyBorder="1" applyAlignment="1" applyProtection="1">
      <alignment horizontal="center" vertical="center" wrapText="1"/>
      <protection hidden="1"/>
    </xf>
    <xf numFmtId="166" fontId="2" fillId="7" borderId="201" xfId="0" applyNumberFormat="1" applyFont="1" applyFill="1" applyBorder="1" applyAlignment="1" applyProtection="1">
      <alignment horizontal="center" vertical="center" textRotation="90"/>
      <protection hidden="1"/>
    </xf>
    <xf numFmtId="20" fontId="2" fillId="7" borderId="200" xfId="0" applyNumberFormat="1" applyFont="1" applyFill="1" applyBorder="1" applyAlignment="1" applyProtection="1">
      <alignment horizontal="center" vertical="center" wrapText="1"/>
      <protection hidden="1"/>
    </xf>
    <xf numFmtId="0" fontId="1" fillId="2" borderId="61" xfId="0" applyFont="1" applyFill="1" applyBorder="1" applyAlignment="1" applyProtection="1">
      <alignment horizontal="center" vertical="center"/>
      <protection hidden="1"/>
    </xf>
    <xf numFmtId="171" fontId="0" fillId="2" borderId="62" xfId="0" applyNumberFormat="1" applyFill="1" applyBorder="1" applyAlignment="1" applyProtection="1">
      <alignment horizontal="center" vertical="center"/>
      <protection hidden="1"/>
    </xf>
    <xf numFmtId="171" fontId="0" fillId="0" borderId="0" xfId="0" applyNumberFormat="1" applyAlignment="1" applyProtection="1">
      <alignment horizontal="center"/>
      <protection hidden="1"/>
    </xf>
    <xf numFmtId="49" fontId="10" fillId="2" borderId="61" xfId="0" applyNumberFormat="1" applyFont="1" applyFill="1" applyBorder="1" applyAlignment="1" applyProtection="1">
      <alignment horizontal="center" vertical="center"/>
      <protection hidden="1"/>
    </xf>
    <xf numFmtId="0" fontId="1" fillId="2" borderId="62" xfId="0" applyFont="1" applyFill="1" applyBorder="1" applyAlignment="1" applyProtection="1">
      <alignment horizontal="center" vertical="center"/>
      <protection hidden="1"/>
    </xf>
    <xf numFmtId="0" fontId="8" fillId="2" borderId="150" xfId="0" applyFont="1" applyFill="1" applyBorder="1" applyAlignment="1" applyProtection="1">
      <alignment horizontal="center" vertical="center"/>
      <protection hidden="1"/>
    </xf>
    <xf numFmtId="171" fontId="8" fillId="2" borderId="140" xfId="0" applyNumberFormat="1" applyFont="1" applyFill="1" applyBorder="1" applyAlignment="1" applyProtection="1">
      <alignment horizontal="center" vertical="center"/>
      <protection hidden="1"/>
    </xf>
    <xf numFmtId="173" fontId="8" fillId="2" borderId="135" xfId="0" applyNumberFormat="1" applyFont="1" applyFill="1" applyBorder="1" applyAlignment="1" applyProtection="1">
      <alignment horizontal="center" vertical="center"/>
      <protection hidden="1"/>
    </xf>
    <xf numFmtId="169" fontId="8" fillId="2" borderId="134" xfId="0" applyNumberFormat="1" applyFont="1" applyFill="1" applyBorder="1" applyAlignment="1" applyProtection="1">
      <alignment horizontal="center" vertical="center"/>
      <protection hidden="1"/>
    </xf>
    <xf numFmtId="171" fontId="8" fillId="2" borderId="142" xfId="0" applyNumberFormat="1" applyFont="1" applyFill="1" applyBorder="1" applyAlignment="1" applyProtection="1">
      <alignment horizontal="center" vertical="center"/>
      <protection hidden="1"/>
    </xf>
    <xf numFmtId="166" fontId="8" fillId="2" borderId="138" xfId="0" applyNumberFormat="1" applyFont="1" applyFill="1" applyBorder="1" applyAlignment="1" applyProtection="1">
      <alignment horizontal="center" vertical="center"/>
      <protection hidden="1"/>
    </xf>
    <xf numFmtId="169" fontId="8" fillId="2" borderId="136" xfId="0" applyNumberFormat="1" applyFont="1" applyFill="1" applyBorder="1" applyAlignment="1" applyProtection="1">
      <alignment horizontal="center" vertical="center"/>
      <protection hidden="1"/>
    </xf>
    <xf numFmtId="166" fontId="8" fillId="2" borderId="147" xfId="0" applyNumberFormat="1" applyFont="1" applyFill="1" applyBorder="1" applyAlignment="1" applyProtection="1">
      <alignment horizontal="center" vertical="center"/>
      <protection hidden="1"/>
    </xf>
    <xf numFmtId="166" fontId="8" fillId="7" borderId="146" xfId="0" applyNumberFormat="1" applyFont="1" applyFill="1" applyBorder="1" applyAlignment="1" applyProtection="1">
      <alignment horizontal="center" vertical="center"/>
      <protection locked="0"/>
    </xf>
    <xf numFmtId="171" fontId="11" fillId="2" borderId="143" xfId="0" applyNumberFormat="1" applyFont="1" applyFill="1" applyBorder="1" applyAlignment="1" applyProtection="1">
      <alignment horizontal="center" vertical="center"/>
      <protection hidden="1"/>
    </xf>
    <xf numFmtId="173" fontId="11" fillId="2" borderId="148" xfId="0" applyNumberFormat="1" applyFont="1" applyFill="1" applyBorder="1" applyAlignment="1" applyProtection="1">
      <alignment horizontal="center" vertical="center"/>
      <protection hidden="1"/>
    </xf>
    <xf numFmtId="0" fontId="8" fillId="0" borderId="0" xfId="0" applyFont="1" applyAlignment="1" applyProtection="1">
      <alignment horizontal="center"/>
      <protection hidden="1"/>
    </xf>
    <xf numFmtId="169" fontId="8" fillId="4" borderId="155" xfId="0" applyNumberFormat="1" applyFont="1" applyFill="1" applyBorder="1" applyAlignment="1" applyProtection="1">
      <alignment horizontal="center"/>
      <protection hidden="1"/>
    </xf>
    <xf numFmtId="169" fontId="8" fillId="4" borderId="156" xfId="0" applyNumberFormat="1" applyFont="1" applyFill="1" applyBorder="1" applyAlignment="1" applyProtection="1">
      <alignment horizontal="center"/>
      <protection hidden="1"/>
    </xf>
    <xf numFmtId="0" fontId="1" fillId="5" borderId="118" xfId="0" applyFont="1" applyFill="1" applyBorder="1" applyAlignment="1" applyProtection="1">
      <alignment horizontal="center" vertical="center"/>
      <protection hidden="1"/>
    </xf>
    <xf numFmtId="166" fontId="15" fillId="0" borderId="0" xfId="0" applyNumberFormat="1" applyFont="1"/>
    <xf numFmtId="166" fontId="16" fillId="0" borderId="0" xfId="0" applyNumberFormat="1" applyFont="1" applyAlignment="1" applyProtection="1">
      <alignment horizontal="center" vertical="center"/>
      <protection hidden="1"/>
    </xf>
    <xf numFmtId="188" fontId="8" fillId="7" borderId="180" xfId="0" applyNumberFormat="1" applyFont="1" applyFill="1" applyBorder="1" applyAlignment="1" applyProtection="1">
      <alignment horizontal="center" vertical="center"/>
      <protection locked="0"/>
    </xf>
    <xf numFmtId="0" fontId="8" fillId="7" borderId="141" xfId="0" applyFont="1" applyFill="1" applyBorder="1" applyAlignment="1" applyProtection="1">
      <alignment horizontal="center"/>
      <protection locked="0"/>
    </xf>
    <xf numFmtId="188" fontId="8" fillId="7" borderId="141" xfId="0" applyNumberFormat="1" applyFont="1" applyFill="1" applyBorder="1" applyAlignment="1" applyProtection="1">
      <alignment horizontal="center" vertical="center"/>
      <protection locked="0"/>
    </xf>
    <xf numFmtId="188" fontId="8" fillId="7" borderId="184" xfId="0" applyNumberFormat="1" applyFont="1" applyFill="1" applyBorder="1" applyAlignment="1" applyProtection="1">
      <alignment horizontal="center" vertical="center"/>
      <protection locked="0"/>
    </xf>
    <xf numFmtId="174" fontId="17" fillId="0" borderId="179" xfId="0" applyNumberFormat="1" applyFont="1" applyBorder="1" applyAlignment="1" applyProtection="1">
      <alignment horizontal="left" vertical="center"/>
      <protection hidden="1"/>
    </xf>
    <xf numFmtId="174" fontId="17" fillId="0" borderId="181" xfId="0" applyNumberFormat="1" applyFont="1" applyBorder="1" applyAlignment="1" applyProtection="1">
      <alignment horizontal="left" vertical="center"/>
      <protection hidden="1"/>
    </xf>
    <xf numFmtId="174" fontId="17" fillId="0" borderId="183" xfId="0" applyNumberFormat="1" applyFont="1" applyBorder="1" applyAlignment="1" applyProtection="1">
      <alignment horizontal="left" vertical="center"/>
      <protection hidden="1"/>
    </xf>
    <xf numFmtId="188" fontId="8" fillId="7" borderId="139" xfId="0" applyNumberFormat="1" applyFont="1" applyFill="1" applyBorder="1" applyAlignment="1" applyProtection="1">
      <alignment horizontal="center" vertical="center"/>
      <protection locked="0"/>
    </xf>
    <xf numFmtId="188" fontId="1" fillId="0" borderId="198" xfId="0" applyNumberFormat="1" applyFont="1" applyFill="1" applyBorder="1" applyAlignment="1" applyProtection="1">
      <alignment horizontal="center" vertical="center"/>
      <protection hidden="1"/>
    </xf>
    <xf numFmtId="188" fontId="1" fillId="0" borderId="145" xfId="0" applyNumberFormat="1" applyFont="1" applyFill="1" applyBorder="1" applyAlignment="1" applyProtection="1">
      <alignment horizontal="center" vertical="center"/>
      <protection hidden="1"/>
    </xf>
    <xf numFmtId="188" fontId="1" fillId="0" borderId="199" xfId="0" applyNumberFormat="1" applyFont="1" applyFill="1" applyBorder="1" applyAlignment="1" applyProtection="1">
      <alignment horizontal="center" vertical="center"/>
      <protection hidden="1"/>
    </xf>
    <xf numFmtId="188" fontId="8" fillId="7" borderId="202" xfId="0" applyNumberFormat="1" applyFont="1" applyFill="1" applyBorder="1" applyAlignment="1" applyProtection="1">
      <alignment horizontal="center" vertical="center"/>
      <protection locked="0"/>
    </xf>
    <xf numFmtId="188" fontId="8" fillId="2" borderId="204" xfId="0" applyNumberFormat="1" applyFont="1" applyFill="1" applyBorder="1" applyProtection="1">
      <protection hidden="1"/>
    </xf>
    <xf numFmtId="169" fontId="1" fillId="0" borderId="161" xfId="0" applyNumberFormat="1" applyFont="1" applyFill="1" applyBorder="1" applyAlignment="1" applyProtection="1">
      <alignment horizontal="center" vertical="center"/>
      <protection hidden="1"/>
    </xf>
    <xf numFmtId="169" fontId="1" fillId="0" borderId="137" xfId="0" applyNumberFormat="1" applyFont="1" applyFill="1" applyBorder="1" applyAlignment="1" applyProtection="1">
      <alignment horizontal="center"/>
      <protection hidden="1"/>
    </xf>
    <xf numFmtId="169" fontId="1" fillId="0" borderId="137" xfId="0" applyNumberFormat="1" applyFont="1" applyFill="1" applyBorder="1" applyAlignment="1" applyProtection="1">
      <alignment horizontal="center" vertical="center"/>
      <protection hidden="1"/>
    </xf>
    <xf numFmtId="169" fontId="1" fillId="0" borderId="162" xfId="0" applyNumberFormat="1" applyFont="1" applyFill="1" applyBorder="1" applyAlignment="1" applyProtection="1">
      <alignment horizontal="center" vertical="center"/>
      <protection hidden="1"/>
    </xf>
    <xf numFmtId="192" fontId="1" fillId="7" borderId="17" xfId="0" applyNumberFormat="1" applyFont="1" applyFill="1" applyBorder="1" applyAlignment="1" applyProtection="1">
      <alignment vertical="center"/>
      <protection locked="0" hidden="1"/>
    </xf>
    <xf numFmtId="0" fontId="8" fillId="23" borderId="139" xfId="0" applyFont="1" applyFill="1" applyBorder="1" applyAlignment="1" applyProtection="1">
      <alignment vertical="center"/>
      <protection hidden="1"/>
    </xf>
    <xf numFmtId="0" fontId="0" fillId="24" borderId="150" xfId="0" applyFill="1" applyBorder="1" applyAlignment="1">
      <alignment vertical="center"/>
    </xf>
    <xf numFmtId="0" fontId="8" fillId="23" borderId="141" xfId="0" applyFont="1" applyFill="1" applyBorder="1" applyAlignment="1" applyProtection="1">
      <alignment vertical="center"/>
      <protection hidden="1"/>
    </xf>
    <xf numFmtId="0" fontId="0" fillId="24" borderId="145" xfId="0" applyFill="1" applyBorder="1" applyAlignment="1">
      <alignment vertical="center"/>
    </xf>
    <xf numFmtId="0" fontId="8" fillId="23" borderId="145" xfId="0" applyFont="1" applyFill="1" applyBorder="1" applyAlignment="1" applyProtection="1">
      <alignment vertical="center"/>
      <protection hidden="1"/>
    </xf>
    <xf numFmtId="0" fontId="8" fillId="24" borderId="141" xfId="0" applyFont="1" applyFill="1" applyBorder="1" applyAlignment="1" applyProtection="1">
      <protection hidden="1"/>
    </xf>
    <xf numFmtId="0" fontId="0" fillId="24" borderId="145" xfId="0" applyFill="1" applyBorder="1" applyAlignment="1" applyProtection="1">
      <protection hidden="1"/>
    </xf>
    <xf numFmtId="0" fontId="8" fillId="24" borderId="157" xfId="0" applyFont="1" applyFill="1" applyBorder="1" applyAlignment="1" applyProtection="1">
      <protection hidden="1"/>
    </xf>
    <xf numFmtId="0" fontId="0" fillId="24" borderId="205" xfId="0" applyFill="1" applyBorder="1" applyAlignment="1" applyProtection="1">
      <protection hidden="1"/>
    </xf>
    <xf numFmtId="171" fontId="0" fillId="0" borderId="0" xfId="0" applyNumberFormat="1" applyFill="1" applyAlignment="1" applyProtection="1">
      <alignment horizontal="center"/>
      <protection hidden="1"/>
    </xf>
    <xf numFmtId="0" fontId="0" fillId="0" borderId="206" xfId="0" applyFill="1" applyBorder="1" applyAlignment="1" applyProtection="1">
      <alignment horizontal="right"/>
      <protection hidden="1"/>
    </xf>
    <xf numFmtId="0" fontId="8" fillId="0" borderId="206" xfId="0" applyFont="1" applyFill="1" applyBorder="1" applyAlignment="1" applyProtection="1">
      <alignment horizontal="right" indent="1"/>
      <protection hidden="1"/>
    </xf>
    <xf numFmtId="169" fontId="11" fillId="0" borderId="146" xfId="0" applyNumberFormat="1" applyFont="1" applyBorder="1" applyAlignment="1" applyProtection="1">
      <alignment horizontal="center"/>
      <protection hidden="1"/>
    </xf>
    <xf numFmtId="0" fontId="11" fillId="0" borderId="207" xfId="0" applyFont="1" applyBorder="1" applyProtection="1">
      <protection hidden="1"/>
    </xf>
    <xf numFmtId="0" fontId="0" fillId="0" borderId="0" xfId="0" applyBorder="1" applyProtection="1">
      <protection hidden="1"/>
    </xf>
    <xf numFmtId="171" fontId="0" fillId="0" borderId="0" xfId="0" applyNumberFormat="1" applyBorder="1" applyProtection="1">
      <protection hidden="1"/>
    </xf>
    <xf numFmtId="0" fontId="18" fillId="24" borderId="146" xfId="0" applyFont="1" applyFill="1" applyBorder="1" applyAlignment="1" applyProtection="1">
      <alignment horizontal="right"/>
      <protection hidden="1"/>
    </xf>
    <xf numFmtId="0" fontId="18" fillId="25" borderId="146" xfId="0" applyFont="1" applyFill="1" applyBorder="1" applyAlignment="1" applyProtection="1">
      <alignment horizontal="center" vertical="center"/>
      <protection hidden="1"/>
    </xf>
    <xf numFmtId="193" fontId="18" fillId="25" borderId="146" xfId="0" applyNumberFormat="1" applyFont="1" applyFill="1" applyBorder="1" applyAlignment="1" applyProtection="1">
      <alignment horizontal="center" vertical="center"/>
      <protection hidden="1"/>
    </xf>
    <xf numFmtId="188" fontId="16" fillId="0" borderId="0" xfId="0" applyNumberFormat="1" applyFont="1" applyProtection="1">
      <protection hidden="1"/>
    </xf>
    <xf numFmtId="0" fontId="16" fillId="0" borderId="0" xfId="0" applyFont="1" applyProtection="1">
      <protection hidden="1"/>
    </xf>
    <xf numFmtId="0" fontId="18" fillId="25" borderId="146" xfId="0" applyNumberFormat="1" applyFont="1" applyFill="1" applyBorder="1" applyAlignment="1" applyProtection="1">
      <alignment horizontal="center" vertical="center"/>
      <protection hidden="1"/>
    </xf>
    <xf numFmtId="169" fontId="1" fillId="0" borderId="180" xfId="0" applyNumberFormat="1" applyFont="1" applyFill="1" applyBorder="1" applyAlignment="1" applyProtection="1">
      <alignment horizontal="center" vertical="center"/>
      <protection hidden="1"/>
    </xf>
    <xf numFmtId="169" fontId="1" fillId="0" borderId="141" xfId="0" applyNumberFormat="1" applyFont="1" applyFill="1" applyBorder="1" applyAlignment="1" applyProtection="1">
      <alignment horizontal="center"/>
      <protection hidden="1"/>
    </xf>
    <xf numFmtId="169" fontId="1" fillId="0" borderId="141" xfId="0" applyNumberFormat="1" applyFont="1" applyFill="1" applyBorder="1" applyAlignment="1" applyProtection="1">
      <alignment horizontal="center" vertical="center"/>
      <protection hidden="1"/>
    </xf>
    <xf numFmtId="169" fontId="1" fillId="0" borderId="184" xfId="0" applyNumberFormat="1" applyFont="1" applyFill="1" applyBorder="1" applyAlignment="1" applyProtection="1">
      <alignment horizontal="center" vertical="center"/>
      <protection hidden="1"/>
    </xf>
    <xf numFmtId="188" fontId="1" fillId="7" borderId="198" xfId="0" applyNumberFormat="1" applyFont="1" applyFill="1" applyBorder="1" applyAlignment="1" applyProtection="1">
      <alignment horizontal="center" vertical="center"/>
      <protection locked="0"/>
    </xf>
    <xf numFmtId="188" fontId="1" fillId="7" borderId="145" xfId="0" applyNumberFormat="1" applyFont="1" applyFill="1" applyBorder="1" applyAlignment="1" applyProtection="1">
      <alignment horizontal="center" vertical="center"/>
      <protection locked="0"/>
    </xf>
    <xf numFmtId="188" fontId="1" fillId="7" borderId="199" xfId="0" applyNumberFormat="1" applyFont="1" applyFill="1" applyBorder="1" applyAlignment="1" applyProtection="1">
      <alignment horizontal="center" vertical="center"/>
      <protection locked="0"/>
    </xf>
    <xf numFmtId="188" fontId="1" fillId="7" borderId="153" xfId="0" applyNumberFormat="1" applyFont="1" applyFill="1" applyBorder="1" applyAlignment="1" applyProtection="1">
      <alignment horizontal="center" vertical="center"/>
      <protection locked="0"/>
    </xf>
    <xf numFmtId="188" fontId="1" fillId="0" borderId="203" xfId="0" applyNumberFormat="1" applyFont="1" applyBorder="1" applyAlignment="1" applyProtection="1">
      <alignment horizontal="center" vertical="center"/>
      <protection hidden="1"/>
    </xf>
    <xf numFmtId="188" fontId="1" fillId="0" borderId="142" xfId="0" applyNumberFormat="1" applyFont="1" applyBorder="1" applyAlignment="1" applyProtection="1">
      <alignment horizontal="center" vertical="center"/>
      <protection hidden="1"/>
    </xf>
    <xf numFmtId="188" fontId="1" fillId="0" borderId="209" xfId="0" applyNumberFormat="1" applyFont="1" applyBorder="1" applyAlignment="1" applyProtection="1">
      <alignment horizontal="center" vertical="center"/>
      <protection hidden="1"/>
    </xf>
    <xf numFmtId="176" fontId="8" fillId="8" borderId="211" xfId="0" applyNumberFormat="1" applyFont="1" applyFill="1" applyBorder="1" applyAlignment="1" applyProtection="1">
      <alignment horizontal="center" vertical="center"/>
      <protection hidden="1"/>
    </xf>
    <xf numFmtId="176" fontId="8" fillId="8" borderId="212" xfId="0" applyNumberFormat="1" applyFont="1" applyFill="1" applyBorder="1" applyAlignment="1" applyProtection="1">
      <alignment horizontal="center" vertical="center"/>
      <protection hidden="1"/>
    </xf>
    <xf numFmtId="188" fontId="1" fillId="7" borderId="210" xfId="0" applyNumberFormat="1" applyFont="1" applyFill="1" applyBorder="1" applyAlignment="1" applyProtection="1">
      <alignment horizontal="center" vertical="center"/>
      <protection locked="0"/>
    </xf>
    <xf numFmtId="188" fontId="1" fillId="7" borderId="211" xfId="0" applyNumberFormat="1" applyFont="1" applyFill="1" applyBorder="1" applyAlignment="1" applyProtection="1">
      <alignment horizontal="center" vertical="center"/>
      <protection locked="0"/>
    </xf>
    <xf numFmtId="188" fontId="1" fillId="7" borderId="213" xfId="0" applyNumberFormat="1" applyFont="1" applyFill="1" applyBorder="1" applyAlignment="1" applyProtection="1">
      <alignment horizontal="center" vertical="center"/>
      <protection locked="0"/>
    </xf>
    <xf numFmtId="176" fontId="1" fillId="7" borderId="210" xfId="0" applyNumberFormat="1" applyFont="1" applyFill="1" applyBorder="1" applyAlignment="1" applyProtection="1">
      <alignment horizontal="center" vertical="center"/>
      <protection locked="0"/>
    </xf>
    <xf numFmtId="176" fontId="1" fillId="7" borderId="211" xfId="0" applyNumberFormat="1" applyFont="1" applyFill="1" applyBorder="1" applyAlignment="1" applyProtection="1">
      <alignment horizontal="center" vertical="center"/>
      <protection locked="0"/>
    </xf>
    <xf numFmtId="176" fontId="1" fillId="7" borderId="212" xfId="0" applyNumberFormat="1" applyFont="1" applyFill="1" applyBorder="1" applyAlignment="1" applyProtection="1">
      <alignment horizontal="center" vertical="center"/>
      <protection locked="0"/>
    </xf>
    <xf numFmtId="176" fontId="8" fillId="8" borderId="210" xfId="0" applyNumberFormat="1" applyFont="1" applyFill="1" applyBorder="1" applyAlignment="1" applyProtection="1">
      <alignment horizontal="center" vertical="center"/>
      <protection hidden="1"/>
    </xf>
    <xf numFmtId="0" fontId="11" fillId="0" borderId="193" xfId="0" applyFont="1" applyFill="1" applyBorder="1" applyAlignment="1" applyProtection="1">
      <alignment horizontal="right" indent="1"/>
      <protection hidden="1"/>
    </xf>
    <xf numFmtId="0" fontId="2" fillId="0" borderId="193" xfId="0" applyFont="1" applyFill="1" applyBorder="1" applyAlignment="1" applyProtection="1">
      <alignment horizontal="center" vertical="center"/>
      <protection hidden="1"/>
    </xf>
    <xf numFmtId="193" fontId="2" fillId="0" borderId="193" xfId="0" applyNumberFormat="1" applyFont="1" applyFill="1" applyBorder="1" applyAlignment="1" applyProtection="1">
      <alignment horizontal="center" vertical="center"/>
      <protection hidden="1"/>
    </xf>
    <xf numFmtId="172" fontId="9" fillId="2" borderId="61" xfId="0" applyNumberFormat="1" applyFont="1" applyFill="1" applyBorder="1" applyAlignment="1" applyProtection="1">
      <alignment horizontal="center" vertical="center"/>
      <protection hidden="1"/>
    </xf>
    <xf numFmtId="172" fontId="9" fillId="2" borderId="62" xfId="0" applyNumberFormat="1" applyFont="1" applyFill="1" applyBorder="1" applyAlignment="1" applyProtection="1">
      <alignment horizontal="center" vertical="center"/>
      <protection hidden="1"/>
    </xf>
    <xf numFmtId="0" fontId="11" fillId="0" borderId="218" xfId="0" applyFont="1" applyFill="1" applyBorder="1" applyAlignment="1" applyProtection="1">
      <alignment horizontal="center" vertical="center"/>
      <protection hidden="1"/>
    </xf>
    <xf numFmtId="0" fontId="0" fillId="0" borderId="0" xfId="0" applyFill="1" applyProtection="1">
      <protection hidden="1"/>
    </xf>
    <xf numFmtId="0" fontId="8" fillId="0" borderId="221" xfId="0" applyFont="1" applyFill="1" applyBorder="1" applyAlignment="1" applyProtection="1">
      <alignment horizontal="right" indent="1"/>
      <protection hidden="1"/>
    </xf>
    <xf numFmtId="0" fontId="8" fillId="0" borderId="224" xfId="0" applyFont="1" applyFill="1" applyBorder="1" applyAlignment="1" applyProtection="1">
      <alignment horizontal="right" indent="1"/>
      <protection hidden="1"/>
    </xf>
    <xf numFmtId="0" fontId="8" fillId="0" borderId="227" xfId="0" applyFont="1" applyFill="1" applyBorder="1" applyAlignment="1" applyProtection="1">
      <alignment horizontal="right" indent="1"/>
      <protection hidden="1"/>
    </xf>
    <xf numFmtId="0" fontId="1" fillId="0" borderId="222" xfId="0" applyNumberFormat="1" applyFont="1" applyFill="1" applyBorder="1" applyAlignment="1" applyProtection="1">
      <alignment horizontal="center" vertical="center"/>
      <protection hidden="1"/>
    </xf>
    <xf numFmtId="0" fontId="1" fillId="0" borderId="222" xfId="0" applyFont="1" applyFill="1" applyBorder="1" applyAlignment="1" applyProtection="1">
      <alignment horizontal="center" vertical="center"/>
      <protection hidden="1"/>
    </xf>
    <xf numFmtId="193" fontId="1" fillId="0" borderId="223" xfId="0" applyNumberFormat="1" applyFont="1" applyFill="1" applyBorder="1" applyAlignment="1" applyProtection="1">
      <alignment horizontal="center" vertical="center"/>
      <protection hidden="1"/>
    </xf>
    <xf numFmtId="0" fontId="1" fillId="0" borderId="225" xfId="0" applyFont="1" applyFill="1" applyBorder="1" applyAlignment="1" applyProtection="1">
      <alignment horizontal="center" vertical="center"/>
      <protection hidden="1"/>
    </xf>
    <xf numFmtId="193" fontId="1" fillId="0" borderId="226" xfId="0" applyNumberFormat="1" applyFont="1" applyFill="1" applyBorder="1" applyAlignment="1" applyProtection="1">
      <alignment horizontal="center" vertical="center"/>
      <protection hidden="1"/>
    </xf>
    <xf numFmtId="0" fontId="1" fillId="0" borderId="228" xfId="0" applyFont="1" applyFill="1" applyBorder="1" applyAlignment="1" applyProtection="1">
      <alignment horizontal="center" vertical="center"/>
      <protection hidden="1"/>
    </xf>
    <xf numFmtId="193" fontId="1" fillId="0" borderId="229" xfId="0" applyNumberFormat="1" applyFont="1" applyFill="1" applyBorder="1" applyAlignment="1" applyProtection="1">
      <alignment horizontal="center" vertical="center"/>
      <protection hidden="1"/>
    </xf>
    <xf numFmtId="0" fontId="8" fillId="0" borderId="218" xfId="0" applyFont="1" applyFill="1" applyBorder="1" applyAlignment="1" applyProtection="1">
      <alignment horizontal="center" vertical="center"/>
      <protection hidden="1"/>
    </xf>
    <xf numFmtId="0" fontId="8" fillId="0" borderId="219" xfId="0" applyFont="1" applyFill="1" applyBorder="1" applyAlignment="1" applyProtection="1">
      <alignment horizontal="center" vertical="center"/>
      <protection hidden="1"/>
    </xf>
    <xf numFmtId="0" fontId="8" fillId="0" borderId="220" xfId="0" applyFont="1" applyFill="1" applyBorder="1" applyAlignment="1" applyProtection="1">
      <alignment horizontal="center" vertical="center"/>
      <protection hidden="1"/>
    </xf>
    <xf numFmtId="0" fontId="1" fillId="0" borderId="0" xfId="0" applyFont="1" applyFill="1" applyBorder="1" applyAlignment="1" applyProtection="1">
      <alignment horizontal="left" vertical="center"/>
      <protection hidden="1"/>
    </xf>
    <xf numFmtId="0" fontId="1" fillId="0" borderId="0" xfId="0" applyFont="1" applyFill="1" applyBorder="1" applyAlignment="1" applyProtection="1">
      <alignment vertical="center"/>
      <protection hidden="1"/>
    </xf>
    <xf numFmtId="191" fontId="1" fillId="0" borderId="0" xfId="0" applyNumberFormat="1" applyFont="1" applyFill="1" applyBorder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  <protection locked="0" hidden="1"/>
    </xf>
    <xf numFmtId="169" fontId="1" fillId="0" borderId="0" xfId="1" applyNumberFormat="1" applyFont="1" applyAlignment="1" applyProtection="1">
      <alignment horizontal="center"/>
      <protection locked="0"/>
    </xf>
    <xf numFmtId="169" fontId="1" fillId="0" borderId="0" xfId="1" applyNumberFormat="1" applyFont="1" applyAlignment="1" applyProtection="1">
      <alignment horizontal="center"/>
      <protection locked="0" hidden="1"/>
    </xf>
    <xf numFmtId="0" fontId="2" fillId="0" borderId="0" xfId="0" applyFont="1" applyFill="1" applyBorder="1" applyAlignment="1" applyProtection="1">
      <alignment horizontal="center" vertical="center"/>
      <protection hidden="1"/>
    </xf>
    <xf numFmtId="193" fontId="2" fillId="0" borderId="0" xfId="0" applyNumberFormat="1" applyFont="1" applyFill="1" applyBorder="1" applyAlignment="1" applyProtection="1">
      <alignment horizontal="center" vertical="center"/>
      <protection hidden="1"/>
    </xf>
    <xf numFmtId="0" fontId="1" fillId="2" borderId="12" xfId="0" applyFont="1" applyFill="1" applyBorder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center" vertical="center"/>
      <protection locked="0" hidden="1"/>
    </xf>
    <xf numFmtId="0" fontId="1" fillId="0" borderId="214" xfId="0" applyFont="1" applyBorder="1" applyAlignment="1" applyProtection="1">
      <alignment horizontal="center"/>
      <protection locked="0" hidden="1"/>
    </xf>
    <xf numFmtId="169" fontId="1" fillId="0" borderId="215" xfId="1" applyNumberFormat="1" applyFont="1" applyBorder="1" applyAlignment="1" applyProtection="1">
      <alignment horizontal="center"/>
      <protection locked="0" hidden="1"/>
    </xf>
    <xf numFmtId="0" fontId="1" fillId="0" borderId="216" xfId="0" applyFont="1" applyBorder="1" applyAlignment="1" applyProtection="1">
      <alignment horizontal="center"/>
      <protection locked="0" hidden="1"/>
    </xf>
    <xf numFmtId="169" fontId="1" fillId="0" borderId="217" xfId="1" applyNumberFormat="1" applyFont="1" applyBorder="1" applyAlignment="1" applyProtection="1">
      <alignment horizontal="center"/>
      <protection locked="0" hidden="1"/>
    </xf>
    <xf numFmtId="0" fontId="0" fillId="0" borderId="0" xfId="0" applyBorder="1" applyAlignment="1" applyProtection="1">
      <alignment horizontal="center" vertical="center"/>
    </xf>
    <xf numFmtId="0" fontId="0" fillId="0" borderId="0" xfId="0" applyBorder="1" applyAlignment="1" applyProtection="1">
      <alignment vertical="center"/>
    </xf>
    <xf numFmtId="1" fontId="0" fillId="0" borderId="0" xfId="0" applyNumberFormat="1" applyBorder="1" applyAlignment="1" applyProtection="1">
      <alignment vertical="center"/>
    </xf>
    <xf numFmtId="1" fontId="2" fillId="0" borderId="94" xfId="0" applyNumberFormat="1" applyFont="1" applyFill="1" applyBorder="1" applyAlignment="1" applyProtection="1">
      <alignment horizontal="center" vertical="center"/>
    </xf>
    <xf numFmtId="49" fontId="0" fillId="0" borderId="0" xfId="0" applyNumberFormat="1" applyBorder="1" applyAlignment="1" applyProtection="1">
      <alignment vertical="center"/>
    </xf>
    <xf numFmtId="49" fontId="2" fillId="0" borderId="94" xfId="0" applyNumberFormat="1" applyFont="1" applyFill="1" applyBorder="1" applyAlignment="1" applyProtection="1">
      <alignment horizontal="center" vertical="center"/>
    </xf>
    <xf numFmtId="0" fontId="2" fillId="0" borderId="94" xfId="0" applyNumberFormat="1" applyFont="1" applyFill="1" applyBorder="1" applyAlignment="1" applyProtection="1">
      <alignment horizontal="left" vertical="center"/>
    </xf>
    <xf numFmtId="2" fontId="1" fillId="0" borderId="0" xfId="0" applyNumberFormat="1" applyFont="1" applyAlignment="1" applyProtection="1">
      <alignment horizontal="center" vertical="center"/>
    </xf>
    <xf numFmtId="0" fontId="1" fillId="7" borderId="27" xfId="0" applyFont="1" applyFill="1" applyBorder="1" applyAlignment="1" applyProtection="1">
      <alignment horizontal="center" vertical="center"/>
    </xf>
    <xf numFmtId="16" fontId="1" fillId="7" borderId="27" xfId="0" applyNumberFormat="1" applyFont="1" applyFill="1" applyBorder="1" applyAlignment="1" applyProtection="1">
      <alignment horizontal="center" vertical="center"/>
    </xf>
    <xf numFmtId="0" fontId="1" fillId="18" borderId="27" xfId="0" applyFont="1" applyFill="1" applyBorder="1" applyAlignment="1" applyProtection="1">
      <alignment horizontal="center" vertical="center"/>
    </xf>
    <xf numFmtId="0" fontId="1" fillId="17" borderId="27" xfId="0" applyFont="1" applyFill="1" applyBorder="1" applyAlignment="1" applyProtection="1">
      <alignment horizontal="center" vertical="center"/>
    </xf>
    <xf numFmtId="0" fontId="1" fillId="19" borderId="30" xfId="0" applyFont="1" applyFill="1" applyBorder="1" applyAlignment="1" applyProtection="1">
      <alignment horizontal="center" vertical="center"/>
    </xf>
    <xf numFmtId="0" fontId="0" fillId="0" borderId="0" xfId="0" applyAlignment="1" applyProtection="1">
      <alignment horizontal="center"/>
    </xf>
    <xf numFmtId="0" fontId="1" fillId="0" borderId="0" xfId="0" applyFont="1" applyAlignment="1" applyProtection="1">
      <alignment horizontal="center"/>
    </xf>
    <xf numFmtId="0" fontId="1" fillId="8" borderId="239" xfId="0" applyFont="1" applyFill="1" applyBorder="1" applyAlignment="1" applyProtection="1">
      <alignment horizontal="center" vertical="center"/>
      <protection hidden="1"/>
    </xf>
    <xf numFmtId="0" fontId="2" fillId="24" borderId="240" xfId="0" applyFont="1" applyFill="1" applyBorder="1" applyAlignment="1" applyProtection="1">
      <alignment horizontal="center" vertical="center"/>
      <protection hidden="1"/>
    </xf>
    <xf numFmtId="0" fontId="2" fillId="24" borderId="241" xfId="0" applyFont="1" applyFill="1" applyBorder="1" applyAlignment="1" applyProtection="1">
      <alignment horizontal="center" vertical="center"/>
      <protection hidden="1"/>
    </xf>
    <xf numFmtId="0" fontId="2" fillId="2" borderId="234" xfId="0" applyFont="1" applyFill="1" applyBorder="1" applyAlignment="1" applyProtection="1">
      <alignment horizontal="left" vertical="center"/>
      <protection hidden="1"/>
    </xf>
    <xf numFmtId="0" fontId="1" fillId="2" borderId="242" xfId="0" applyFont="1" applyFill="1" applyBorder="1" applyAlignment="1" applyProtection="1">
      <alignment vertical="center"/>
      <protection hidden="1"/>
    </xf>
    <xf numFmtId="0" fontId="1" fillId="2" borderId="101" xfId="0" applyFont="1" applyFill="1" applyBorder="1" applyAlignment="1" applyProtection="1">
      <alignment vertical="center"/>
      <protection hidden="1"/>
    </xf>
    <xf numFmtId="0" fontId="2" fillId="2" borderId="244" xfId="0" applyFont="1" applyFill="1" applyBorder="1" applyAlignment="1" applyProtection="1">
      <alignment horizontal="center" vertical="center"/>
      <protection hidden="1"/>
    </xf>
    <xf numFmtId="191" fontId="1" fillId="7" borderId="245" xfId="0" applyNumberFormat="1" applyFont="1" applyFill="1" applyBorder="1" applyAlignment="1" applyProtection="1">
      <alignment horizontal="center" vertical="center"/>
      <protection locked="0"/>
    </xf>
    <xf numFmtId="191" fontId="1" fillId="7" borderId="246" xfId="0" applyNumberFormat="1" applyFont="1" applyFill="1" applyBorder="1" applyAlignment="1" applyProtection="1">
      <alignment horizontal="center" vertical="center"/>
      <protection locked="0"/>
    </xf>
    <xf numFmtId="191" fontId="1" fillId="2" borderId="247" xfId="0" applyNumberFormat="1" applyFont="1" applyFill="1" applyBorder="1" applyAlignment="1" applyProtection="1">
      <alignment horizontal="center" vertical="center"/>
      <protection hidden="1"/>
    </xf>
    <xf numFmtId="0" fontId="2" fillId="24" borderId="243" xfId="0" applyFont="1" applyFill="1" applyBorder="1" applyAlignment="1" applyProtection="1">
      <alignment horizontal="center" vertical="center"/>
      <protection hidden="1"/>
    </xf>
    <xf numFmtId="0" fontId="2" fillId="24" borderId="236" xfId="0" applyFont="1" applyFill="1" applyBorder="1" applyAlignment="1" applyProtection="1">
      <alignment horizontal="center" vertical="center"/>
      <protection hidden="1"/>
    </xf>
    <xf numFmtId="0" fontId="2" fillId="24" borderId="238" xfId="0" applyFont="1" applyFill="1" applyBorder="1" applyAlignment="1" applyProtection="1">
      <alignment horizontal="center" vertical="center"/>
      <protection hidden="1"/>
    </xf>
    <xf numFmtId="0" fontId="2" fillId="2" borderId="10" xfId="0" applyFont="1" applyFill="1" applyBorder="1" applyAlignment="1" applyProtection="1">
      <alignment horizontal="left" vertical="center" indent="1"/>
      <protection hidden="1"/>
    </xf>
    <xf numFmtId="0" fontId="1" fillId="2" borderId="2" xfId="0" applyFont="1" applyFill="1" applyBorder="1" applyAlignment="1" applyProtection="1">
      <alignment horizontal="left" vertical="center" indent="1"/>
      <protection hidden="1"/>
    </xf>
    <xf numFmtId="0" fontId="1" fillId="2" borderId="4" xfId="0" applyFont="1" applyFill="1" applyBorder="1" applyAlignment="1" applyProtection="1">
      <alignment horizontal="left" vertical="center" indent="1"/>
      <protection hidden="1"/>
    </xf>
    <xf numFmtId="0" fontId="1" fillId="2" borderId="7" xfId="0" applyFont="1" applyFill="1" applyBorder="1" applyAlignment="1" applyProtection="1">
      <alignment horizontal="left" vertical="center" indent="1"/>
      <protection hidden="1"/>
    </xf>
    <xf numFmtId="0" fontId="1" fillId="2" borderId="21" xfId="0" applyFont="1" applyFill="1" applyBorder="1" applyAlignment="1" applyProtection="1">
      <alignment horizontal="left" vertical="center" indent="1"/>
      <protection hidden="1"/>
    </xf>
    <xf numFmtId="0" fontId="1" fillId="2" borderId="25" xfId="0" applyFont="1" applyFill="1" applyBorder="1" applyAlignment="1" applyProtection="1">
      <alignment horizontal="left" vertical="center" indent="1"/>
      <protection hidden="1"/>
    </xf>
    <xf numFmtId="14" fontId="1" fillId="7" borderId="3" xfId="0" applyNumberFormat="1" applyFont="1" applyFill="1" applyBorder="1" applyAlignment="1" applyProtection="1">
      <alignment horizontal="left" vertical="center" indent="1"/>
      <protection locked="0"/>
    </xf>
    <xf numFmtId="14" fontId="1" fillId="7" borderId="6" xfId="0" applyNumberFormat="1" applyFont="1" applyFill="1" applyBorder="1" applyAlignment="1" applyProtection="1">
      <alignment horizontal="left" vertical="center" indent="1"/>
      <protection locked="0"/>
    </xf>
    <xf numFmtId="14" fontId="1" fillId="7" borderId="9" xfId="0" applyNumberFormat="1" applyFont="1" applyFill="1" applyBorder="1" applyAlignment="1" applyProtection="1">
      <alignment horizontal="left" vertical="center" indent="1"/>
      <protection locked="0"/>
    </xf>
    <xf numFmtId="0" fontId="1" fillId="2" borderId="166" xfId="0" applyFont="1" applyFill="1" applyBorder="1" applyAlignment="1" applyProtection="1">
      <alignment horizontal="left" vertical="center" indent="1"/>
      <protection hidden="1"/>
    </xf>
    <xf numFmtId="0" fontId="1" fillId="2" borderId="168" xfId="0" applyFont="1" applyFill="1" applyBorder="1" applyAlignment="1" applyProtection="1">
      <alignment horizontal="left" vertical="center" indent="1"/>
      <protection hidden="1"/>
    </xf>
    <xf numFmtId="0" fontId="1" fillId="2" borderId="33" xfId="0" applyFont="1" applyFill="1" applyBorder="1" applyAlignment="1" applyProtection="1">
      <alignment horizontal="left" vertical="center" indent="1"/>
      <protection hidden="1"/>
    </xf>
    <xf numFmtId="0" fontId="1" fillId="7" borderId="33" xfId="0" applyFont="1" applyFill="1" applyBorder="1" applyAlignment="1" applyProtection="1">
      <alignment horizontal="left" vertical="center" indent="1"/>
    </xf>
    <xf numFmtId="0" fontId="1" fillId="7" borderId="34" xfId="0" applyFont="1" applyFill="1" applyBorder="1" applyAlignment="1" applyProtection="1">
      <alignment horizontal="left" vertical="center" indent="1"/>
    </xf>
    <xf numFmtId="0" fontId="2" fillId="2" borderId="32" xfId="0" applyFont="1" applyFill="1" applyBorder="1" applyAlignment="1" applyProtection="1">
      <alignment horizontal="left" vertical="center" indent="1"/>
      <protection hidden="1"/>
    </xf>
    <xf numFmtId="0" fontId="2" fillId="23" borderId="10" xfId="0" applyFont="1" applyFill="1" applyBorder="1" applyAlignment="1" applyProtection="1">
      <alignment horizontal="left" vertical="center" indent="1"/>
      <protection hidden="1"/>
    </xf>
    <xf numFmtId="0" fontId="1" fillId="2" borderId="35" xfId="0" applyFont="1" applyFill="1" applyBorder="1" applyAlignment="1" applyProtection="1">
      <alignment horizontal="left" vertical="center" indent="1"/>
      <protection hidden="1"/>
    </xf>
    <xf numFmtId="0" fontId="1" fillId="2" borderId="37" xfId="0" applyFont="1" applyFill="1" applyBorder="1" applyAlignment="1" applyProtection="1">
      <alignment horizontal="left" vertical="center" indent="1"/>
      <protection hidden="1"/>
    </xf>
    <xf numFmtId="0" fontId="1" fillId="2" borderId="39" xfId="0" applyFont="1" applyFill="1" applyBorder="1" applyAlignment="1" applyProtection="1">
      <alignment horizontal="left" vertical="center" indent="1"/>
      <protection hidden="1"/>
    </xf>
    <xf numFmtId="14" fontId="1" fillId="8" borderId="239" xfId="0" applyNumberFormat="1" applyFont="1" applyFill="1" applyBorder="1" applyAlignment="1" applyProtection="1">
      <alignment horizontal="center" vertical="center"/>
      <protection hidden="1"/>
    </xf>
    <xf numFmtId="1" fontId="16" fillId="0" borderId="0" xfId="0" applyNumberFormat="1" applyFont="1" applyFill="1" applyAlignment="1" applyProtection="1">
      <alignment horizontal="center" vertical="center"/>
      <protection hidden="1"/>
    </xf>
    <xf numFmtId="0" fontId="1" fillId="2" borderId="248" xfId="0" applyFont="1" applyFill="1" applyBorder="1" applyAlignment="1" applyProtection="1">
      <alignment horizontal="left" vertical="center"/>
      <protection hidden="1"/>
    </xf>
    <xf numFmtId="167" fontId="10" fillId="2" borderId="249" xfId="0" applyNumberFormat="1" applyFont="1" applyFill="1" applyBorder="1" applyAlignment="1" applyProtection="1">
      <alignment horizontal="right" vertical="center"/>
      <protection hidden="1"/>
    </xf>
    <xf numFmtId="171" fontId="8" fillId="2" borderId="140" xfId="0" applyNumberFormat="1" applyFont="1" applyFill="1" applyBorder="1" applyAlignment="1" applyProtection="1">
      <alignment horizontal="right" vertical="center" indent="1"/>
      <protection hidden="1"/>
    </xf>
    <xf numFmtId="171" fontId="8" fillId="2" borderId="142" xfId="0" applyNumberFormat="1" applyFont="1" applyFill="1" applyBorder="1" applyAlignment="1" applyProtection="1">
      <alignment horizontal="right" vertical="center" indent="1"/>
      <protection hidden="1"/>
    </xf>
    <xf numFmtId="171" fontId="8" fillId="2" borderId="145" xfId="0" applyNumberFormat="1" applyFont="1" applyFill="1" applyBorder="1" applyAlignment="1" applyProtection="1">
      <alignment horizontal="right" vertical="center" indent="1"/>
      <protection hidden="1"/>
    </xf>
    <xf numFmtId="171" fontId="11" fillId="2" borderId="143" xfId="0" applyNumberFormat="1" applyFont="1" applyFill="1" applyBorder="1" applyAlignment="1" applyProtection="1">
      <alignment horizontal="right" vertical="center" indent="1"/>
      <protection hidden="1"/>
    </xf>
    <xf numFmtId="188" fontId="1" fillId="7" borderId="253" xfId="0" applyNumberFormat="1" applyFont="1" applyFill="1" applyBorder="1" applyAlignment="1" applyProtection="1">
      <alignment horizontal="center" vertical="center"/>
      <protection locked="0"/>
    </xf>
    <xf numFmtId="188" fontId="1" fillId="7" borderId="254" xfId="0" applyNumberFormat="1" applyFont="1" applyFill="1" applyBorder="1" applyAlignment="1" applyProtection="1">
      <alignment horizontal="center" vertical="center"/>
      <protection locked="0"/>
    </xf>
    <xf numFmtId="188" fontId="1" fillId="7" borderId="255" xfId="0" applyNumberFormat="1" applyFont="1" applyFill="1" applyBorder="1" applyAlignment="1" applyProtection="1">
      <alignment horizontal="center" vertical="center"/>
      <protection locked="0"/>
    </xf>
    <xf numFmtId="0" fontId="18" fillId="0" borderId="0" xfId="0" applyNumberFormat="1" applyFont="1" applyFill="1" applyBorder="1" applyAlignment="1" applyProtection="1">
      <alignment horizontal="center" vertical="center"/>
      <protection hidden="1"/>
    </xf>
    <xf numFmtId="0" fontId="18" fillId="0" borderId="0" xfId="0" applyFont="1" applyFill="1" applyBorder="1" applyAlignment="1" applyProtection="1">
      <alignment horizontal="center" vertical="center"/>
      <protection hidden="1"/>
    </xf>
    <xf numFmtId="193" fontId="18" fillId="0" borderId="0" xfId="0" applyNumberFormat="1" applyFont="1" applyFill="1" applyBorder="1" applyAlignment="1" applyProtection="1">
      <alignment horizontal="center" vertical="center"/>
      <protection hidden="1"/>
    </xf>
    <xf numFmtId="0" fontId="11" fillId="0" borderId="0" xfId="0" applyFont="1" applyFill="1" applyBorder="1" applyAlignment="1" applyProtection="1">
      <alignment horizontal="center" vertical="center"/>
      <protection hidden="1"/>
    </xf>
    <xf numFmtId="0" fontId="8" fillId="0" borderId="0" xfId="0" applyFont="1" applyFill="1" applyBorder="1" applyAlignment="1" applyProtection="1">
      <alignment horizontal="right" indent="1"/>
      <protection hidden="1"/>
    </xf>
    <xf numFmtId="0" fontId="1" fillId="0" borderId="0" xfId="0" applyNumberFormat="1" applyFont="1" applyFill="1" applyBorder="1" applyAlignment="1" applyProtection="1">
      <alignment horizontal="center" vertical="center"/>
      <protection hidden="1"/>
    </xf>
    <xf numFmtId="0" fontId="1" fillId="0" borderId="0" xfId="0" applyFont="1" applyFill="1" applyBorder="1" applyAlignment="1" applyProtection="1">
      <alignment horizontal="center" vertical="center"/>
      <protection hidden="1"/>
    </xf>
    <xf numFmtId="193" fontId="1" fillId="0" borderId="0" xfId="0" applyNumberFormat="1" applyFont="1" applyFill="1" applyBorder="1" applyAlignment="1" applyProtection="1">
      <alignment horizontal="center" vertical="center"/>
      <protection hidden="1"/>
    </xf>
    <xf numFmtId="0" fontId="1" fillId="2" borderId="262" xfId="0" applyFont="1" applyFill="1" applyBorder="1" applyAlignment="1" applyProtection="1">
      <alignment horizontal="center" vertical="center"/>
      <protection hidden="1"/>
    </xf>
    <xf numFmtId="0" fontId="1" fillId="2" borderId="61" xfId="0" applyFont="1" applyFill="1" applyBorder="1" applyAlignment="1" applyProtection="1">
      <alignment horizontal="left" vertical="center"/>
      <protection hidden="1"/>
    </xf>
    <xf numFmtId="0" fontId="1" fillId="23" borderId="61" xfId="0" applyFont="1" applyFill="1" applyBorder="1" applyAlignment="1" applyProtection="1">
      <alignment horizontal="center" vertical="center"/>
      <protection hidden="1"/>
    </xf>
    <xf numFmtId="0" fontId="0" fillId="24" borderId="0" xfId="0" applyFill="1" applyAlignment="1" applyProtection="1">
      <alignment horizontal="center"/>
      <protection hidden="1"/>
    </xf>
    <xf numFmtId="0" fontId="1" fillId="2" borderId="0" xfId="0" applyFont="1" applyFill="1" applyBorder="1" applyAlignment="1" applyProtection="1">
      <alignment vertical="center"/>
      <protection hidden="1"/>
    </xf>
    <xf numFmtId="0" fontId="1" fillId="2" borderId="0" xfId="0" applyFont="1" applyFill="1" applyBorder="1" applyAlignment="1" applyProtection="1">
      <alignment horizontal="right" vertical="center"/>
      <protection hidden="1"/>
    </xf>
    <xf numFmtId="0" fontId="1" fillId="2" borderId="267" xfId="0" applyFont="1" applyFill="1" applyBorder="1" applyAlignment="1" applyProtection="1">
      <alignment horizontal="right" vertical="center"/>
      <protection hidden="1"/>
    </xf>
    <xf numFmtId="171" fontId="2" fillId="2" borderId="160" xfId="0" applyNumberFormat="1" applyFont="1" applyFill="1" applyBorder="1" applyAlignment="1" applyProtection="1">
      <alignment horizontal="center" wrapText="1"/>
      <protection hidden="1"/>
    </xf>
    <xf numFmtId="173" fontId="2" fillId="2" borderId="160" xfId="0" applyNumberFormat="1" applyFont="1" applyFill="1" applyBorder="1" applyAlignment="1" applyProtection="1">
      <alignment horizontal="center"/>
      <protection hidden="1"/>
    </xf>
    <xf numFmtId="166" fontId="2" fillId="2" borderId="160" xfId="0" applyNumberFormat="1" applyFont="1" applyFill="1" applyBorder="1" applyAlignment="1" applyProtection="1">
      <alignment horizontal="center"/>
      <protection hidden="1"/>
    </xf>
    <xf numFmtId="9" fontId="2" fillId="2" borderId="263" xfId="0" applyNumberFormat="1" applyFont="1" applyFill="1" applyBorder="1" applyAlignment="1" applyProtection="1">
      <alignment horizontal="center"/>
      <protection hidden="1"/>
    </xf>
    <xf numFmtId="166" fontId="2" fillId="2" borderId="263" xfId="0" applyNumberFormat="1" applyFont="1" applyFill="1" applyBorder="1" applyAlignment="1" applyProtection="1">
      <alignment horizontal="center"/>
      <protection hidden="1"/>
    </xf>
    <xf numFmtId="0" fontId="2" fillId="7" borderId="160" xfId="0" applyFont="1" applyFill="1" applyBorder="1" applyAlignment="1" applyProtection="1">
      <alignment horizontal="center"/>
      <protection hidden="1"/>
    </xf>
    <xf numFmtId="171" fontId="2" fillId="7" borderId="269" xfId="0" applyNumberFormat="1" applyFont="1" applyFill="1" applyBorder="1" applyAlignment="1" applyProtection="1">
      <alignment horizontal="center" wrapText="1"/>
      <protection hidden="1"/>
    </xf>
    <xf numFmtId="171" fontId="2" fillId="7" borderId="270" xfId="0" applyNumberFormat="1" applyFont="1" applyFill="1" applyBorder="1" applyAlignment="1" applyProtection="1">
      <alignment horizontal="center" wrapText="1"/>
      <protection hidden="1"/>
    </xf>
    <xf numFmtId="20" fontId="2" fillId="7" borderId="270" xfId="0" applyNumberFormat="1" applyFont="1" applyFill="1" applyBorder="1" applyAlignment="1" applyProtection="1">
      <alignment horizontal="center" wrapText="1"/>
      <protection hidden="1"/>
    </xf>
    <xf numFmtId="0" fontId="2" fillId="2" borderId="266" xfId="0" applyFont="1" applyFill="1" applyBorder="1" applyAlignment="1" applyProtection="1">
      <alignment horizontal="center"/>
      <protection hidden="1"/>
    </xf>
    <xf numFmtId="172" fontId="9" fillId="2" borderId="252" xfId="0" applyNumberFormat="1" applyFont="1" applyFill="1" applyBorder="1" applyAlignment="1" applyProtection="1">
      <alignment horizontal="center" vertical="center"/>
      <protection hidden="1"/>
    </xf>
    <xf numFmtId="172" fontId="9" fillId="2" borderId="262" xfId="0" applyNumberFormat="1" applyFont="1" applyFill="1" applyBorder="1" applyAlignment="1" applyProtection="1">
      <alignment horizontal="center" vertical="center"/>
      <protection hidden="1"/>
    </xf>
    <xf numFmtId="172" fontId="9" fillId="2" borderId="265" xfId="0" applyNumberFormat="1" applyFont="1" applyFill="1" applyBorder="1" applyAlignment="1" applyProtection="1">
      <alignment horizontal="center" vertical="center"/>
      <protection hidden="1"/>
    </xf>
    <xf numFmtId="20" fontId="2" fillId="7" borderId="269" xfId="0" applyNumberFormat="1" applyFont="1" applyFill="1" applyBorder="1" applyAlignment="1" applyProtection="1">
      <alignment horizontal="center" wrapText="1"/>
      <protection hidden="1"/>
    </xf>
    <xf numFmtId="171" fontId="2" fillId="7" borderId="266" xfId="0" applyNumberFormat="1" applyFont="1" applyFill="1" applyBorder="1" applyAlignment="1" applyProtection="1">
      <alignment horizontal="center" wrapText="1"/>
      <protection hidden="1"/>
    </xf>
    <xf numFmtId="171" fontId="2" fillId="7" borderId="267" xfId="0" applyNumberFormat="1" applyFont="1" applyFill="1" applyBorder="1" applyAlignment="1" applyProtection="1">
      <alignment horizontal="center" wrapText="1"/>
      <protection hidden="1"/>
    </xf>
    <xf numFmtId="171" fontId="2" fillId="7" borderId="0" xfId="0" applyNumberFormat="1" applyFont="1" applyFill="1" applyBorder="1" applyAlignment="1" applyProtection="1">
      <alignment horizontal="center" wrapText="1"/>
      <protection hidden="1"/>
    </xf>
    <xf numFmtId="171" fontId="0" fillId="9" borderId="263" xfId="0" applyNumberFormat="1" applyFill="1" applyBorder="1" applyAlignment="1" applyProtection="1">
      <alignment horizontal="center" vertical="center"/>
      <protection hidden="1"/>
    </xf>
    <xf numFmtId="20" fontId="2" fillId="7" borderId="271" xfId="0" applyNumberFormat="1" applyFont="1" applyFill="1" applyBorder="1" applyAlignment="1" applyProtection="1">
      <alignment horizontal="center" wrapText="1"/>
      <protection hidden="1"/>
    </xf>
    <xf numFmtId="166" fontId="11" fillId="2" borderId="263" xfId="0" applyNumberFormat="1" applyFont="1" applyFill="1" applyBorder="1" applyAlignment="1" applyProtection="1">
      <alignment horizontal="center" wrapText="1"/>
      <protection hidden="1"/>
    </xf>
    <xf numFmtId="185" fontId="1" fillId="8" borderId="119" xfId="0" applyNumberFormat="1" applyFont="1" applyFill="1" applyBorder="1" applyAlignment="1" applyProtection="1">
      <alignment horizontal="center" vertical="center"/>
      <protection locked="0"/>
    </xf>
    <xf numFmtId="185" fontId="1" fillId="8" borderId="120" xfId="0" applyNumberFormat="1" applyFont="1" applyFill="1" applyBorder="1" applyAlignment="1" applyProtection="1">
      <alignment horizontal="center" vertical="center"/>
      <protection locked="0"/>
    </xf>
    <xf numFmtId="0" fontId="2" fillId="5" borderId="118" xfId="0" applyFont="1" applyFill="1" applyBorder="1" applyAlignment="1" applyProtection="1">
      <alignment horizontal="center" vertical="center"/>
      <protection hidden="1"/>
    </xf>
    <xf numFmtId="0" fontId="19" fillId="0" borderId="0" xfId="0" applyFont="1"/>
    <xf numFmtId="20" fontId="1" fillId="0" borderId="0" xfId="0" applyNumberFormat="1" applyFont="1" applyProtection="1">
      <protection hidden="1"/>
    </xf>
    <xf numFmtId="0" fontId="0" fillId="24" borderId="0" xfId="0" applyFill="1" applyProtection="1">
      <protection hidden="1"/>
    </xf>
    <xf numFmtId="0" fontId="8" fillId="2" borderId="62" xfId="0" applyFont="1" applyFill="1" applyBorder="1" applyAlignment="1" applyProtection="1">
      <alignment horizontal="center"/>
      <protection hidden="1"/>
    </xf>
    <xf numFmtId="0" fontId="11" fillId="2" borderId="62" xfId="0" applyFont="1" applyFill="1" applyBorder="1" applyAlignment="1" applyProtection="1">
      <alignment horizontal="center"/>
      <protection hidden="1"/>
    </xf>
    <xf numFmtId="49" fontId="11" fillId="2" borderId="262" xfId="0" applyNumberFormat="1" applyFont="1" applyFill="1" applyBorder="1" applyAlignment="1" applyProtection="1">
      <alignment horizontal="center" vertical="center"/>
      <protection hidden="1"/>
    </xf>
    <xf numFmtId="0" fontId="2" fillId="5" borderId="117" xfId="0" applyFont="1" applyFill="1" applyBorder="1" applyAlignment="1" applyProtection="1">
      <alignment horizontal="center" vertical="center"/>
      <protection hidden="1"/>
    </xf>
    <xf numFmtId="9" fontId="2" fillId="2" borderId="160" xfId="0" applyNumberFormat="1" applyFont="1" applyFill="1" applyBorder="1" applyAlignment="1" applyProtection="1">
      <alignment horizontal="center"/>
      <protection hidden="1"/>
    </xf>
    <xf numFmtId="194" fontId="1" fillId="8" borderId="115" xfId="0" applyNumberFormat="1" applyFont="1" applyFill="1" applyBorder="1" applyAlignment="1" applyProtection="1">
      <alignment horizontal="center" vertical="center"/>
      <protection locked="0"/>
    </xf>
    <xf numFmtId="0" fontId="11" fillId="2" borderId="0" xfId="0" applyNumberFormat="1" applyFont="1" applyFill="1" applyBorder="1" applyAlignment="1" applyProtection="1">
      <alignment horizontal="center" vertical="center"/>
      <protection hidden="1"/>
    </xf>
    <xf numFmtId="166" fontId="2" fillId="2" borderId="263" xfId="0" applyNumberFormat="1" applyFont="1" applyFill="1" applyBorder="1" applyAlignment="1" applyProtection="1">
      <alignment horizontal="center" wrapText="1"/>
      <protection hidden="1"/>
    </xf>
    <xf numFmtId="9" fontId="11" fillId="2" borderId="262" xfId="2" applyFont="1" applyFill="1" applyBorder="1" applyAlignment="1" applyProtection="1">
      <alignment horizontal="left" vertical="center"/>
      <protection hidden="1"/>
    </xf>
    <xf numFmtId="9" fontId="11" fillId="24" borderId="0" xfId="0" applyNumberFormat="1" applyFont="1" applyFill="1" applyAlignment="1" applyProtection="1">
      <alignment horizontal="left" vertical="center"/>
      <protection hidden="1"/>
    </xf>
    <xf numFmtId="49" fontId="11" fillId="2" borderId="61" xfId="0" applyNumberFormat="1" applyFont="1" applyFill="1" applyBorder="1" applyAlignment="1" applyProtection="1">
      <alignment horizontal="right" vertical="center"/>
      <protection hidden="1"/>
    </xf>
    <xf numFmtId="172" fontId="9" fillId="2" borderId="62" xfId="0" applyNumberFormat="1" applyFont="1" applyFill="1" applyBorder="1" applyAlignment="1" applyProtection="1">
      <alignment horizontal="center" vertical="center"/>
      <protection hidden="1"/>
    </xf>
    <xf numFmtId="172" fontId="9" fillId="2" borderId="0" xfId="0" applyNumberFormat="1" applyFont="1" applyFill="1" applyBorder="1" applyAlignment="1" applyProtection="1">
      <alignment horizontal="center" vertical="center"/>
      <protection hidden="1"/>
    </xf>
    <xf numFmtId="171" fontId="8" fillId="0" borderId="0" xfId="0" applyNumberFormat="1" applyFont="1" applyFill="1" applyBorder="1" applyAlignment="1" applyProtection="1">
      <alignment horizontal="right" vertical="center" indent="1"/>
      <protection hidden="1"/>
    </xf>
    <xf numFmtId="171" fontId="11" fillId="0" borderId="0" xfId="0" applyNumberFormat="1" applyFont="1" applyFill="1" applyBorder="1" applyAlignment="1" applyProtection="1">
      <alignment horizontal="right" vertical="center" indent="1"/>
      <protection hidden="1"/>
    </xf>
    <xf numFmtId="188" fontId="1" fillId="7" borderId="273" xfId="0" applyNumberFormat="1" applyFont="1" applyFill="1" applyBorder="1" applyAlignment="1" applyProtection="1">
      <alignment horizontal="center" vertical="center"/>
      <protection locked="0"/>
    </xf>
    <xf numFmtId="188" fontId="1" fillId="7" borderId="274" xfId="0" applyNumberFormat="1" applyFont="1" applyFill="1" applyBorder="1" applyAlignment="1" applyProtection="1">
      <alignment horizontal="center" vertical="center"/>
      <protection locked="0"/>
    </xf>
    <xf numFmtId="188" fontId="1" fillId="7" borderId="275" xfId="0" applyNumberFormat="1" applyFont="1" applyFill="1" applyBorder="1" applyAlignment="1" applyProtection="1">
      <alignment horizontal="center" vertical="center"/>
      <protection locked="0"/>
    </xf>
    <xf numFmtId="188" fontId="1" fillId="7" borderId="157" xfId="0" applyNumberFormat="1" applyFont="1" applyFill="1" applyBorder="1" applyAlignment="1" applyProtection="1">
      <alignment horizontal="center" vertical="center"/>
      <protection locked="0"/>
    </xf>
    <xf numFmtId="188" fontId="1" fillId="7" borderId="276" xfId="0" applyNumberFormat="1" applyFont="1" applyFill="1" applyBorder="1" applyAlignment="1" applyProtection="1">
      <alignment horizontal="center" vertical="center"/>
      <protection locked="0"/>
    </xf>
    <xf numFmtId="188" fontId="1" fillId="7" borderId="277" xfId="0" applyNumberFormat="1" applyFont="1" applyFill="1" applyBorder="1" applyAlignment="1" applyProtection="1">
      <alignment horizontal="center" vertical="center"/>
      <protection locked="0"/>
    </xf>
    <xf numFmtId="188" fontId="1" fillId="7" borderId="278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hidden="1"/>
    </xf>
    <xf numFmtId="1" fontId="2" fillId="7" borderId="230" xfId="0" applyNumberFormat="1" applyFont="1" applyFill="1" applyBorder="1" applyAlignment="1" applyProtection="1">
      <alignment horizontal="center" vertical="center"/>
      <protection locked="0"/>
    </xf>
    <xf numFmtId="49" fontId="2" fillId="7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230" xfId="0" applyFont="1" applyFill="1" applyBorder="1" applyAlignment="1" applyProtection="1">
      <alignment horizontal="right" vertical="center" indent="1"/>
      <protection hidden="1"/>
    </xf>
    <xf numFmtId="0" fontId="1" fillId="2" borderId="4" xfId="0" applyFont="1" applyFill="1" applyBorder="1" applyAlignment="1" applyProtection="1">
      <alignment horizontal="right" vertical="center" indent="1"/>
      <protection hidden="1"/>
    </xf>
    <xf numFmtId="0" fontId="1" fillId="2" borderId="7" xfId="0" applyFont="1" applyFill="1" applyBorder="1" applyAlignment="1" applyProtection="1">
      <alignment horizontal="right" vertical="center" indent="1"/>
      <protection hidden="1"/>
    </xf>
    <xf numFmtId="0" fontId="0" fillId="0" borderId="0" xfId="0" applyBorder="1" applyAlignment="1" applyProtection="1">
      <alignment horizont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8" fillId="0" borderId="0" xfId="0" applyFont="1" applyFill="1" applyBorder="1" applyAlignment="1" applyProtection="1">
      <alignment horizontal="center" vertical="center"/>
      <protection hidden="1"/>
    </xf>
    <xf numFmtId="0" fontId="0" fillId="0" borderId="0" xfId="0" applyBorder="1" applyAlignment="1" applyProtection="1">
      <alignment horizontal="center" vertical="center"/>
      <protection hidden="1"/>
    </xf>
    <xf numFmtId="9" fontId="11" fillId="2" borderId="0" xfId="2" applyFont="1" applyFill="1" applyBorder="1" applyAlignment="1" applyProtection="1">
      <alignment horizontal="left" vertical="center"/>
      <protection hidden="1"/>
    </xf>
    <xf numFmtId="188" fontId="8" fillId="0" borderId="184" xfId="0" applyNumberFormat="1" applyFont="1" applyFill="1" applyBorder="1" applyAlignment="1" applyProtection="1">
      <alignment horizontal="center" vertical="center"/>
    </xf>
    <xf numFmtId="174" fontId="17" fillId="0" borderId="179" xfId="0" applyNumberFormat="1" applyFont="1" applyBorder="1" applyAlignment="1" applyProtection="1">
      <alignment horizontal="left" vertical="center"/>
    </xf>
    <xf numFmtId="175" fontId="1" fillId="0" borderId="161" xfId="0" applyNumberFormat="1" applyFont="1" applyBorder="1" applyAlignment="1" applyProtection="1">
      <alignment horizontal="center" vertical="center"/>
    </xf>
    <xf numFmtId="176" fontId="1" fillId="0" borderId="180" xfId="0" applyNumberFormat="1" applyFont="1" applyBorder="1" applyAlignment="1" applyProtection="1">
      <alignment horizontal="center" vertical="center"/>
    </xf>
    <xf numFmtId="174" fontId="17" fillId="0" borderId="181" xfId="0" applyNumberFormat="1" applyFont="1" applyBorder="1" applyAlignment="1" applyProtection="1">
      <alignment horizontal="left" vertical="center"/>
    </xf>
    <xf numFmtId="175" fontId="1" fillId="0" borderId="137" xfId="0" applyNumberFormat="1" applyFont="1" applyBorder="1" applyAlignment="1" applyProtection="1">
      <alignment horizontal="center" vertical="center"/>
    </xf>
    <xf numFmtId="176" fontId="1" fillId="0" borderId="141" xfId="0" applyNumberFormat="1" applyFont="1" applyBorder="1" applyAlignment="1" applyProtection="1">
      <alignment horizontal="center" vertical="center"/>
    </xf>
    <xf numFmtId="174" fontId="17" fillId="0" borderId="183" xfId="0" applyNumberFormat="1" applyFont="1" applyBorder="1" applyAlignment="1" applyProtection="1">
      <alignment horizontal="left" vertical="center"/>
    </xf>
    <xf numFmtId="175" fontId="1" fillId="0" borderId="162" xfId="0" applyNumberFormat="1" applyFont="1" applyBorder="1" applyAlignment="1" applyProtection="1">
      <alignment horizontal="center" vertical="center"/>
    </xf>
    <xf numFmtId="176" fontId="1" fillId="0" borderId="184" xfId="0" applyNumberFormat="1" applyFont="1" applyBorder="1" applyAlignment="1" applyProtection="1">
      <alignment horizontal="center" vertical="center"/>
    </xf>
    <xf numFmtId="188" fontId="1" fillId="0" borderId="203" xfId="0" applyNumberFormat="1" applyFont="1" applyBorder="1" applyAlignment="1" applyProtection="1">
      <alignment horizontal="center" vertical="center"/>
    </xf>
    <xf numFmtId="188" fontId="1" fillId="0" borderId="142" xfId="0" applyNumberFormat="1" applyFont="1" applyBorder="1" applyAlignment="1" applyProtection="1">
      <alignment horizontal="center" vertical="center"/>
    </xf>
    <xf numFmtId="188" fontId="1" fillId="3" borderId="161" xfId="0" applyNumberFormat="1" applyFont="1" applyFill="1" applyBorder="1" applyAlignment="1" applyProtection="1">
      <alignment horizontal="center" vertical="center"/>
    </xf>
    <xf numFmtId="186" fontId="1" fillId="0" borderId="161" xfId="0" applyNumberFormat="1" applyFont="1" applyBorder="1" applyAlignment="1" applyProtection="1">
      <alignment horizontal="right" vertical="center"/>
    </xf>
    <xf numFmtId="168" fontId="1" fillId="16" borderId="161" xfId="0" applyNumberFormat="1" applyFont="1" applyFill="1" applyBorder="1" applyAlignment="1" applyProtection="1">
      <alignment horizontal="center" vertical="center"/>
    </xf>
    <xf numFmtId="168" fontId="1" fillId="0" borderId="161" xfId="0" applyNumberFormat="1" applyFont="1" applyFill="1" applyBorder="1" applyAlignment="1" applyProtection="1">
      <alignment horizontal="center" vertical="center"/>
    </xf>
    <xf numFmtId="2" fontId="1" fillId="0" borderId="161" xfId="0" applyNumberFormat="1" applyFont="1" applyFill="1" applyBorder="1" applyAlignment="1" applyProtection="1">
      <alignment horizontal="center" vertical="center"/>
    </xf>
    <xf numFmtId="188" fontId="1" fillId="3" borderId="137" xfId="0" applyNumberFormat="1" applyFont="1" applyFill="1" applyBorder="1" applyAlignment="1" applyProtection="1">
      <alignment horizontal="center" vertical="center"/>
    </xf>
    <xf numFmtId="186" fontId="1" fillId="0" borderId="137" xfId="0" applyNumberFormat="1" applyFont="1" applyBorder="1" applyAlignment="1" applyProtection="1">
      <alignment horizontal="right" vertical="center"/>
    </xf>
    <xf numFmtId="168" fontId="1" fillId="16" borderId="137" xfId="0" applyNumberFormat="1" applyFont="1" applyFill="1" applyBorder="1" applyAlignment="1" applyProtection="1">
      <alignment horizontal="center" vertical="center"/>
    </xf>
    <xf numFmtId="168" fontId="1" fillId="0" borderId="137" xfId="0" applyNumberFormat="1" applyFont="1" applyFill="1" applyBorder="1" applyAlignment="1" applyProtection="1">
      <alignment horizontal="center" vertical="center"/>
    </xf>
    <xf numFmtId="2" fontId="1" fillId="0" borderId="137" xfId="0" applyNumberFormat="1" applyFont="1" applyFill="1" applyBorder="1" applyAlignment="1" applyProtection="1">
      <alignment horizontal="center" vertical="center"/>
    </xf>
    <xf numFmtId="44" fontId="1" fillId="0" borderId="137" xfId="0" applyNumberFormat="1" applyFont="1" applyFill="1" applyBorder="1" applyAlignment="1" applyProtection="1">
      <alignment horizontal="center" vertical="center"/>
    </xf>
    <xf numFmtId="188" fontId="1" fillId="3" borderId="162" xfId="0" applyNumberFormat="1" applyFont="1" applyFill="1" applyBorder="1" applyAlignment="1" applyProtection="1">
      <alignment horizontal="center" vertical="center"/>
    </xf>
    <xf numFmtId="186" fontId="1" fillId="0" borderId="162" xfId="0" applyNumberFormat="1" applyFont="1" applyBorder="1" applyAlignment="1" applyProtection="1">
      <alignment horizontal="right" vertical="center"/>
    </xf>
    <xf numFmtId="168" fontId="1" fillId="16" borderId="162" xfId="0" applyNumberFormat="1" applyFont="1" applyFill="1" applyBorder="1" applyAlignment="1" applyProtection="1">
      <alignment horizontal="center" vertical="center"/>
    </xf>
    <xf numFmtId="168" fontId="1" fillId="0" borderId="272" xfId="0" applyNumberFormat="1" applyFont="1" applyFill="1" applyBorder="1" applyAlignment="1" applyProtection="1">
      <alignment horizontal="center" vertical="center"/>
    </xf>
    <xf numFmtId="2" fontId="1" fillId="0" borderId="272" xfId="0" applyNumberFormat="1" applyFont="1" applyFill="1" applyBorder="1" applyAlignment="1" applyProtection="1">
      <alignment horizontal="center" vertical="center"/>
    </xf>
    <xf numFmtId="177" fontId="1" fillId="0" borderId="177" xfId="0" applyNumberFormat="1" applyFont="1" applyBorder="1" applyAlignment="1" applyProtection="1">
      <alignment horizontal="right" vertical="center"/>
    </xf>
    <xf numFmtId="177" fontId="1" fillId="0" borderId="182" xfId="0" applyNumberFormat="1" applyFont="1" applyBorder="1" applyAlignment="1" applyProtection="1">
      <alignment horizontal="right" vertical="center"/>
    </xf>
    <xf numFmtId="177" fontId="1" fillId="0" borderId="178" xfId="0" applyNumberFormat="1" applyFont="1" applyBorder="1" applyAlignment="1" applyProtection="1">
      <alignment horizontal="right" vertical="center"/>
    </xf>
    <xf numFmtId="2" fontId="1" fillId="0" borderId="0" xfId="0" applyNumberFormat="1" applyFont="1" applyAlignment="1" applyProtection="1">
      <alignment horizontal="center"/>
      <protection hidden="1"/>
    </xf>
    <xf numFmtId="2" fontId="1" fillId="0" borderId="0" xfId="0" applyNumberFormat="1" applyFont="1" applyAlignment="1" applyProtection="1">
      <alignment horizontal="center" vertical="center"/>
      <protection hidden="1"/>
    </xf>
    <xf numFmtId="20" fontId="1" fillId="7" borderId="256" xfId="0" applyNumberFormat="1" applyFont="1" applyFill="1" applyBorder="1" applyAlignment="1" applyProtection="1">
      <alignment horizontal="center" vertical="center"/>
      <protection locked="0"/>
    </xf>
    <xf numFmtId="20" fontId="1" fillId="7" borderId="257" xfId="0" applyNumberFormat="1" applyFont="1" applyFill="1" applyBorder="1" applyAlignment="1" applyProtection="1">
      <alignment horizontal="center" vertical="center"/>
      <protection locked="0"/>
    </xf>
    <xf numFmtId="20" fontId="1" fillId="8" borderId="198" xfId="0" applyNumberFormat="1" applyFont="1" applyFill="1" applyBorder="1" applyAlignment="1" applyProtection="1">
      <alignment horizontal="center" vertical="center"/>
      <protection locked="0"/>
    </xf>
    <xf numFmtId="20" fontId="1" fillId="8" borderId="264" xfId="0" applyNumberFormat="1" applyFont="1" applyFill="1" applyBorder="1" applyAlignment="1" applyProtection="1">
      <alignment horizontal="center" vertical="center"/>
      <protection locked="0"/>
    </xf>
    <xf numFmtId="20" fontId="1" fillId="8" borderId="139" xfId="0" applyNumberFormat="1" applyFont="1" applyFill="1" applyBorder="1" applyAlignment="1" applyProtection="1">
      <alignment horizontal="center" vertical="center"/>
      <protection locked="0"/>
    </xf>
    <xf numFmtId="20" fontId="1" fillId="8" borderId="202" xfId="0" applyNumberFormat="1" applyFont="1" applyFill="1" applyBorder="1" applyAlignment="1" applyProtection="1">
      <alignment horizontal="center" vertical="center"/>
      <protection locked="0"/>
    </xf>
    <xf numFmtId="20" fontId="1" fillId="7" borderId="258" xfId="0" applyNumberFormat="1" applyFont="1" applyFill="1" applyBorder="1" applyAlignment="1" applyProtection="1">
      <alignment horizontal="center" vertical="center"/>
      <protection locked="0"/>
    </xf>
    <xf numFmtId="20" fontId="1" fillId="7" borderId="259" xfId="0" applyNumberFormat="1" applyFont="1" applyFill="1" applyBorder="1" applyAlignment="1" applyProtection="1">
      <alignment horizontal="center" vertical="center"/>
      <protection locked="0"/>
    </xf>
    <xf numFmtId="20" fontId="1" fillId="8" borderId="137" xfId="0" applyNumberFormat="1" applyFont="1" applyFill="1" applyBorder="1" applyAlignment="1" applyProtection="1">
      <alignment horizontal="center"/>
      <protection locked="0"/>
    </xf>
    <xf numFmtId="20" fontId="1" fillId="8" borderId="137" xfId="0" applyNumberFormat="1" applyFont="1" applyFill="1" applyBorder="1" applyAlignment="1" applyProtection="1">
      <alignment horizontal="center" vertical="center"/>
      <protection locked="0"/>
    </xf>
    <xf numFmtId="20" fontId="1" fillId="7" borderId="260" xfId="0" applyNumberFormat="1" applyFont="1" applyFill="1" applyBorder="1" applyAlignment="1" applyProtection="1">
      <alignment horizontal="center" vertical="center"/>
      <protection locked="0"/>
    </xf>
    <xf numFmtId="20" fontId="1" fillId="7" borderId="261" xfId="0" applyNumberFormat="1" applyFont="1" applyFill="1" applyBorder="1" applyAlignment="1" applyProtection="1">
      <alignment horizontal="center" vertical="center"/>
      <protection locked="0"/>
    </xf>
    <xf numFmtId="20" fontId="1" fillId="8" borderId="162" xfId="0" applyNumberFormat="1" applyFont="1" applyFill="1" applyBorder="1" applyAlignment="1" applyProtection="1">
      <alignment horizontal="center" vertical="center"/>
      <protection locked="0"/>
    </xf>
    <xf numFmtId="20" fontId="1" fillId="8" borderId="145" xfId="0" applyNumberFormat="1" applyFont="1" applyFill="1" applyBorder="1" applyAlignment="1" applyProtection="1">
      <alignment horizontal="center"/>
      <protection locked="0"/>
    </xf>
    <xf numFmtId="20" fontId="1" fillId="8" borderId="141" xfId="0" applyNumberFormat="1" applyFont="1" applyFill="1" applyBorder="1" applyAlignment="1" applyProtection="1">
      <alignment horizontal="center"/>
      <protection locked="0"/>
    </xf>
    <xf numFmtId="20" fontId="1" fillId="8" borderId="145" xfId="0" applyNumberFormat="1" applyFont="1" applyFill="1" applyBorder="1" applyAlignment="1" applyProtection="1">
      <alignment horizontal="center" vertical="center"/>
      <protection locked="0"/>
    </xf>
    <xf numFmtId="20" fontId="1" fillId="8" borderId="141" xfId="0" applyNumberFormat="1" applyFont="1" applyFill="1" applyBorder="1" applyAlignment="1" applyProtection="1">
      <alignment horizontal="center" vertical="center"/>
      <protection locked="0"/>
    </xf>
    <xf numFmtId="20" fontId="1" fillId="8" borderId="199" xfId="0" applyNumberFormat="1" applyFont="1" applyFill="1" applyBorder="1" applyAlignment="1" applyProtection="1">
      <alignment horizontal="center" vertical="center"/>
      <protection locked="0"/>
    </xf>
    <xf numFmtId="20" fontId="1" fillId="8" borderId="184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ill="1" applyBorder="1" applyAlignment="1" applyProtection="1">
      <alignment horizontal="right"/>
      <protection hidden="1"/>
    </xf>
    <xf numFmtId="2" fontId="20" fillId="0" borderId="0" xfId="0" applyNumberFormat="1" applyFont="1" applyAlignment="1">
      <alignment horizontal="center" vertical="center"/>
    </xf>
    <xf numFmtId="20" fontId="16" fillId="0" borderId="0" xfId="0" applyNumberFormat="1" applyFont="1" applyAlignment="1" applyProtection="1">
      <alignment horizontal="center" vertical="center"/>
      <protection hidden="1"/>
    </xf>
    <xf numFmtId="166" fontId="21" fillId="2" borderId="263" xfId="0" applyNumberFormat="1" applyFont="1" applyFill="1" applyBorder="1" applyAlignment="1" applyProtection="1">
      <alignment horizontal="center"/>
      <protection hidden="1"/>
    </xf>
    <xf numFmtId="169" fontId="11" fillId="0" borderId="279" xfId="0" applyNumberFormat="1" applyFont="1" applyBorder="1" applyAlignment="1" applyProtection="1">
      <alignment horizontal="center"/>
      <protection hidden="1"/>
    </xf>
    <xf numFmtId="169" fontId="8" fillId="2" borderId="280" xfId="0" applyNumberFormat="1" applyFont="1" applyFill="1" applyBorder="1" applyAlignment="1" applyProtection="1">
      <alignment horizontal="center" vertical="center"/>
      <protection hidden="1"/>
    </xf>
    <xf numFmtId="171" fontId="0" fillId="0" borderId="281" xfId="0" applyNumberFormat="1" applyBorder="1" applyAlignment="1" applyProtection="1">
      <alignment horizontal="center"/>
      <protection hidden="1"/>
    </xf>
    <xf numFmtId="188" fontId="8" fillId="2" borderId="282" xfId="0" applyNumberFormat="1" applyFont="1" applyFill="1" applyBorder="1" applyAlignment="1" applyProtection="1">
      <alignment vertical="center"/>
      <protection hidden="1"/>
    </xf>
    <xf numFmtId="169" fontId="8" fillId="2" borderId="283" xfId="0" applyNumberFormat="1" applyFont="1" applyFill="1" applyBorder="1" applyAlignment="1" applyProtection="1">
      <alignment horizontal="center" vertical="center"/>
      <protection hidden="1"/>
    </xf>
    <xf numFmtId="171" fontId="0" fillId="0" borderId="284" xfId="0" applyNumberFormat="1" applyBorder="1" applyAlignment="1" applyProtection="1">
      <alignment horizontal="center"/>
      <protection hidden="1"/>
    </xf>
    <xf numFmtId="188" fontId="8" fillId="2" borderId="285" xfId="0" applyNumberFormat="1" applyFont="1" applyFill="1" applyBorder="1" applyAlignment="1" applyProtection="1">
      <alignment vertical="center"/>
      <protection hidden="1"/>
    </xf>
    <xf numFmtId="176" fontId="8" fillId="2" borderId="285" xfId="0" applyNumberFormat="1" applyFont="1" applyFill="1" applyBorder="1" applyAlignment="1" applyProtection="1">
      <alignment vertical="center"/>
      <protection hidden="1"/>
    </xf>
    <xf numFmtId="188" fontId="8" fillId="2" borderId="285" xfId="0" applyNumberFormat="1" applyFont="1" applyFill="1" applyBorder="1" applyProtection="1">
      <protection hidden="1"/>
    </xf>
    <xf numFmtId="0" fontId="8" fillId="2" borderId="285" xfId="0" applyFont="1" applyFill="1" applyBorder="1" applyAlignment="1" applyProtection="1">
      <alignment vertical="center"/>
      <protection hidden="1"/>
    </xf>
    <xf numFmtId="169" fontId="8" fillId="4" borderId="283" xfId="0" applyNumberFormat="1" applyFont="1" applyFill="1" applyBorder="1" applyAlignment="1" applyProtection="1">
      <alignment horizontal="center"/>
      <protection hidden="1"/>
    </xf>
    <xf numFmtId="169" fontId="8" fillId="4" borderId="286" xfId="0" applyNumberFormat="1" applyFont="1" applyFill="1" applyBorder="1" applyAlignment="1" applyProtection="1">
      <alignment horizontal="center"/>
      <protection hidden="1"/>
    </xf>
    <xf numFmtId="171" fontId="0" fillId="0" borderId="287" xfId="0" applyNumberFormat="1" applyBorder="1" applyAlignment="1" applyProtection="1">
      <alignment horizontal="center"/>
      <protection hidden="1"/>
    </xf>
    <xf numFmtId="188" fontId="8" fillId="2" borderId="288" xfId="0" applyNumberFormat="1" applyFont="1" applyFill="1" applyBorder="1" applyProtection="1">
      <protection hidden="1"/>
    </xf>
    <xf numFmtId="44" fontId="1" fillId="0" borderId="162" xfId="0" applyNumberFormat="1" applyFont="1" applyFill="1" applyBorder="1" applyAlignment="1" applyProtection="1">
      <alignment horizontal="center" vertical="center"/>
    </xf>
    <xf numFmtId="9" fontId="1" fillId="8" borderId="289" xfId="0" applyNumberFormat="1" applyFont="1" applyFill="1" applyBorder="1" applyAlignment="1" applyProtection="1">
      <alignment horizontal="right" vertical="center"/>
      <protection locked="0"/>
    </xf>
    <xf numFmtId="0" fontId="1" fillId="5" borderId="206" xfId="0" applyFont="1" applyFill="1" applyBorder="1" applyAlignment="1" applyProtection="1">
      <alignment horizontal="center" vertical="center"/>
      <protection hidden="1"/>
    </xf>
    <xf numFmtId="172" fontId="9" fillId="2" borderId="61" xfId="0" applyNumberFormat="1" applyFont="1" applyFill="1" applyBorder="1" applyAlignment="1" applyProtection="1">
      <alignment horizontal="center" vertical="center"/>
      <protection hidden="1"/>
    </xf>
    <xf numFmtId="172" fontId="9" fillId="2" borderId="62" xfId="0" applyNumberFormat="1" applyFont="1" applyFill="1" applyBorder="1" applyAlignment="1" applyProtection="1">
      <alignment horizontal="center" vertical="center"/>
      <protection hidden="1"/>
    </xf>
    <xf numFmtId="0" fontId="8" fillId="0" borderId="0" xfId="0" applyFont="1" applyProtection="1"/>
    <xf numFmtId="0" fontId="8" fillId="0" borderId="159" xfId="0" applyFont="1" applyBorder="1" applyProtection="1"/>
    <xf numFmtId="2" fontId="1" fillId="26" borderId="161" xfId="0" applyNumberFormat="1" applyFont="1" applyFill="1" applyBorder="1" applyAlignment="1" applyProtection="1">
      <alignment horizontal="center" vertical="center"/>
    </xf>
    <xf numFmtId="2" fontId="1" fillId="26" borderId="137" xfId="0" applyNumberFormat="1" applyFont="1" applyFill="1" applyBorder="1" applyAlignment="1" applyProtection="1">
      <alignment horizontal="center" vertical="center"/>
    </xf>
    <xf numFmtId="2" fontId="1" fillId="26" borderId="272" xfId="0" applyNumberFormat="1" applyFont="1" applyFill="1" applyBorder="1" applyAlignment="1" applyProtection="1">
      <alignment horizontal="center" vertical="center"/>
    </xf>
    <xf numFmtId="14" fontId="22" fillId="0" borderId="0" xfId="0" applyNumberFormat="1" applyFont="1" applyBorder="1" applyAlignment="1" applyProtection="1">
      <alignment horizontal="center" vertical="center"/>
    </xf>
    <xf numFmtId="1" fontId="22" fillId="0" borderId="0" xfId="0" applyNumberFormat="1" applyFont="1" applyBorder="1" applyAlignment="1" applyProtection="1">
      <alignment horizontal="center" vertical="center"/>
    </xf>
    <xf numFmtId="44" fontId="1" fillId="0" borderId="161" xfId="0" applyNumberFormat="1" applyFont="1" applyFill="1" applyBorder="1" applyAlignment="1" applyProtection="1">
      <alignment horizontal="center" vertical="center"/>
    </xf>
    <xf numFmtId="0" fontId="23" fillId="0" borderId="0" xfId="0" applyFont="1"/>
    <xf numFmtId="9" fontId="2" fillId="2" borderId="263" xfId="0" applyNumberFormat="1" applyFont="1" applyFill="1" applyBorder="1" applyAlignment="1" applyProtection="1">
      <alignment horizontal="center" wrapText="1"/>
      <protection hidden="1"/>
    </xf>
    <xf numFmtId="188" fontId="1" fillId="0" borderId="296" xfId="0" applyNumberFormat="1" applyFont="1" applyBorder="1" applyAlignment="1" applyProtection="1">
      <alignment horizontal="center" vertical="center"/>
    </xf>
    <xf numFmtId="188" fontId="1" fillId="0" borderId="297" xfId="0" applyNumberFormat="1" applyFont="1" applyBorder="1" applyAlignment="1" applyProtection="1">
      <alignment horizontal="center" vertical="center"/>
    </xf>
    <xf numFmtId="188" fontId="1" fillId="0" borderId="298" xfId="0" applyNumberFormat="1" applyFont="1" applyBorder="1" applyAlignment="1" applyProtection="1">
      <alignment horizontal="center" vertical="center"/>
    </xf>
    <xf numFmtId="2" fontId="20" fillId="0" borderId="0" xfId="0" applyNumberFormat="1" applyFont="1" applyAlignment="1">
      <alignment horizontal="right" vertical="center"/>
    </xf>
    <xf numFmtId="0" fontId="0" fillId="0" borderId="0" xfId="0" applyAlignment="1" applyProtection="1">
      <alignment horizontal="left" vertical="center"/>
      <protection hidden="1"/>
    </xf>
    <xf numFmtId="20" fontId="16" fillId="0" borderId="0" xfId="0" applyNumberFormat="1" applyFont="1" applyAlignment="1" applyProtection="1">
      <alignment horizontal="left" vertical="center"/>
      <protection hidden="1"/>
    </xf>
    <xf numFmtId="2" fontId="1" fillId="0" borderId="0" xfId="0" applyNumberFormat="1" applyFont="1" applyAlignment="1" applyProtection="1">
      <alignment horizontal="left"/>
      <protection hidden="1"/>
    </xf>
    <xf numFmtId="0" fontId="1" fillId="0" borderId="0" xfId="0" applyFont="1" applyAlignment="1" applyProtection="1">
      <alignment horizontal="left" vertical="center"/>
      <protection hidden="1"/>
    </xf>
    <xf numFmtId="0" fontId="18" fillId="0" borderId="0" xfId="0" applyFont="1" applyFill="1" applyBorder="1" applyAlignment="1" applyProtection="1">
      <alignment horizontal="left" vertical="center"/>
      <protection hidden="1"/>
    </xf>
    <xf numFmtId="0" fontId="11" fillId="0" borderId="0" xfId="0" applyFont="1" applyFill="1" applyBorder="1" applyAlignment="1" applyProtection="1">
      <alignment horizontal="left" vertical="center"/>
      <protection hidden="1"/>
    </xf>
    <xf numFmtId="0" fontId="8" fillId="0" borderId="0" xfId="0" applyFont="1" applyFill="1" applyBorder="1" applyAlignment="1" applyProtection="1">
      <alignment horizontal="left" vertical="center"/>
      <protection hidden="1"/>
    </xf>
    <xf numFmtId="0" fontId="0" fillId="0" borderId="0" xfId="0" applyBorder="1" applyAlignment="1" applyProtection="1">
      <alignment horizontal="left" vertical="center"/>
      <protection hidden="1"/>
    </xf>
    <xf numFmtId="44" fontId="1" fillId="0" borderId="0" xfId="0" applyNumberFormat="1" applyFont="1" applyAlignment="1" applyProtection="1">
      <alignment horizontal="left" indent="1"/>
      <protection hidden="1"/>
    </xf>
    <xf numFmtId="44" fontId="1" fillId="26" borderId="161" xfId="0" applyNumberFormat="1" applyFont="1" applyFill="1" applyBorder="1" applyAlignment="1" applyProtection="1">
      <alignment horizontal="center" vertical="center"/>
    </xf>
    <xf numFmtId="44" fontId="1" fillId="26" borderId="137" xfId="0" applyNumberFormat="1" applyFont="1" applyFill="1" applyBorder="1" applyAlignment="1" applyProtection="1">
      <alignment horizontal="center" vertical="center"/>
    </xf>
    <xf numFmtId="44" fontId="1" fillId="26" borderId="272" xfId="0" applyNumberFormat="1" applyFont="1" applyFill="1" applyBorder="1" applyAlignment="1" applyProtection="1">
      <alignment horizontal="center" vertical="center"/>
    </xf>
    <xf numFmtId="44" fontId="1" fillId="26" borderId="162" xfId="0" applyNumberFormat="1" applyFont="1" applyFill="1" applyBorder="1" applyAlignment="1" applyProtection="1">
      <alignment horizontal="center" vertical="center"/>
    </xf>
    <xf numFmtId="185" fontId="1" fillId="8" borderId="115" xfId="0" applyNumberFormat="1" applyFont="1" applyFill="1" applyBorder="1" applyAlignment="1" applyProtection="1">
      <alignment horizontal="center" vertical="center"/>
    </xf>
    <xf numFmtId="185" fontId="1" fillId="8" borderId="119" xfId="0" applyNumberFormat="1" applyFont="1" applyFill="1" applyBorder="1" applyAlignment="1" applyProtection="1">
      <alignment horizontal="center" vertical="center"/>
    </xf>
    <xf numFmtId="185" fontId="1" fillId="8" borderId="116" xfId="0" applyNumberFormat="1" applyFont="1" applyFill="1" applyBorder="1" applyAlignment="1" applyProtection="1">
      <alignment horizontal="center" vertical="center"/>
    </xf>
    <xf numFmtId="185" fontId="1" fillId="8" borderId="120" xfId="0" applyNumberFormat="1" applyFont="1" applyFill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horizontal="center" vertical="center"/>
      <protection hidden="1"/>
    </xf>
    <xf numFmtId="0" fontId="2" fillId="7" borderId="7" xfId="0" applyNumberFormat="1" applyFont="1" applyFill="1" applyBorder="1" applyAlignment="1" applyProtection="1">
      <alignment horizontal="center" vertical="center"/>
      <protection locked="0"/>
    </xf>
    <xf numFmtId="9" fontId="1" fillId="8" borderId="289" xfId="0" applyNumberFormat="1" applyFont="1" applyFill="1" applyBorder="1" applyAlignment="1" applyProtection="1">
      <alignment vertical="center"/>
      <protection locked="0" hidden="1"/>
    </xf>
    <xf numFmtId="2" fontId="1" fillId="8" borderId="116" xfId="0" applyNumberFormat="1" applyFont="1" applyFill="1" applyBorder="1" applyAlignment="1" applyProtection="1">
      <alignment vertical="center"/>
      <protection locked="0" hidden="1"/>
    </xf>
    <xf numFmtId="2" fontId="1" fillId="7" borderId="172" xfId="0" applyNumberFormat="1" applyFont="1" applyFill="1" applyBorder="1" applyAlignment="1" applyProtection="1">
      <alignment horizontal="center" vertical="center"/>
      <protection locked="0"/>
    </xf>
    <xf numFmtId="2" fontId="1" fillId="7" borderId="173" xfId="0" applyNumberFormat="1" applyFont="1" applyFill="1" applyBorder="1" applyAlignment="1" applyProtection="1">
      <alignment horizontal="center" vertical="center"/>
      <protection locked="0"/>
    </xf>
    <xf numFmtId="0" fontId="1" fillId="8" borderId="237" xfId="0" applyFont="1" applyFill="1" applyBorder="1" applyAlignment="1" applyProtection="1">
      <alignment horizontal="center" vertical="center"/>
      <protection locked="0" hidden="1"/>
    </xf>
    <xf numFmtId="14" fontId="1" fillId="8" borderId="239" xfId="0" applyNumberFormat="1" applyFont="1" applyFill="1" applyBorder="1" applyAlignment="1" applyProtection="1">
      <alignment horizontal="center" vertical="center"/>
      <protection locked="0" hidden="1"/>
    </xf>
    <xf numFmtId="193" fontId="1" fillId="0" borderId="208" xfId="0" applyNumberFormat="1" applyFont="1" applyBorder="1" applyAlignment="1" applyProtection="1">
      <alignment horizontal="center" vertical="center"/>
      <protection locked="0"/>
    </xf>
    <xf numFmtId="0" fontId="2" fillId="0" borderId="214" xfId="0" applyFont="1" applyBorder="1" applyAlignment="1" applyProtection="1">
      <alignment horizontal="center"/>
      <protection hidden="1"/>
    </xf>
    <xf numFmtId="0" fontId="1" fillId="0" borderId="0" xfId="0" applyFont="1" applyBorder="1" applyAlignment="1" applyProtection="1">
      <alignment horizontal="right" vertical="center" indent="1"/>
      <protection hidden="1"/>
    </xf>
    <xf numFmtId="0" fontId="1" fillId="0" borderId="232" xfId="0" applyFont="1" applyBorder="1" applyAlignment="1" applyProtection="1">
      <alignment horizontal="right" vertical="center" indent="1"/>
      <protection hidden="1"/>
    </xf>
    <xf numFmtId="0" fontId="2" fillId="2" borderId="233" xfId="0" applyFont="1" applyFill="1" applyBorder="1" applyAlignment="1" applyProtection="1">
      <alignment horizontal="left" vertical="center" indent="1"/>
      <protection hidden="1"/>
    </xf>
    <xf numFmtId="0" fontId="2" fillId="2" borderId="235" xfId="0" applyFont="1" applyFill="1" applyBorder="1" applyAlignment="1" applyProtection="1">
      <alignment horizontal="left" vertical="center" indent="1"/>
      <protection hidden="1"/>
    </xf>
    <xf numFmtId="0" fontId="2" fillId="23" borderId="233" xfId="0" applyFont="1" applyFill="1" applyBorder="1" applyAlignment="1" applyProtection="1">
      <alignment horizontal="center" vertical="center"/>
      <protection hidden="1"/>
    </xf>
    <xf numFmtId="0" fontId="2" fillId="23" borderId="234" xfId="0" applyFont="1" applyFill="1" applyBorder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center" vertical="center"/>
      <protection hidden="1"/>
    </xf>
    <xf numFmtId="1" fontId="2" fillId="7" borderId="230" xfId="0" applyNumberFormat="1" applyFont="1" applyFill="1" applyBorder="1" applyAlignment="1" applyProtection="1">
      <alignment horizontal="center" vertical="center"/>
      <protection locked="0"/>
    </xf>
    <xf numFmtId="1" fontId="2" fillId="7" borderId="231" xfId="0" applyNumberFormat="1" applyFont="1" applyFill="1" applyBorder="1" applyAlignment="1" applyProtection="1">
      <alignment horizontal="center" vertical="center"/>
      <protection locked="0"/>
    </xf>
    <xf numFmtId="49" fontId="2" fillId="7" borderId="4" xfId="0" applyNumberFormat="1" applyFont="1" applyFill="1" applyBorder="1" applyAlignment="1" applyProtection="1">
      <alignment horizontal="center" vertical="center"/>
      <protection locked="0"/>
    </xf>
    <xf numFmtId="49" fontId="2" fillId="7" borderId="5" xfId="0" applyNumberFormat="1" applyFont="1" applyFill="1" applyBorder="1" applyAlignment="1" applyProtection="1">
      <alignment horizontal="center" vertical="center"/>
      <protection locked="0"/>
    </xf>
    <xf numFmtId="49" fontId="2" fillId="7" borderId="7" xfId="0" applyNumberFormat="1" applyFont="1" applyFill="1" applyBorder="1" applyAlignment="1" applyProtection="1">
      <alignment horizontal="center" vertical="center"/>
      <protection locked="0"/>
    </xf>
    <xf numFmtId="49" fontId="2" fillId="7" borderId="8" xfId="0" applyNumberFormat="1" applyFont="1" applyFill="1" applyBorder="1" applyAlignment="1" applyProtection="1">
      <alignment horizontal="center" vertical="center"/>
      <protection locked="0"/>
    </xf>
    <xf numFmtId="0" fontId="1" fillId="2" borderId="230" xfId="0" applyFont="1" applyFill="1" applyBorder="1" applyAlignment="1" applyProtection="1">
      <alignment horizontal="right" vertical="center" indent="1"/>
      <protection hidden="1"/>
    </xf>
    <xf numFmtId="0" fontId="1" fillId="2" borderId="231" xfId="0" applyFont="1" applyFill="1" applyBorder="1" applyAlignment="1" applyProtection="1">
      <alignment horizontal="right" vertical="center" indent="1"/>
      <protection hidden="1"/>
    </xf>
    <xf numFmtId="0" fontId="1" fillId="2" borderId="4" xfId="0" applyFont="1" applyFill="1" applyBorder="1" applyAlignment="1" applyProtection="1">
      <alignment horizontal="right" vertical="center" indent="1"/>
      <protection hidden="1"/>
    </xf>
    <xf numFmtId="0" fontId="1" fillId="2" borderId="5" xfId="0" applyFont="1" applyFill="1" applyBorder="1" applyAlignment="1" applyProtection="1">
      <alignment horizontal="right" vertical="center" indent="1"/>
      <protection hidden="1"/>
    </xf>
    <xf numFmtId="0" fontId="1" fillId="2" borderId="7" xfId="0" applyFont="1" applyFill="1" applyBorder="1" applyAlignment="1" applyProtection="1">
      <alignment horizontal="right" vertical="center" indent="1"/>
      <protection hidden="1"/>
    </xf>
    <xf numFmtId="0" fontId="1" fillId="2" borderId="8" xfId="0" applyFont="1" applyFill="1" applyBorder="1" applyAlignment="1" applyProtection="1">
      <alignment horizontal="right" vertical="center" indent="1"/>
      <protection hidden="1"/>
    </xf>
    <xf numFmtId="49" fontId="1" fillId="8" borderId="292" xfId="0" applyNumberFormat="1" applyFont="1" applyFill="1" applyBorder="1" applyAlignment="1" applyProtection="1">
      <alignment horizontal="left" vertical="center"/>
      <protection hidden="1"/>
    </xf>
    <xf numFmtId="49" fontId="1" fillId="8" borderId="293" xfId="0" applyNumberFormat="1" applyFont="1" applyFill="1" applyBorder="1" applyAlignment="1" applyProtection="1">
      <alignment horizontal="left" vertical="center"/>
      <protection hidden="1"/>
    </xf>
    <xf numFmtId="49" fontId="1" fillId="8" borderId="292" xfId="0" applyNumberFormat="1" applyFont="1" applyFill="1" applyBorder="1" applyAlignment="1" applyProtection="1">
      <alignment horizontal="left" vertical="center"/>
    </xf>
    <xf numFmtId="49" fontId="1" fillId="8" borderId="293" xfId="0" applyNumberFormat="1" applyFont="1" applyFill="1" applyBorder="1" applyAlignment="1" applyProtection="1">
      <alignment horizontal="left" vertical="center"/>
    </xf>
    <xf numFmtId="49" fontId="1" fillId="8" borderId="290" xfId="0" applyNumberFormat="1" applyFont="1" applyFill="1" applyBorder="1" applyAlignment="1" applyProtection="1">
      <alignment horizontal="left" vertical="center"/>
    </xf>
    <xf numFmtId="49" fontId="1" fillId="8" borderId="291" xfId="0" applyNumberFormat="1" applyFont="1" applyFill="1" applyBorder="1" applyAlignment="1" applyProtection="1">
      <alignment horizontal="left" vertical="center"/>
    </xf>
    <xf numFmtId="49" fontId="1" fillId="8" borderId="294" xfId="0" applyNumberFormat="1" applyFont="1" applyFill="1" applyBorder="1" applyAlignment="1" applyProtection="1">
      <alignment horizontal="left" vertical="center"/>
      <protection hidden="1"/>
    </xf>
    <xf numFmtId="49" fontId="1" fillId="8" borderId="295" xfId="0" applyNumberFormat="1" applyFont="1" applyFill="1" applyBorder="1" applyAlignment="1" applyProtection="1">
      <alignment horizontal="left" vertical="center"/>
      <protection hidden="1"/>
    </xf>
    <xf numFmtId="0" fontId="2" fillId="2" borderId="103" xfId="0" applyFont="1" applyFill="1" applyBorder="1" applyAlignment="1" applyProtection="1">
      <alignment horizontal="left" vertical="center"/>
      <protection hidden="1"/>
    </xf>
    <xf numFmtId="172" fontId="9" fillId="2" borderId="105" xfId="0" applyNumberFormat="1" applyFont="1" applyFill="1" applyBorder="1" applyAlignment="1" applyProtection="1">
      <alignment horizontal="center" vertical="center"/>
      <protection hidden="1"/>
    </xf>
    <xf numFmtId="172" fontId="9" fillId="2" borderId="61" xfId="0" applyNumberFormat="1" applyFont="1" applyFill="1" applyBorder="1" applyAlignment="1" applyProtection="1">
      <alignment horizontal="center" vertical="center"/>
      <protection hidden="1"/>
    </xf>
    <xf numFmtId="172" fontId="9" fillId="2" borderId="106" xfId="0" applyNumberFormat="1" applyFont="1" applyFill="1" applyBorder="1" applyAlignment="1" applyProtection="1">
      <alignment horizontal="center" vertical="center"/>
      <protection hidden="1"/>
    </xf>
    <xf numFmtId="172" fontId="9" fillId="2" borderId="62" xfId="0" applyNumberFormat="1" applyFont="1" applyFill="1" applyBorder="1" applyAlignment="1" applyProtection="1">
      <alignment horizontal="center" vertical="center"/>
      <protection hidden="1"/>
    </xf>
    <xf numFmtId="166" fontId="2" fillId="7" borderId="252" xfId="0" applyNumberFormat="1" applyFont="1" applyFill="1" applyBorder="1" applyAlignment="1" applyProtection="1">
      <alignment horizontal="center" textRotation="90"/>
      <protection hidden="1"/>
    </xf>
    <xf numFmtId="166" fontId="2" fillId="7" borderId="269" xfId="0" applyNumberFormat="1" applyFont="1" applyFill="1" applyBorder="1" applyAlignment="1" applyProtection="1">
      <alignment horizontal="center" textRotation="90"/>
      <protection hidden="1"/>
    </xf>
    <xf numFmtId="49" fontId="10" fillId="2" borderId="61" xfId="0" applyNumberFormat="1" applyFont="1" applyFill="1" applyBorder="1" applyAlignment="1" applyProtection="1">
      <alignment horizontal="right" vertical="center"/>
      <protection hidden="1"/>
    </xf>
    <xf numFmtId="0" fontId="10" fillId="2" borderId="107" xfId="0" applyFont="1" applyFill="1" applyBorder="1" applyAlignment="1" applyProtection="1">
      <alignment horizontal="right" vertical="center"/>
      <protection hidden="1"/>
    </xf>
    <xf numFmtId="0" fontId="1" fillId="2" borderId="62" xfId="0" applyFont="1" applyFill="1" applyBorder="1" applyAlignment="1" applyProtection="1">
      <alignment horizontal="right" vertical="center"/>
      <protection hidden="1"/>
    </xf>
    <xf numFmtId="0" fontId="1" fillId="2" borderId="108" xfId="0" applyFont="1" applyFill="1" applyBorder="1" applyAlignment="1" applyProtection="1">
      <alignment horizontal="right" vertical="center"/>
      <protection hidden="1"/>
    </xf>
    <xf numFmtId="172" fontId="11" fillId="9" borderId="263" xfId="0" applyNumberFormat="1" applyFont="1" applyFill="1" applyBorder="1" applyAlignment="1" applyProtection="1">
      <alignment horizontal="center" vertical="center"/>
      <protection hidden="1"/>
    </xf>
    <xf numFmtId="171" fontId="11" fillId="9" borderId="252" xfId="0" applyNumberFormat="1" applyFont="1" applyFill="1" applyBorder="1" applyAlignment="1" applyProtection="1">
      <alignment horizontal="center" vertical="center" wrapText="1"/>
      <protection hidden="1"/>
    </xf>
    <xf numFmtId="171" fontId="11" fillId="9" borderId="262" xfId="0" applyNumberFormat="1" applyFont="1" applyFill="1" applyBorder="1" applyAlignment="1" applyProtection="1">
      <alignment horizontal="center" vertical="center"/>
      <protection hidden="1"/>
    </xf>
    <xf numFmtId="172" fontId="11" fillId="9" borderId="252" xfId="0" applyNumberFormat="1" applyFont="1" applyFill="1" applyBorder="1" applyAlignment="1" applyProtection="1">
      <alignment horizontal="center" vertical="center"/>
      <protection hidden="1"/>
    </xf>
    <xf numFmtId="172" fontId="11" fillId="9" borderId="262" xfId="0" applyNumberFormat="1" applyFont="1" applyFill="1" applyBorder="1" applyAlignment="1" applyProtection="1">
      <alignment horizontal="center" vertical="center"/>
      <protection hidden="1"/>
    </xf>
    <xf numFmtId="172" fontId="11" fillId="9" borderId="265" xfId="0" applyNumberFormat="1" applyFont="1" applyFill="1" applyBorder="1" applyAlignment="1" applyProtection="1">
      <alignment horizontal="center" vertical="center"/>
      <protection hidden="1"/>
    </xf>
    <xf numFmtId="0" fontId="8" fillId="24" borderId="287" xfId="0" applyFont="1" applyFill="1" applyBorder="1" applyAlignment="1" applyProtection="1">
      <alignment horizontal="left"/>
      <protection hidden="1"/>
    </xf>
    <xf numFmtId="0" fontId="8" fillId="23" borderId="281" xfId="0" applyFont="1" applyFill="1" applyBorder="1" applyAlignment="1" applyProtection="1">
      <alignment horizontal="left" vertical="center"/>
      <protection hidden="1"/>
    </xf>
    <xf numFmtId="0" fontId="2" fillId="2" borderId="269" xfId="0" applyFont="1" applyFill="1" applyBorder="1" applyAlignment="1" applyProtection="1">
      <alignment horizontal="center"/>
      <protection hidden="1"/>
    </xf>
    <xf numFmtId="0" fontId="2" fillId="2" borderId="270" xfId="0" applyFont="1" applyFill="1" applyBorder="1" applyAlignment="1" applyProtection="1">
      <alignment horizontal="center"/>
      <protection hidden="1"/>
    </xf>
    <xf numFmtId="0" fontId="11" fillId="2" borderId="268" xfId="0" applyFont="1" applyFill="1" applyBorder="1" applyAlignment="1" applyProtection="1">
      <alignment horizontal="center" vertical="center"/>
      <protection hidden="1"/>
    </xf>
    <xf numFmtId="0" fontId="8" fillId="24" borderId="284" xfId="0" applyFont="1" applyFill="1" applyBorder="1" applyAlignment="1" applyProtection="1">
      <alignment horizontal="left"/>
      <protection hidden="1"/>
    </xf>
    <xf numFmtId="0" fontId="8" fillId="23" borderId="284" xfId="0" applyFont="1" applyFill="1" applyBorder="1" applyAlignment="1" applyProtection="1">
      <alignment horizontal="left" vertical="center"/>
      <protection hidden="1"/>
    </xf>
    <xf numFmtId="189" fontId="1" fillId="2" borderId="110" xfId="0" applyNumberFormat="1" applyFont="1" applyFill="1" applyBorder="1" applyAlignment="1" applyProtection="1">
      <alignment horizontal="center" vertical="center"/>
      <protection hidden="1"/>
    </xf>
    <xf numFmtId="189" fontId="1" fillId="2" borderId="188" xfId="0" applyNumberFormat="1" applyFont="1" applyFill="1" applyBorder="1" applyAlignment="1" applyProtection="1">
      <alignment horizontal="center" vertical="center"/>
      <protection hidden="1"/>
    </xf>
    <xf numFmtId="188" fontId="1" fillId="2" borderId="109" xfId="0" applyNumberFormat="1" applyFont="1" applyFill="1" applyBorder="1" applyAlignment="1" applyProtection="1">
      <alignment horizontal="center" vertical="center"/>
      <protection hidden="1"/>
    </xf>
    <xf numFmtId="167" fontId="1" fillId="2" borderId="112" xfId="0" applyNumberFormat="1" applyFont="1" applyFill="1" applyBorder="1" applyAlignment="1" applyProtection="1">
      <alignment horizontal="right" vertical="center"/>
      <protection hidden="1"/>
    </xf>
    <xf numFmtId="167" fontId="1" fillId="2" borderId="90" xfId="0" applyNumberFormat="1" applyFont="1" applyFill="1" applyBorder="1" applyAlignment="1" applyProtection="1">
      <alignment horizontal="right" vertical="center"/>
      <protection hidden="1"/>
    </xf>
    <xf numFmtId="189" fontId="1" fillId="2" borderId="111" xfId="0" applyNumberFormat="1" applyFont="1" applyFill="1" applyBorder="1" applyAlignment="1" applyProtection="1">
      <alignment horizontal="center" vertical="center"/>
      <protection hidden="1"/>
    </xf>
    <xf numFmtId="190" fontId="1" fillId="2" borderId="113" xfId="0" applyNumberFormat="1" applyFont="1" applyFill="1" applyBorder="1" applyAlignment="1" applyProtection="1">
      <alignment horizontal="right" vertical="center"/>
      <protection hidden="1"/>
    </xf>
    <xf numFmtId="190" fontId="1" fillId="2" borderId="84" xfId="0" applyNumberFormat="1" applyFont="1" applyFill="1" applyBorder="1" applyAlignment="1" applyProtection="1">
      <alignment horizontal="right" vertical="center"/>
      <protection hidden="1"/>
    </xf>
    <xf numFmtId="190" fontId="1" fillId="2" borderId="71" xfId="0" applyNumberFormat="1" applyFont="1" applyFill="1" applyBorder="1" applyAlignment="1" applyProtection="1">
      <alignment horizontal="right" vertical="center"/>
      <protection hidden="1"/>
    </xf>
    <xf numFmtId="190" fontId="1" fillId="2" borderId="72" xfId="0" applyNumberFormat="1" applyFont="1" applyFill="1" applyBorder="1" applyAlignment="1" applyProtection="1">
      <alignment horizontal="right" vertical="center"/>
      <protection hidden="1"/>
    </xf>
    <xf numFmtId="0" fontId="0" fillId="2" borderId="62" xfId="0" applyFill="1" applyBorder="1" applyAlignment="1" applyProtection="1">
      <alignment horizontal="right" vertical="center"/>
      <protection hidden="1"/>
    </xf>
    <xf numFmtId="0" fontId="0" fillId="0" borderId="62" xfId="0" applyBorder="1" applyAlignment="1">
      <alignment vertical="center"/>
    </xf>
    <xf numFmtId="0" fontId="0" fillId="0" borderId="130" xfId="0" applyBorder="1" applyAlignment="1">
      <alignment vertical="center"/>
    </xf>
    <xf numFmtId="0" fontId="10" fillId="2" borderId="131" xfId="0" applyFont="1" applyFill="1" applyBorder="1" applyAlignment="1" applyProtection="1">
      <alignment horizontal="right" vertical="center"/>
      <protection hidden="1"/>
    </xf>
    <xf numFmtId="0" fontId="0" fillId="0" borderId="131" xfId="0" applyBorder="1" applyAlignment="1">
      <alignment vertical="center"/>
    </xf>
    <xf numFmtId="0" fontId="0" fillId="0" borderId="133" xfId="0" applyBorder="1" applyAlignment="1">
      <alignment vertical="center"/>
    </xf>
    <xf numFmtId="0" fontId="12" fillId="2" borderId="131" xfId="0" applyFont="1" applyFill="1" applyBorder="1" applyAlignment="1" applyProtection="1">
      <alignment horizontal="center" vertical="center"/>
      <protection hidden="1"/>
    </xf>
    <xf numFmtId="0" fontId="0" fillId="0" borderId="131" xfId="0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12" fillId="2" borderId="132" xfId="0" applyFont="1" applyFill="1" applyBorder="1" applyAlignment="1" applyProtection="1">
      <alignment horizontal="center" vertical="center"/>
      <protection hidden="1"/>
    </xf>
    <xf numFmtId="0" fontId="0" fillId="0" borderId="129" xfId="0" applyBorder="1" applyAlignment="1">
      <alignment horizontal="center" vertical="center"/>
    </xf>
    <xf numFmtId="0" fontId="10" fillId="2" borderId="1" xfId="0" applyFont="1" applyFill="1" applyBorder="1" applyAlignment="1" applyProtection="1">
      <alignment horizontal="center" vertical="center"/>
      <protection hidden="1"/>
    </xf>
    <xf numFmtId="167" fontId="1" fillId="2" borderId="109" xfId="0" applyNumberFormat="1" applyFont="1" applyFill="1" applyBorder="1" applyAlignment="1" applyProtection="1">
      <alignment horizontal="center" vertical="center"/>
      <protection hidden="1"/>
    </xf>
    <xf numFmtId="167" fontId="1" fillId="2" borderId="250" xfId="0" applyNumberFormat="1" applyFont="1" applyFill="1" applyBorder="1" applyAlignment="1" applyProtection="1">
      <alignment horizontal="center" vertical="center"/>
      <protection hidden="1"/>
    </xf>
    <xf numFmtId="167" fontId="1" fillId="2" borderId="251" xfId="0" applyNumberFormat="1" applyFont="1" applyFill="1" applyBorder="1" applyAlignment="1" applyProtection="1">
      <alignment horizontal="center" vertical="center"/>
      <protection hidden="1"/>
    </xf>
    <xf numFmtId="166" fontId="8" fillId="2" borderId="263" xfId="0" applyNumberFormat="1" applyFont="1" applyFill="1" applyBorder="1" applyAlignment="1" applyProtection="1">
      <alignment horizontal="center" wrapText="1"/>
      <protection hidden="1"/>
    </xf>
    <xf numFmtId="168" fontId="1" fillId="27" borderId="161" xfId="0" applyNumberFormat="1" applyFont="1" applyFill="1" applyBorder="1" applyAlignment="1" applyProtection="1">
      <alignment horizontal="center" vertical="center"/>
    </xf>
    <xf numFmtId="168" fontId="1" fillId="27" borderId="137" xfId="0" applyNumberFormat="1" applyFont="1" applyFill="1" applyBorder="1" applyAlignment="1" applyProtection="1">
      <alignment horizontal="center" vertical="center"/>
    </xf>
    <xf numFmtId="168" fontId="1" fillId="27" borderId="272" xfId="0" applyNumberFormat="1" applyFont="1" applyFill="1" applyBorder="1" applyAlignment="1" applyProtection="1">
      <alignment horizontal="center" vertical="center"/>
    </xf>
    <xf numFmtId="20" fontId="2" fillId="7" borderId="193" xfId="0" applyNumberFormat="1" applyFont="1" applyFill="1" applyBorder="1" applyAlignment="1" applyProtection="1">
      <alignment horizontal="center" wrapText="1"/>
      <protection hidden="1"/>
    </xf>
    <xf numFmtId="20" fontId="2" fillId="7" borderId="299" xfId="0" applyNumberFormat="1" applyFont="1" applyFill="1" applyBorder="1" applyAlignment="1" applyProtection="1">
      <alignment horizontal="center" wrapText="1"/>
      <protection hidden="1"/>
    </xf>
    <xf numFmtId="171" fontId="2" fillId="7" borderId="193" xfId="0" applyNumberFormat="1" applyFont="1" applyFill="1" applyBorder="1" applyAlignment="1" applyProtection="1">
      <alignment horizontal="center" wrapText="1"/>
      <protection hidden="1"/>
    </xf>
    <xf numFmtId="171" fontId="11" fillId="9" borderId="300" xfId="0" applyNumberFormat="1" applyFont="1" applyFill="1" applyBorder="1" applyAlignment="1" applyProtection="1">
      <alignment horizontal="center" vertical="center" wrapText="1"/>
      <protection hidden="1"/>
    </xf>
    <xf numFmtId="171" fontId="2" fillId="7" borderId="301" xfId="0" applyNumberFormat="1" applyFont="1" applyFill="1" applyBorder="1" applyAlignment="1" applyProtection="1">
      <alignment horizontal="center" wrapText="1"/>
      <protection hidden="1"/>
    </xf>
    <xf numFmtId="171" fontId="11" fillId="9" borderId="262" xfId="0" applyNumberFormat="1" applyFont="1" applyFill="1" applyBorder="1" applyAlignment="1" applyProtection="1">
      <alignment horizontal="center" vertical="center" wrapText="1"/>
      <protection hidden="1"/>
    </xf>
    <xf numFmtId="171" fontId="11" fillId="9" borderId="302" xfId="0" applyNumberFormat="1" applyFont="1" applyFill="1" applyBorder="1" applyAlignment="1" applyProtection="1">
      <alignment horizontal="center" vertical="center" wrapText="1"/>
      <protection hidden="1"/>
    </xf>
    <xf numFmtId="171" fontId="11" fillId="9" borderId="303" xfId="0" applyNumberFormat="1" applyFont="1" applyFill="1" applyBorder="1" applyAlignment="1" applyProtection="1">
      <alignment horizontal="center" vertical="center"/>
      <protection hidden="1"/>
    </xf>
    <xf numFmtId="171" fontId="2" fillId="7" borderId="304" xfId="0" applyNumberFormat="1" applyFont="1" applyFill="1" applyBorder="1" applyAlignment="1" applyProtection="1">
      <alignment horizontal="center" wrapText="1"/>
      <protection hidden="1"/>
    </xf>
    <xf numFmtId="171" fontId="2" fillId="7" borderId="305" xfId="0" applyNumberFormat="1" applyFont="1" applyFill="1" applyBorder="1" applyAlignment="1" applyProtection="1">
      <alignment horizontal="center" wrapText="1"/>
      <protection hidden="1"/>
    </xf>
    <xf numFmtId="2" fontId="1" fillId="0" borderId="0" xfId="0" applyNumberFormat="1" applyFont="1" applyAlignment="1" applyProtection="1">
      <alignment horizontal="left" indent="1"/>
      <protection hidden="1"/>
    </xf>
  </cellXfs>
  <cellStyles count="3">
    <cellStyle name="Komma" xfId="1" builtinId="3"/>
    <cellStyle name="Prozent" xfId="2" builtinId="5"/>
    <cellStyle name="Standard" xfId="0" builtinId="0"/>
  </cellStyles>
  <dxfs count="528">
    <dxf>
      <fill>
        <patternFill>
          <bgColor theme="9" tint="0.39994506668294322"/>
        </patternFill>
      </fill>
    </dxf>
    <dxf>
      <fill>
        <patternFill>
          <bgColor rgb="FF92D050"/>
        </patternFill>
      </fill>
    </dxf>
    <dxf>
      <fill>
        <patternFill>
          <bgColor theme="3" tint="0.59996337778862885"/>
        </patternFill>
      </fill>
    </dxf>
    <dxf>
      <fill>
        <patternFill>
          <bgColor rgb="FFFFFF66"/>
        </patternFill>
      </fill>
    </dxf>
    <dxf>
      <fill>
        <patternFill>
          <bgColor theme="4" tint="0.59996337778862885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9" tint="0.39994506668294322"/>
        </patternFill>
      </fill>
    </dxf>
    <dxf>
      <fill>
        <patternFill>
          <bgColor rgb="FF92D050"/>
        </patternFill>
      </fill>
    </dxf>
    <dxf>
      <fill>
        <patternFill>
          <bgColor theme="3" tint="0.59996337778862885"/>
        </patternFill>
      </fill>
    </dxf>
    <dxf>
      <fill>
        <patternFill>
          <bgColor rgb="FFFFFF66"/>
        </patternFill>
      </fill>
    </dxf>
    <dxf>
      <fill>
        <patternFill>
          <bgColor theme="4" tint="0.59996337778862885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9" tint="0.39994506668294322"/>
        </patternFill>
      </fill>
    </dxf>
    <dxf>
      <fill>
        <patternFill>
          <bgColor rgb="FF92D050"/>
        </patternFill>
      </fill>
    </dxf>
    <dxf>
      <fill>
        <patternFill>
          <bgColor theme="3" tint="0.59996337778862885"/>
        </patternFill>
      </fill>
    </dxf>
    <dxf>
      <fill>
        <patternFill>
          <bgColor rgb="FFFFFF66"/>
        </patternFill>
      </fill>
    </dxf>
    <dxf>
      <fill>
        <patternFill>
          <bgColor theme="4" tint="0.59996337778862885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9" tint="0.39994506668294322"/>
        </patternFill>
      </fill>
    </dxf>
    <dxf>
      <fill>
        <patternFill>
          <bgColor rgb="FF92D050"/>
        </patternFill>
      </fill>
    </dxf>
    <dxf>
      <fill>
        <patternFill>
          <bgColor theme="3" tint="0.59996337778862885"/>
        </patternFill>
      </fill>
    </dxf>
    <dxf>
      <fill>
        <patternFill>
          <bgColor rgb="FFFFFF66"/>
        </patternFill>
      </fill>
    </dxf>
    <dxf>
      <fill>
        <patternFill>
          <bgColor theme="4" tint="0.59996337778862885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9" tint="0.39994506668294322"/>
        </patternFill>
      </fill>
    </dxf>
    <dxf>
      <fill>
        <patternFill>
          <bgColor rgb="FF92D050"/>
        </patternFill>
      </fill>
    </dxf>
    <dxf>
      <fill>
        <patternFill>
          <bgColor theme="3" tint="0.59996337778862885"/>
        </patternFill>
      </fill>
    </dxf>
    <dxf>
      <fill>
        <patternFill>
          <bgColor rgb="FFFFFF66"/>
        </patternFill>
      </fill>
    </dxf>
    <dxf>
      <fill>
        <patternFill>
          <bgColor theme="4" tint="0.59996337778862885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9" tint="0.39994506668294322"/>
        </patternFill>
      </fill>
    </dxf>
    <dxf>
      <fill>
        <patternFill>
          <bgColor rgb="FF92D050"/>
        </patternFill>
      </fill>
    </dxf>
    <dxf>
      <fill>
        <patternFill>
          <bgColor theme="3" tint="0.59996337778862885"/>
        </patternFill>
      </fill>
    </dxf>
    <dxf>
      <fill>
        <patternFill>
          <bgColor rgb="FFFFFF66"/>
        </patternFill>
      </fill>
    </dxf>
    <dxf>
      <fill>
        <patternFill>
          <bgColor theme="4" tint="0.59996337778862885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9" tint="0.39994506668294322"/>
        </patternFill>
      </fill>
    </dxf>
    <dxf>
      <fill>
        <patternFill>
          <bgColor rgb="FF92D050"/>
        </patternFill>
      </fill>
    </dxf>
    <dxf>
      <fill>
        <patternFill>
          <bgColor theme="3" tint="0.59996337778862885"/>
        </patternFill>
      </fill>
    </dxf>
    <dxf>
      <fill>
        <patternFill>
          <bgColor rgb="FFFFFF66"/>
        </patternFill>
      </fill>
    </dxf>
    <dxf>
      <fill>
        <patternFill>
          <bgColor theme="4" tint="0.59996337778862885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9" tint="0.39994506668294322"/>
        </patternFill>
      </fill>
    </dxf>
    <dxf>
      <fill>
        <patternFill>
          <bgColor rgb="FF92D050"/>
        </patternFill>
      </fill>
    </dxf>
    <dxf>
      <fill>
        <patternFill>
          <bgColor theme="3" tint="0.59996337778862885"/>
        </patternFill>
      </fill>
    </dxf>
    <dxf>
      <fill>
        <patternFill>
          <bgColor rgb="FFFFFF66"/>
        </patternFill>
      </fill>
    </dxf>
    <dxf>
      <fill>
        <patternFill>
          <bgColor theme="4" tint="0.59996337778862885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9" tint="0.39994506668294322"/>
        </patternFill>
      </fill>
    </dxf>
    <dxf>
      <fill>
        <patternFill>
          <bgColor rgb="FF92D050"/>
        </patternFill>
      </fill>
    </dxf>
    <dxf>
      <fill>
        <patternFill>
          <bgColor theme="3" tint="0.59996337778862885"/>
        </patternFill>
      </fill>
    </dxf>
    <dxf>
      <fill>
        <patternFill>
          <bgColor rgb="FFFFFF66"/>
        </patternFill>
      </fill>
    </dxf>
    <dxf>
      <fill>
        <patternFill>
          <bgColor theme="4" tint="0.59996337778862885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9" tint="0.39994506668294322"/>
        </patternFill>
      </fill>
    </dxf>
    <dxf>
      <fill>
        <patternFill>
          <bgColor rgb="FF92D050"/>
        </patternFill>
      </fill>
    </dxf>
    <dxf>
      <fill>
        <patternFill>
          <bgColor theme="3" tint="0.59996337778862885"/>
        </patternFill>
      </fill>
    </dxf>
    <dxf>
      <fill>
        <patternFill>
          <bgColor rgb="FFFFFF66"/>
        </patternFill>
      </fill>
    </dxf>
    <dxf>
      <fill>
        <patternFill>
          <bgColor theme="4" tint="0.59996337778862885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9" tint="0.39994506668294322"/>
        </patternFill>
      </fill>
    </dxf>
    <dxf>
      <fill>
        <patternFill>
          <bgColor rgb="FF92D050"/>
        </patternFill>
      </fill>
    </dxf>
    <dxf>
      <fill>
        <patternFill>
          <bgColor theme="3" tint="0.59996337778862885"/>
        </patternFill>
      </fill>
    </dxf>
    <dxf>
      <fill>
        <patternFill>
          <bgColor rgb="FFFFFF66"/>
        </patternFill>
      </fill>
    </dxf>
    <dxf>
      <fill>
        <patternFill>
          <bgColor rgb="FFFFFF00"/>
        </patternFill>
      </fill>
    </dxf>
    <dxf>
      <fill>
        <patternFill>
          <bgColor theme="4" tint="0.59996337778862885"/>
        </patternFill>
      </fill>
    </dxf>
    <dxf>
      <fill>
        <patternFill>
          <bgColor rgb="FF00B0F0"/>
        </patternFill>
      </fill>
    </dxf>
    <dxf>
      <fill>
        <patternFill>
          <bgColor rgb="FF0070C0"/>
        </patternFill>
      </fill>
    </dxf>
    <dxf>
      <fill>
        <patternFill>
          <bgColor theme="9" tint="0.39994506668294322"/>
        </patternFill>
      </fill>
    </dxf>
    <dxf>
      <fill>
        <patternFill>
          <bgColor rgb="FF92D050"/>
        </patternFill>
      </fill>
    </dxf>
    <dxf>
      <fill>
        <patternFill>
          <bgColor theme="3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rgb="FFFFFF66"/>
        </patternFill>
      </fill>
    </dxf>
    <dxf>
      <fill>
        <patternFill patternType="solid">
          <fgColor indexed="34"/>
          <bgColor indexed="13"/>
        </patternFill>
      </fill>
    </dxf>
    <dxf>
      <fill>
        <patternFill>
          <bgColor rgb="FF00B0F0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solid">
          <fgColor indexed="30"/>
          <bgColor rgb="FF0070C0"/>
        </patternFill>
      </fill>
    </dxf>
    <dxf>
      <fill>
        <patternFill>
          <bgColor rgb="FFFFC000"/>
        </patternFill>
      </fill>
    </dxf>
    <dxf>
      <fill>
        <patternFill>
          <bgColor rgb="FFFFD250"/>
        </patternFill>
      </fill>
    </dxf>
    <dxf>
      <fill>
        <patternFill>
          <bgColor rgb="FFFFC000"/>
        </patternFill>
      </fill>
    </dxf>
    <dxf>
      <fill>
        <patternFill>
          <bgColor rgb="FFFFD250"/>
        </patternFill>
      </fill>
    </dxf>
    <dxf>
      <fill>
        <patternFill>
          <bgColor rgb="FFFFC000"/>
        </patternFill>
      </fill>
    </dxf>
    <dxf>
      <fill>
        <patternFill>
          <bgColor rgb="FFFFD250"/>
        </patternFill>
      </fill>
    </dxf>
    <dxf>
      <fill>
        <patternFill>
          <bgColor rgb="FFFFC000"/>
        </patternFill>
      </fill>
    </dxf>
    <dxf>
      <fill>
        <patternFill>
          <bgColor rgb="FFFFD250"/>
        </patternFill>
      </fill>
    </dxf>
    <dxf>
      <fill>
        <patternFill>
          <bgColor rgb="FFFFC000"/>
        </patternFill>
      </fill>
    </dxf>
    <dxf>
      <fill>
        <patternFill>
          <bgColor rgb="FFFFD250"/>
        </patternFill>
      </fill>
    </dxf>
    <dxf>
      <fill>
        <patternFill>
          <bgColor rgb="FFFFC000"/>
        </patternFill>
      </fill>
    </dxf>
    <dxf>
      <fill>
        <patternFill>
          <bgColor rgb="FFFFD250"/>
        </patternFill>
      </fill>
    </dxf>
    <dxf>
      <fill>
        <patternFill>
          <bgColor rgb="FFFFC000"/>
        </patternFill>
      </fill>
    </dxf>
    <dxf>
      <fill>
        <patternFill>
          <bgColor rgb="FFFFD250"/>
        </patternFill>
      </fill>
    </dxf>
    <dxf>
      <fill>
        <patternFill>
          <bgColor rgb="FFFFC000"/>
        </patternFill>
      </fill>
    </dxf>
    <dxf>
      <fill>
        <patternFill>
          <bgColor rgb="FFFFD250"/>
        </patternFill>
      </fill>
    </dxf>
    <dxf>
      <fill>
        <patternFill>
          <bgColor rgb="FFFFC000"/>
        </patternFill>
      </fill>
    </dxf>
    <dxf>
      <fill>
        <patternFill>
          <bgColor rgb="FFFFD250"/>
        </patternFill>
      </fill>
    </dxf>
    <dxf>
      <fill>
        <patternFill>
          <bgColor rgb="FFFFC000"/>
        </patternFill>
      </fill>
    </dxf>
    <dxf>
      <fill>
        <patternFill>
          <bgColor rgb="FFFFD250"/>
        </patternFill>
      </fill>
    </dxf>
    <dxf>
      <fill>
        <patternFill>
          <bgColor rgb="FFFFC000"/>
        </patternFill>
      </fill>
    </dxf>
    <dxf>
      <fill>
        <patternFill>
          <bgColor rgb="FFFFD250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solid">
          <fgColor indexed="51"/>
          <bgColor rgb="FFFFC000"/>
        </patternFill>
      </fill>
    </dxf>
    <dxf>
      <fill>
        <patternFill>
          <bgColor rgb="FFFFD250"/>
        </patternFill>
      </fill>
    </dxf>
    <dxf>
      <fill>
        <patternFill>
          <bgColor theme="9" tint="0.39994506668294322"/>
        </patternFill>
      </fill>
    </dxf>
    <dxf>
      <fill>
        <patternFill>
          <bgColor rgb="FF92D050"/>
        </patternFill>
      </fill>
    </dxf>
    <dxf>
      <fill>
        <patternFill>
          <bgColor theme="3" tint="0.59996337778862885"/>
        </patternFill>
      </fill>
    </dxf>
    <dxf>
      <fill>
        <patternFill>
          <bgColor rgb="FFFFFF66"/>
        </patternFill>
      </fill>
    </dxf>
    <dxf>
      <fill>
        <patternFill>
          <bgColor indexed="13"/>
        </patternFill>
      </fill>
    </dxf>
    <dxf>
      <fill>
        <patternFill>
          <bgColor theme="4" tint="0.59996337778862885"/>
        </patternFill>
      </fill>
    </dxf>
    <dxf>
      <fill>
        <patternFill>
          <bgColor rgb="FF00B0F0"/>
        </patternFill>
      </fill>
    </dxf>
    <dxf>
      <fill>
        <patternFill>
          <bgColor rgb="FF0070C0"/>
        </patternFill>
      </fill>
    </dxf>
    <dxf>
      <fill>
        <patternFill>
          <bgColor theme="9" tint="0.39994506668294322"/>
        </patternFill>
      </fill>
    </dxf>
    <dxf>
      <fill>
        <patternFill>
          <bgColor rgb="FF92D050"/>
        </patternFill>
      </fill>
    </dxf>
    <dxf>
      <fill>
        <patternFill>
          <bgColor theme="3" tint="0.59996337778862885"/>
        </patternFill>
      </fill>
    </dxf>
    <dxf>
      <fill>
        <patternFill>
          <bgColor rgb="FFFFFF66"/>
        </patternFill>
      </fill>
    </dxf>
    <dxf>
      <fill>
        <patternFill>
          <bgColor indexed="13"/>
        </patternFill>
      </fill>
    </dxf>
    <dxf>
      <fill>
        <patternFill>
          <bgColor theme="4" tint="0.59996337778862885"/>
        </patternFill>
      </fill>
    </dxf>
    <dxf>
      <fill>
        <patternFill>
          <bgColor rgb="FF00B0F0"/>
        </patternFill>
      </fill>
    </dxf>
    <dxf>
      <fill>
        <patternFill>
          <bgColor rgb="FF0070C0"/>
        </patternFill>
      </fill>
    </dxf>
    <dxf>
      <fill>
        <patternFill>
          <bgColor rgb="FFFFC000"/>
        </patternFill>
      </fill>
    </dxf>
    <dxf>
      <fill>
        <patternFill>
          <bgColor rgb="FFFFD250"/>
        </patternFill>
      </fill>
    </dxf>
    <dxf>
      <fill>
        <patternFill>
          <bgColor rgb="FFFFC000"/>
        </patternFill>
      </fill>
    </dxf>
    <dxf>
      <fill>
        <patternFill>
          <bgColor rgb="FFFFD250"/>
        </patternFill>
      </fill>
    </dxf>
    <dxf>
      <numFmt numFmtId="1" formatCode="0"/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92D050"/>
        </patternFill>
      </fill>
    </dxf>
    <dxf>
      <fill>
        <patternFill>
          <bgColor theme="3" tint="0.59996337778862885"/>
        </patternFill>
      </fill>
    </dxf>
    <dxf>
      <fill>
        <patternFill>
          <bgColor rgb="FFFFFF66"/>
        </patternFill>
      </fill>
    </dxf>
    <dxf>
      <fill>
        <patternFill>
          <bgColor indexed="13"/>
        </patternFill>
      </fill>
    </dxf>
    <dxf>
      <fill>
        <patternFill>
          <bgColor theme="4" tint="0.59996337778862885"/>
        </patternFill>
      </fill>
    </dxf>
    <dxf>
      <fill>
        <patternFill>
          <bgColor rgb="FF00B0F0"/>
        </patternFill>
      </fill>
    </dxf>
    <dxf>
      <fill>
        <patternFill>
          <bgColor rgb="FF0070C0"/>
        </patternFill>
      </fill>
    </dxf>
    <dxf>
      <fill>
        <patternFill>
          <bgColor theme="9" tint="0.39994506668294322"/>
        </patternFill>
      </fill>
    </dxf>
    <dxf>
      <fill>
        <patternFill>
          <bgColor rgb="FF92D050"/>
        </patternFill>
      </fill>
    </dxf>
    <dxf>
      <fill>
        <patternFill>
          <bgColor theme="3" tint="0.59996337778862885"/>
        </patternFill>
      </fill>
    </dxf>
    <dxf>
      <fill>
        <patternFill>
          <bgColor rgb="FFFFFF66"/>
        </patternFill>
      </fill>
    </dxf>
    <dxf>
      <fill>
        <patternFill>
          <bgColor indexed="13"/>
        </patternFill>
      </fill>
    </dxf>
    <dxf>
      <fill>
        <patternFill>
          <bgColor theme="4" tint="0.59996337778862885"/>
        </patternFill>
      </fill>
    </dxf>
    <dxf>
      <fill>
        <patternFill>
          <bgColor rgb="FF00B0F0"/>
        </patternFill>
      </fill>
    </dxf>
    <dxf>
      <fill>
        <patternFill>
          <bgColor rgb="FF0070C0"/>
        </patternFill>
      </fill>
    </dxf>
    <dxf>
      <fill>
        <patternFill>
          <bgColor rgb="FFFFC000"/>
        </patternFill>
      </fill>
    </dxf>
    <dxf>
      <fill>
        <patternFill>
          <bgColor rgb="FFFFD250"/>
        </patternFill>
      </fill>
    </dxf>
    <dxf>
      <fill>
        <patternFill>
          <bgColor rgb="FFFFC000"/>
        </patternFill>
      </fill>
    </dxf>
    <dxf>
      <fill>
        <patternFill>
          <bgColor rgb="FFFFD250"/>
        </patternFill>
      </fill>
    </dxf>
    <dxf>
      <numFmt numFmtId="1" formatCode="0"/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92D050"/>
        </patternFill>
      </fill>
    </dxf>
    <dxf>
      <fill>
        <patternFill>
          <bgColor theme="3" tint="0.59996337778862885"/>
        </patternFill>
      </fill>
    </dxf>
    <dxf>
      <fill>
        <patternFill>
          <bgColor rgb="FFFFFF66"/>
        </patternFill>
      </fill>
    </dxf>
    <dxf>
      <fill>
        <patternFill>
          <bgColor indexed="13"/>
        </patternFill>
      </fill>
    </dxf>
    <dxf>
      <fill>
        <patternFill>
          <bgColor theme="4" tint="0.59996337778862885"/>
        </patternFill>
      </fill>
    </dxf>
    <dxf>
      <fill>
        <patternFill>
          <bgColor rgb="FF00B0F0"/>
        </patternFill>
      </fill>
    </dxf>
    <dxf>
      <fill>
        <patternFill>
          <bgColor rgb="FF0070C0"/>
        </patternFill>
      </fill>
    </dxf>
    <dxf>
      <fill>
        <patternFill>
          <bgColor theme="9" tint="0.39994506668294322"/>
        </patternFill>
      </fill>
    </dxf>
    <dxf>
      <fill>
        <patternFill>
          <bgColor rgb="FF92D050"/>
        </patternFill>
      </fill>
    </dxf>
    <dxf>
      <fill>
        <patternFill>
          <bgColor theme="3" tint="0.59996337778862885"/>
        </patternFill>
      </fill>
    </dxf>
    <dxf>
      <fill>
        <patternFill>
          <bgColor rgb="FFFFFF66"/>
        </patternFill>
      </fill>
    </dxf>
    <dxf>
      <fill>
        <patternFill>
          <bgColor indexed="13"/>
        </patternFill>
      </fill>
    </dxf>
    <dxf>
      <fill>
        <patternFill>
          <bgColor theme="4" tint="0.59996337778862885"/>
        </patternFill>
      </fill>
    </dxf>
    <dxf>
      <fill>
        <patternFill>
          <bgColor rgb="FF00B0F0"/>
        </patternFill>
      </fill>
    </dxf>
    <dxf>
      <fill>
        <patternFill>
          <bgColor rgb="FF0070C0"/>
        </patternFill>
      </fill>
    </dxf>
    <dxf>
      <fill>
        <patternFill>
          <bgColor rgb="FFFFC000"/>
        </patternFill>
      </fill>
    </dxf>
    <dxf>
      <fill>
        <patternFill>
          <bgColor rgb="FFFFD250"/>
        </patternFill>
      </fill>
    </dxf>
    <dxf>
      <fill>
        <patternFill>
          <bgColor rgb="FFFFC000"/>
        </patternFill>
      </fill>
    </dxf>
    <dxf>
      <fill>
        <patternFill>
          <bgColor rgb="FFFFD250"/>
        </patternFill>
      </fill>
    </dxf>
    <dxf>
      <numFmt numFmtId="1" formatCode="0"/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92D050"/>
        </patternFill>
      </fill>
    </dxf>
    <dxf>
      <fill>
        <patternFill>
          <bgColor theme="3" tint="0.59996337778862885"/>
        </patternFill>
      </fill>
    </dxf>
    <dxf>
      <fill>
        <patternFill>
          <bgColor rgb="FFFFFF66"/>
        </patternFill>
      </fill>
    </dxf>
    <dxf>
      <fill>
        <patternFill>
          <bgColor indexed="13"/>
        </patternFill>
      </fill>
    </dxf>
    <dxf>
      <fill>
        <patternFill>
          <bgColor theme="4" tint="0.59996337778862885"/>
        </patternFill>
      </fill>
    </dxf>
    <dxf>
      <fill>
        <patternFill>
          <bgColor rgb="FF00B0F0"/>
        </patternFill>
      </fill>
    </dxf>
    <dxf>
      <fill>
        <patternFill>
          <bgColor rgb="FF0070C0"/>
        </patternFill>
      </fill>
    </dxf>
    <dxf>
      <fill>
        <patternFill>
          <bgColor theme="9" tint="0.39994506668294322"/>
        </patternFill>
      </fill>
    </dxf>
    <dxf>
      <fill>
        <patternFill>
          <bgColor rgb="FF92D050"/>
        </patternFill>
      </fill>
    </dxf>
    <dxf>
      <fill>
        <patternFill>
          <bgColor theme="3" tint="0.59996337778862885"/>
        </patternFill>
      </fill>
    </dxf>
    <dxf>
      <fill>
        <patternFill>
          <bgColor rgb="FFFFFF66"/>
        </patternFill>
      </fill>
    </dxf>
    <dxf>
      <fill>
        <patternFill>
          <bgColor indexed="13"/>
        </patternFill>
      </fill>
    </dxf>
    <dxf>
      <fill>
        <patternFill>
          <bgColor theme="4" tint="0.59996337778862885"/>
        </patternFill>
      </fill>
    </dxf>
    <dxf>
      <fill>
        <patternFill>
          <bgColor rgb="FF00B0F0"/>
        </patternFill>
      </fill>
    </dxf>
    <dxf>
      <fill>
        <patternFill>
          <bgColor rgb="FF0070C0"/>
        </patternFill>
      </fill>
    </dxf>
    <dxf>
      <fill>
        <patternFill>
          <bgColor rgb="FFFFC000"/>
        </patternFill>
      </fill>
    </dxf>
    <dxf>
      <fill>
        <patternFill>
          <bgColor rgb="FFFFD250"/>
        </patternFill>
      </fill>
    </dxf>
    <dxf>
      <fill>
        <patternFill>
          <bgColor rgb="FFFFC000"/>
        </patternFill>
      </fill>
    </dxf>
    <dxf>
      <fill>
        <patternFill>
          <bgColor rgb="FFFFD250"/>
        </patternFill>
      </fill>
    </dxf>
    <dxf>
      <numFmt numFmtId="1" formatCode="0"/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92D050"/>
        </patternFill>
      </fill>
    </dxf>
    <dxf>
      <fill>
        <patternFill>
          <bgColor theme="3" tint="0.59996337778862885"/>
        </patternFill>
      </fill>
    </dxf>
    <dxf>
      <fill>
        <patternFill>
          <bgColor rgb="FFFFFF66"/>
        </patternFill>
      </fill>
    </dxf>
    <dxf>
      <fill>
        <patternFill>
          <bgColor indexed="13"/>
        </patternFill>
      </fill>
    </dxf>
    <dxf>
      <fill>
        <patternFill>
          <bgColor theme="4" tint="0.59996337778862885"/>
        </patternFill>
      </fill>
    </dxf>
    <dxf>
      <fill>
        <patternFill>
          <bgColor rgb="FF00B0F0"/>
        </patternFill>
      </fill>
    </dxf>
    <dxf>
      <fill>
        <patternFill>
          <bgColor rgb="FF0070C0"/>
        </patternFill>
      </fill>
    </dxf>
    <dxf>
      <fill>
        <patternFill>
          <bgColor theme="9" tint="0.39994506668294322"/>
        </patternFill>
      </fill>
    </dxf>
    <dxf>
      <fill>
        <patternFill>
          <bgColor rgb="FF92D050"/>
        </patternFill>
      </fill>
    </dxf>
    <dxf>
      <fill>
        <patternFill>
          <bgColor theme="3" tint="0.59996337778862885"/>
        </patternFill>
      </fill>
    </dxf>
    <dxf>
      <fill>
        <patternFill>
          <bgColor rgb="FFFFFF66"/>
        </patternFill>
      </fill>
    </dxf>
    <dxf>
      <fill>
        <patternFill>
          <bgColor indexed="13"/>
        </patternFill>
      </fill>
    </dxf>
    <dxf>
      <fill>
        <patternFill>
          <bgColor theme="4" tint="0.59996337778862885"/>
        </patternFill>
      </fill>
    </dxf>
    <dxf>
      <fill>
        <patternFill>
          <bgColor rgb="FF00B0F0"/>
        </patternFill>
      </fill>
    </dxf>
    <dxf>
      <fill>
        <patternFill>
          <bgColor rgb="FF0070C0"/>
        </patternFill>
      </fill>
    </dxf>
    <dxf>
      <fill>
        <patternFill>
          <bgColor rgb="FFFFC000"/>
        </patternFill>
      </fill>
    </dxf>
    <dxf>
      <fill>
        <patternFill>
          <bgColor rgb="FFFFD250"/>
        </patternFill>
      </fill>
    </dxf>
    <dxf>
      <fill>
        <patternFill>
          <bgColor rgb="FFFFC000"/>
        </patternFill>
      </fill>
    </dxf>
    <dxf>
      <fill>
        <patternFill>
          <bgColor rgb="FFFFD250"/>
        </patternFill>
      </fill>
    </dxf>
    <dxf>
      <numFmt numFmtId="1" formatCode="0"/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92D050"/>
        </patternFill>
      </fill>
    </dxf>
    <dxf>
      <fill>
        <patternFill>
          <bgColor theme="3" tint="0.59996337778862885"/>
        </patternFill>
      </fill>
    </dxf>
    <dxf>
      <fill>
        <patternFill>
          <bgColor rgb="FFFFFF66"/>
        </patternFill>
      </fill>
    </dxf>
    <dxf>
      <fill>
        <patternFill>
          <bgColor indexed="13"/>
        </patternFill>
      </fill>
    </dxf>
    <dxf>
      <fill>
        <patternFill>
          <bgColor theme="4" tint="0.59996337778862885"/>
        </patternFill>
      </fill>
    </dxf>
    <dxf>
      <fill>
        <patternFill>
          <bgColor rgb="FF00B0F0"/>
        </patternFill>
      </fill>
    </dxf>
    <dxf>
      <fill>
        <patternFill>
          <bgColor rgb="FF0070C0"/>
        </patternFill>
      </fill>
    </dxf>
    <dxf>
      <fill>
        <patternFill>
          <bgColor theme="9" tint="0.39994506668294322"/>
        </patternFill>
      </fill>
    </dxf>
    <dxf>
      <fill>
        <patternFill>
          <bgColor rgb="FF92D050"/>
        </patternFill>
      </fill>
    </dxf>
    <dxf>
      <fill>
        <patternFill>
          <bgColor theme="3" tint="0.59996337778862885"/>
        </patternFill>
      </fill>
    </dxf>
    <dxf>
      <fill>
        <patternFill>
          <bgColor rgb="FFFFFF66"/>
        </patternFill>
      </fill>
    </dxf>
    <dxf>
      <fill>
        <patternFill>
          <bgColor indexed="13"/>
        </patternFill>
      </fill>
    </dxf>
    <dxf>
      <fill>
        <patternFill>
          <bgColor theme="4" tint="0.59996337778862885"/>
        </patternFill>
      </fill>
    </dxf>
    <dxf>
      <fill>
        <patternFill>
          <bgColor rgb="FF00B0F0"/>
        </patternFill>
      </fill>
    </dxf>
    <dxf>
      <fill>
        <patternFill>
          <bgColor rgb="FF0070C0"/>
        </patternFill>
      </fill>
    </dxf>
    <dxf>
      <fill>
        <patternFill>
          <bgColor rgb="FFFFC000"/>
        </patternFill>
      </fill>
    </dxf>
    <dxf>
      <fill>
        <patternFill>
          <bgColor rgb="FFFFD250"/>
        </patternFill>
      </fill>
    </dxf>
    <dxf>
      <fill>
        <patternFill>
          <bgColor rgb="FFFFC000"/>
        </patternFill>
      </fill>
    </dxf>
    <dxf>
      <fill>
        <patternFill>
          <bgColor rgb="FFFFD250"/>
        </patternFill>
      </fill>
    </dxf>
    <dxf>
      <numFmt numFmtId="1" formatCode="0"/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92D050"/>
        </patternFill>
      </fill>
    </dxf>
    <dxf>
      <fill>
        <patternFill>
          <bgColor theme="3" tint="0.59996337778862885"/>
        </patternFill>
      </fill>
    </dxf>
    <dxf>
      <fill>
        <patternFill>
          <bgColor rgb="FFFFFF66"/>
        </patternFill>
      </fill>
    </dxf>
    <dxf>
      <fill>
        <patternFill>
          <bgColor indexed="13"/>
        </patternFill>
      </fill>
    </dxf>
    <dxf>
      <fill>
        <patternFill>
          <bgColor theme="4" tint="0.59996337778862885"/>
        </patternFill>
      </fill>
    </dxf>
    <dxf>
      <fill>
        <patternFill>
          <bgColor rgb="FF00B0F0"/>
        </patternFill>
      </fill>
    </dxf>
    <dxf>
      <fill>
        <patternFill>
          <bgColor rgb="FF0070C0"/>
        </patternFill>
      </fill>
    </dxf>
    <dxf>
      <fill>
        <patternFill>
          <bgColor theme="9" tint="0.39994506668294322"/>
        </patternFill>
      </fill>
    </dxf>
    <dxf>
      <fill>
        <patternFill>
          <bgColor rgb="FF92D050"/>
        </patternFill>
      </fill>
    </dxf>
    <dxf>
      <fill>
        <patternFill>
          <bgColor theme="3" tint="0.59996337778862885"/>
        </patternFill>
      </fill>
    </dxf>
    <dxf>
      <fill>
        <patternFill>
          <bgColor rgb="FFFFFF66"/>
        </patternFill>
      </fill>
    </dxf>
    <dxf>
      <fill>
        <patternFill>
          <bgColor indexed="13"/>
        </patternFill>
      </fill>
    </dxf>
    <dxf>
      <fill>
        <patternFill>
          <bgColor theme="4" tint="0.59996337778862885"/>
        </patternFill>
      </fill>
    </dxf>
    <dxf>
      <fill>
        <patternFill>
          <bgColor rgb="FF00B0F0"/>
        </patternFill>
      </fill>
    </dxf>
    <dxf>
      <fill>
        <patternFill>
          <bgColor rgb="FF0070C0"/>
        </patternFill>
      </fill>
    </dxf>
    <dxf>
      <font>
        <strike/>
        <color rgb="FFFF0000"/>
      </font>
    </dxf>
    <dxf>
      <fill>
        <patternFill>
          <bgColor rgb="FFFFC000"/>
        </patternFill>
      </fill>
    </dxf>
    <dxf>
      <fill>
        <patternFill>
          <bgColor rgb="FFFFD250"/>
        </patternFill>
      </fill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ill>
        <patternFill>
          <bgColor rgb="FFFFC000"/>
        </patternFill>
      </fill>
    </dxf>
    <dxf>
      <fill>
        <patternFill>
          <bgColor rgb="FFFFD250"/>
        </patternFill>
      </fill>
    </dxf>
    <dxf>
      <numFmt numFmtId="1" formatCode="0"/>
    </dxf>
    <dxf>
      <fill>
        <patternFill>
          <bgColor theme="9" tint="0.39994506668294322"/>
        </patternFill>
      </fill>
    </dxf>
    <dxf>
      <fill>
        <patternFill>
          <bgColor rgb="FF92D050"/>
        </patternFill>
      </fill>
    </dxf>
    <dxf>
      <fill>
        <patternFill>
          <bgColor theme="3" tint="0.59996337778862885"/>
        </patternFill>
      </fill>
    </dxf>
    <dxf>
      <fill>
        <patternFill>
          <bgColor rgb="FFFFFF66"/>
        </patternFill>
      </fill>
    </dxf>
    <dxf>
      <fill>
        <patternFill>
          <bgColor indexed="13"/>
        </patternFill>
      </fill>
    </dxf>
    <dxf>
      <fill>
        <patternFill>
          <bgColor theme="4" tint="0.59996337778862885"/>
        </patternFill>
      </fill>
    </dxf>
    <dxf>
      <fill>
        <patternFill>
          <bgColor rgb="FF00B0F0"/>
        </patternFill>
      </fill>
    </dxf>
    <dxf>
      <fill>
        <patternFill>
          <bgColor rgb="FF0070C0"/>
        </patternFill>
      </fill>
    </dxf>
    <dxf>
      <fill>
        <patternFill>
          <bgColor theme="9" tint="0.39994506668294322"/>
        </patternFill>
      </fill>
    </dxf>
    <dxf>
      <fill>
        <patternFill>
          <bgColor rgb="FF92D050"/>
        </patternFill>
      </fill>
    </dxf>
    <dxf>
      <fill>
        <patternFill>
          <bgColor theme="3" tint="0.59996337778862885"/>
        </patternFill>
      </fill>
    </dxf>
    <dxf>
      <fill>
        <patternFill>
          <bgColor rgb="FFFFFF66"/>
        </patternFill>
      </fill>
    </dxf>
    <dxf>
      <fill>
        <patternFill>
          <bgColor indexed="13"/>
        </patternFill>
      </fill>
    </dxf>
    <dxf>
      <fill>
        <patternFill>
          <bgColor theme="4" tint="0.59996337778862885"/>
        </patternFill>
      </fill>
    </dxf>
    <dxf>
      <fill>
        <patternFill>
          <bgColor rgb="FF00B0F0"/>
        </patternFill>
      </fill>
    </dxf>
    <dxf>
      <fill>
        <patternFill>
          <bgColor rgb="FF0070C0"/>
        </patternFill>
      </fill>
    </dxf>
    <dxf>
      <fill>
        <patternFill>
          <bgColor rgb="FFFFC000"/>
        </patternFill>
      </fill>
    </dxf>
    <dxf>
      <fill>
        <patternFill>
          <bgColor rgb="FFFFD250"/>
        </patternFill>
      </fill>
    </dxf>
    <dxf>
      <fill>
        <patternFill>
          <bgColor rgb="FFFFC000"/>
        </patternFill>
      </fill>
    </dxf>
    <dxf>
      <fill>
        <patternFill>
          <bgColor rgb="FFFFD250"/>
        </patternFill>
      </fill>
    </dxf>
    <dxf>
      <numFmt numFmtId="1" formatCode="0"/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92D050"/>
        </patternFill>
      </fill>
    </dxf>
    <dxf>
      <fill>
        <patternFill>
          <bgColor theme="3" tint="0.59996337778862885"/>
        </patternFill>
      </fill>
    </dxf>
    <dxf>
      <fill>
        <patternFill>
          <bgColor rgb="FFFFFF66"/>
        </patternFill>
      </fill>
    </dxf>
    <dxf>
      <fill>
        <patternFill>
          <bgColor indexed="13"/>
        </patternFill>
      </fill>
    </dxf>
    <dxf>
      <fill>
        <patternFill>
          <bgColor theme="4" tint="0.59996337778862885"/>
        </patternFill>
      </fill>
    </dxf>
    <dxf>
      <fill>
        <patternFill>
          <bgColor rgb="FF00B0F0"/>
        </patternFill>
      </fill>
    </dxf>
    <dxf>
      <fill>
        <patternFill>
          <bgColor rgb="FF0070C0"/>
        </patternFill>
      </fill>
    </dxf>
    <dxf>
      <fill>
        <patternFill>
          <bgColor theme="9" tint="0.39994506668294322"/>
        </patternFill>
      </fill>
    </dxf>
    <dxf>
      <fill>
        <patternFill>
          <bgColor rgb="FF92D050"/>
        </patternFill>
      </fill>
    </dxf>
    <dxf>
      <fill>
        <patternFill>
          <bgColor theme="3" tint="0.59996337778862885"/>
        </patternFill>
      </fill>
    </dxf>
    <dxf>
      <fill>
        <patternFill>
          <bgColor rgb="FFFFFF66"/>
        </patternFill>
      </fill>
    </dxf>
    <dxf>
      <fill>
        <patternFill>
          <bgColor indexed="13"/>
        </patternFill>
      </fill>
    </dxf>
    <dxf>
      <fill>
        <patternFill>
          <bgColor theme="4" tint="0.59996337778862885"/>
        </patternFill>
      </fill>
    </dxf>
    <dxf>
      <fill>
        <patternFill>
          <bgColor rgb="FF00B0F0"/>
        </patternFill>
      </fill>
    </dxf>
    <dxf>
      <fill>
        <patternFill>
          <bgColor rgb="FF0070C0"/>
        </patternFill>
      </fill>
    </dxf>
    <dxf>
      <font>
        <strike/>
        <color rgb="FFFF0000"/>
      </font>
    </dxf>
    <dxf>
      <fill>
        <patternFill>
          <bgColor rgb="FFFFC000"/>
        </patternFill>
      </fill>
    </dxf>
    <dxf>
      <fill>
        <patternFill>
          <bgColor rgb="FFFFD250"/>
        </patternFill>
      </fill>
    </dxf>
    <dxf>
      <font>
        <strike/>
        <color rgb="FFFF0000"/>
      </font>
    </dxf>
    <dxf>
      <fill>
        <patternFill>
          <bgColor rgb="FFFFC000"/>
        </patternFill>
      </fill>
    </dxf>
    <dxf>
      <fill>
        <patternFill>
          <bgColor rgb="FFFFD250"/>
        </patternFill>
      </fill>
    </dxf>
    <dxf>
      <numFmt numFmtId="1" formatCode="0"/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92D050"/>
        </patternFill>
      </fill>
    </dxf>
    <dxf>
      <fill>
        <patternFill>
          <bgColor theme="3" tint="0.59996337778862885"/>
        </patternFill>
      </fill>
    </dxf>
    <dxf>
      <fill>
        <patternFill>
          <bgColor rgb="FFFFFF66"/>
        </patternFill>
      </fill>
    </dxf>
    <dxf>
      <fill>
        <patternFill>
          <bgColor indexed="13"/>
        </patternFill>
      </fill>
    </dxf>
    <dxf>
      <fill>
        <patternFill>
          <bgColor theme="4" tint="0.59996337778862885"/>
        </patternFill>
      </fill>
    </dxf>
    <dxf>
      <fill>
        <patternFill>
          <bgColor rgb="FF00B0F0"/>
        </patternFill>
      </fill>
    </dxf>
    <dxf>
      <fill>
        <patternFill>
          <bgColor rgb="FF0070C0"/>
        </patternFill>
      </fill>
    </dxf>
    <dxf>
      <fill>
        <patternFill>
          <bgColor theme="9" tint="0.39994506668294322"/>
        </patternFill>
      </fill>
    </dxf>
    <dxf>
      <fill>
        <patternFill>
          <bgColor rgb="FF92D050"/>
        </patternFill>
      </fill>
    </dxf>
    <dxf>
      <fill>
        <patternFill>
          <bgColor theme="3" tint="0.59996337778862885"/>
        </patternFill>
      </fill>
    </dxf>
    <dxf>
      <fill>
        <patternFill>
          <bgColor rgb="FFFFFF66"/>
        </patternFill>
      </fill>
    </dxf>
    <dxf>
      <fill>
        <patternFill>
          <bgColor indexed="13"/>
        </patternFill>
      </fill>
    </dxf>
    <dxf>
      <fill>
        <patternFill>
          <bgColor theme="4" tint="0.59996337778862885"/>
        </patternFill>
      </fill>
    </dxf>
    <dxf>
      <fill>
        <patternFill>
          <bgColor rgb="FF00B0F0"/>
        </patternFill>
      </fill>
    </dxf>
    <dxf>
      <fill>
        <patternFill>
          <bgColor rgb="FF0070C0"/>
        </patternFill>
      </fill>
    </dxf>
    <dxf>
      <fill>
        <patternFill>
          <bgColor rgb="FFFFC000"/>
        </patternFill>
      </fill>
    </dxf>
    <dxf>
      <fill>
        <patternFill>
          <bgColor rgb="FFFFD250"/>
        </patternFill>
      </fill>
    </dxf>
    <dxf>
      <fill>
        <patternFill>
          <bgColor rgb="FFFFC000"/>
        </patternFill>
      </fill>
    </dxf>
    <dxf>
      <fill>
        <patternFill>
          <bgColor rgb="FFFFD250"/>
        </patternFill>
      </fill>
    </dxf>
    <dxf>
      <numFmt numFmtId="1" formatCode="0"/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92D050"/>
        </patternFill>
      </fill>
    </dxf>
    <dxf>
      <fill>
        <patternFill>
          <bgColor theme="3" tint="0.59996337778862885"/>
        </patternFill>
      </fill>
    </dxf>
    <dxf>
      <fill>
        <patternFill>
          <bgColor rgb="FFFFFF66"/>
        </patternFill>
      </fill>
    </dxf>
    <dxf>
      <fill>
        <patternFill>
          <bgColor indexed="13"/>
        </patternFill>
      </fill>
    </dxf>
    <dxf>
      <fill>
        <patternFill>
          <bgColor theme="4" tint="0.59996337778862885"/>
        </patternFill>
      </fill>
    </dxf>
    <dxf>
      <fill>
        <patternFill>
          <bgColor rgb="FF00B0F0"/>
        </patternFill>
      </fill>
    </dxf>
    <dxf>
      <fill>
        <patternFill>
          <bgColor rgb="FF0070C0"/>
        </patternFill>
      </fill>
    </dxf>
    <dxf>
      <fill>
        <patternFill>
          <bgColor theme="9" tint="0.39994506668294322"/>
        </patternFill>
      </fill>
    </dxf>
    <dxf>
      <fill>
        <patternFill>
          <bgColor rgb="FF92D050"/>
        </patternFill>
      </fill>
    </dxf>
    <dxf>
      <fill>
        <patternFill>
          <bgColor theme="3" tint="0.59996337778862885"/>
        </patternFill>
      </fill>
    </dxf>
    <dxf>
      <fill>
        <patternFill>
          <bgColor rgb="FFFFFF66"/>
        </patternFill>
      </fill>
    </dxf>
    <dxf>
      <fill>
        <patternFill>
          <bgColor indexed="13"/>
        </patternFill>
      </fill>
    </dxf>
    <dxf>
      <fill>
        <patternFill>
          <bgColor theme="4" tint="0.59996337778862885"/>
        </patternFill>
      </fill>
    </dxf>
    <dxf>
      <fill>
        <patternFill>
          <bgColor rgb="FF00B0F0"/>
        </patternFill>
      </fill>
    </dxf>
    <dxf>
      <fill>
        <patternFill>
          <bgColor rgb="FF0070C0"/>
        </patternFill>
      </fill>
    </dxf>
    <dxf>
      <font>
        <strike/>
        <color rgb="FFFF0000"/>
      </font>
    </dxf>
    <dxf>
      <numFmt numFmtId="1" formatCode="0"/>
    </dxf>
    <dxf>
      <font>
        <strike/>
        <color rgb="FFFF0000"/>
      </font>
    </dxf>
    <dxf>
      <fill>
        <patternFill>
          <bgColor rgb="FFFFC000"/>
        </patternFill>
      </fill>
    </dxf>
    <dxf>
      <fill>
        <patternFill>
          <bgColor rgb="FFFFD250"/>
        </patternFill>
      </fill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ill>
        <patternFill>
          <bgColor rgb="FFFFC000"/>
        </patternFill>
      </fill>
    </dxf>
    <dxf>
      <fill>
        <patternFill>
          <bgColor rgb="FFFFD250"/>
        </patternFill>
      </fill>
    </dxf>
    <dxf>
      <fill>
        <patternFill>
          <bgColor theme="9" tint="0.39994506668294322"/>
        </patternFill>
      </fill>
    </dxf>
    <dxf>
      <fill>
        <patternFill>
          <bgColor rgb="FF92D050"/>
        </patternFill>
      </fill>
    </dxf>
    <dxf>
      <fill>
        <patternFill>
          <bgColor theme="3" tint="0.59996337778862885"/>
        </patternFill>
      </fill>
    </dxf>
    <dxf>
      <fill>
        <patternFill>
          <bgColor rgb="FFFFFF66"/>
        </patternFill>
      </fill>
    </dxf>
    <dxf>
      <fill>
        <patternFill>
          <bgColor indexed="13"/>
        </patternFill>
      </fill>
    </dxf>
    <dxf>
      <fill>
        <patternFill>
          <bgColor theme="4" tint="0.59996337778862885"/>
        </patternFill>
      </fill>
    </dxf>
    <dxf>
      <fill>
        <patternFill>
          <bgColor rgb="FF00B0F0"/>
        </patternFill>
      </fill>
    </dxf>
    <dxf>
      <fill>
        <patternFill>
          <bgColor rgb="FF0070C0"/>
        </patternFill>
      </fill>
    </dxf>
    <dxf>
      <fill>
        <patternFill>
          <bgColor theme="9" tint="0.39994506668294322"/>
        </patternFill>
      </fill>
    </dxf>
    <dxf>
      <fill>
        <patternFill>
          <bgColor rgb="FF92D050"/>
        </patternFill>
      </fill>
    </dxf>
    <dxf>
      <fill>
        <patternFill>
          <bgColor theme="3" tint="0.59996337778862885"/>
        </patternFill>
      </fill>
    </dxf>
    <dxf>
      <fill>
        <patternFill>
          <bgColor rgb="FFFFFF66"/>
        </patternFill>
      </fill>
    </dxf>
    <dxf>
      <fill>
        <patternFill>
          <bgColor indexed="13"/>
        </patternFill>
      </fill>
    </dxf>
    <dxf>
      <fill>
        <patternFill>
          <bgColor theme="4" tint="0.59996337778862885"/>
        </patternFill>
      </fill>
    </dxf>
    <dxf>
      <fill>
        <patternFill>
          <bgColor rgb="FF00B0F0"/>
        </patternFill>
      </fill>
    </dxf>
    <dxf>
      <fill>
        <patternFill>
          <bgColor rgb="FF0070C0"/>
        </patternFill>
      </fill>
    </dxf>
    <dxf>
      <font>
        <strike/>
        <color rgb="FFFF0000"/>
      </font>
    </dxf>
    <dxf>
      <numFmt numFmtId="1" formatCode="0"/>
    </dxf>
    <dxf>
      <font>
        <strike/>
        <color rgb="FFFF0000"/>
      </font>
    </dxf>
    <dxf>
      <fill>
        <patternFill>
          <bgColor rgb="FFFFC000"/>
        </patternFill>
      </fill>
    </dxf>
    <dxf>
      <fill>
        <patternFill>
          <bgColor rgb="FFFFD250"/>
        </patternFill>
      </fill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ill>
        <patternFill>
          <bgColor rgb="FFFFC000"/>
        </patternFill>
      </fill>
    </dxf>
    <dxf>
      <fill>
        <patternFill>
          <bgColor rgb="FFFFD25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193" formatCode="#,##0.00\ &quot;€&quot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hair">
          <color theme="0" tint="-0.34998626667073579"/>
        </top>
        <bottom style="hair">
          <color theme="0" tint="-0.34998626667073579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hair">
          <color theme="0" tint="-0.34998626667073579"/>
        </top>
        <bottom style="hair">
          <color theme="0" tint="-0.34998626667073579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hair">
          <color theme="0" tint="-0.34998626667073579"/>
        </top>
        <bottom style="hair">
          <color theme="0" tint="-0.34998626667073579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1" justifyLastLine="0" shrinkToFit="0" readingOrder="0"/>
      <border diagonalUp="0" diagonalDown="0" outline="0">
        <left/>
        <right style="thin">
          <color indexed="64"/>
        </right>
        <top style="hair">
          <color theme="0" tint="-0.34998626667073579"/>
        </top>
        <bottom style="hair">
          <color theme="0" tint="-0.34998626667073579"/>
        </bottom>
      </border>
      <protection locked="1" hidden="1"/>
    </dxf>
    <dxf>
      <font>
        <b val="0"/>
        <family val="2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193" formatCode="#,##0.00\ &quot;€&quot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hair">
          <color theme="0" tint="-0.34998626667073579"/>
        </top>
        <bottom style="hair">
          <color theme="0" tint="-0.34998626667073579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hair">
          <color theme="0" tint="-0.34998626667073579"/>
        </top>
        <bottom style="hair">
          <color theme="0" tint="-0.34998626667073579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hair">
          <color theme="0" tint="-0.34998626667073579"/>
        </top>
        <bottom style="hair">
          <color theme="0" tint="-0.34998626667073579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1" justifyLastLine="0" shrinkToFit="0" readingOrder="0"/>
      <border diagonalUp="0" diagonalDown="0" outline="0">
        <left/>
        <right style="thin">
          <color indexed="64"/>
        </right>
        <top style="hair">
          <color theme="0" tint="-0.34998626667073579"/>
        </top>
        <bottom style="hair">
          <color theme="0" tint="-0.34998626667073579"/>
        </bottom>
      </border>
      <protection locked="1" hidden="1"/>
    </dxf>
    <dxf>
      <font>
        <b val="0"/>
        <family val="2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193" formatCode="#,##0.00\ &quot;€&quot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hair">
          <color theme="0" tint="-0.34998626667073579"/>
        </top>
        <bottom style="hair">
          <color theme="0" tint="-0.34998626667073579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hair">
          <color theme="0" tint="-0.34998626667073579"/>
        </top>
        <bottom style="hair">
          <color theme="0" tint="-0.34998626667073579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hair">
          <color theme="0" tint="-0.34998626667073579"/>
        </top>
        <bottom style="hair">
          <color theme="0" tint="-0.34998626667073579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1" justifyLastLine="0" shrinkToFit="0" readingOrder="0"/>
      <border diagonalUp="0" diagonalDown="0" outline="0">
        <left/>
        <right style="thin">
          <color indexed="64"/>
        </right>
        <top style="hair">
          <color theme="0" tint="-0.34998626667073579"/>
        </top>
        <bottom style="hair">
          <color theme="0" tint="-0.34998626667073579"/>
        </bottom>
      </border>
      <protection locked="1" hidden="1"/>
    </dxf>
    <dxf>
      <font>
        <b val="0"/>
        <family val="2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193" formatCode="#,##0.00\ &quot;€&quot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hair">
          <color theme="0" tint="-0.34998626667073579"/>
        </top>
        <bottom style="hair">
          <color theme="0" tint="-0.34998626667073579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hair">
          <color theme="0" tint="-0.34998626667073579"/>
        </top>
        <bottom style="hair">
          <color theme="0" tint="-0.34998626667073579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hair">
          <color theme="0" tint="-0.34998626667073579"/>
        </top>
        <bottom style="hair">
          <color theme="0" tint="-0.34998626667073579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1" justifyLastLine="0" shrinkToFit="0" readingOrder="0"/>
      <border diagonalUp="0" diagonalDown="0" outline="0">
        <left/>
        <right style="thin">
          <color indexed="64"/>
        </right>
        <top style="hair">
          <color theme="0" tint="-0.34998626667073579"/>
        </top>
        <bottom style="hair">
          <color theme="0" tint="-0.34998626667073579"/>
        </bottom>
      </border>
      <protection locked="1" hidden="1"/>
    </dxf>
    <dxf>
      <font>
        <b val="0"/>
        <family val="2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193" formatCode="#,##0.00\ &quot;€&quot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hair">
          <color theme="0" tint="-0.34998626667073579"/>
        </top>
        <bottom style="hair">
          <color theme="0" tint="-0.34998626667073579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hair">
          <color theme="0" tint="-0.34998626667073579"/>
        </top>
        <bottom style="hair">
          <color theme="0" tint="-0.34998626667073579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hair">
          <color theme="0" tint="-0.34998626667073579"/>
        </top>
        <bottom style="hair">
          <color theme="0" tint="-0.34998626667073579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1" justifyLastLine="0" shrinkToFit="0" readingOrder="0"/>
      <border diagonalUp="0" diagonalDown="0" outline="0">
        <left/>
        <right style="thin">
          <color indexed="64"/>
        </right>
        <top style="hair">
          <color theme="0" tint="-0.34998626667073579"/>
        </top>
        <bottom style="hair">
          <color theme="0" tint="-0.34998626667073579"/>
        </bottom>
      </border>
      <protection locked="1" hidden="1"/>
    </dxf>
    <dxf>
      <font>
        <b val="0"/>
        <family val="2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193" formatCode="#,##0.00\ &quot;€&quot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hair">
          <color theme="0" tint="-0.34998626667073579"/>
        </top>
        <bottom style="hair">
          <color theme="0" tint="-0.34998626667073579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hair">
          <color theme="0" tint="-0.34998626667073579"/>
        </top>
        <bottom style="hair">
          <color theme="0" tint="-0.34998626667073579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hair">
          <color theme="0" tint="-0.34998626667073579"/>
        </top>
        <bottom style="hair">
          <color theme="0" tint="-0.34998626667073579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1" justifyLastLine="0" shrinkToFit="0" readingOrder="0"/>
      <border diagonalUp="0" diagonalDown="0" outline="0">
        <left/>
        <right style="thin">
          <color indexed="64"/>
        </right>
        <top style="hair">
          <color theme="0" tint="-0.34998626667073579"/>
        </top>
        <bottom style="hair">
          <color theme="0" tint="-0.34998626667073579"/>
        </bottom>
      </border>
      <protection locked="1" hidden="1"/>
    </dxf>
    <dxf>
      <font>
        <b val="0"/>
        <family val="2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193" formatCode="#,##0.00\ &quot;€&quot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hair">
          <color theme="0" tint="-0.34998626667073579"/>
        </top>
        <bottom style="hair">
          <color theme="0" tint="-0.34998626667073579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hair">
          <color theme="0" tint="-0.34998626667073579"/>
        </top>
        <bottom style="hair">
          <color theme="0" tint="-0.34998626667073579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hair">
          <color theme="0" tint="-0.34998626667073579"/>
        </top>
        <bottom style="hair">
          <color theme="0" tint="-0.34998626667073579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1" justifyLastLine="0" shrinkToFit="0" readingOrder="0"/>
      <border diagonalUp="0" diagonalDown="0" outline="0">
        <left/>
        <right style="thin">
          <color indexed="64"/>
        </right>
        <top style="hair">
          <color theme="0" tint="-0.34998626667073579"/>
        </top>
        <bottom style="hair">
          <color theme="0" tint="-0.34998626667073579"/>
        </bottom>
      </border>
      <protection locked="1" hidden="1"/>
    </dxf>
    <dxf>
      <font>
        <b val="0"/>
        <family val="2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193" formatCode="#,##0.00\ &quot;€&quot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hair">
          <color theme="0" tint="-0.34998626667073579"/>
        </top>
        <bottom style="hair">
          <color theme="0" tint="-0.34998626667073579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hair">
          <color theme="0" tint="-0.34998626667073579"/>
        </top>
        <bottom style="hair">
          <color theme="0" tint="-0.34998626667073579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hair">
          <color theme="0" tint="-0.34998626667073579"/>
        </top>
        <bottom style="hair">
          <color theme="0" tint="-0.34998626667073579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1" justifyLastLine="0" shrinkToFit="0" readingOrder="0"/>
      <border diagonalUp="0" diagonalDown="0" outline="0">
        <left/>
        <right style="thin">
          <color indexed="64"/>
        </right>
        <top style="hair">
          <color theme="0" tint="-0.34998626667073579"/>
        </top>
        <bottom style="hair">
          <color theme="0" tint="-0.34998626667073579"/>
        </bottom>
      </border>
      <protection locked="1" hidden="1"/>
    </dxf>
    <dxf>
      <font>
        <b val="0"/>
        <family val="2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193" formatCode="#,##0.00\ &quot;€&quot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hair">
          <color theme="0" tint="-0.34998626667073579"/>
        </top>
        <bottom style="hair">
          <color theme="0" tint="-0.34998626667073579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hair">
          <color theme="0" tint="-0.34998626667073579"/>
        </top>
        <bottom style="hair">
          <color theme="0" tint="-0.34998626667073579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hair">
          <color theme="0" tint="-0.34998626667073579"/>
        </top>
        <bottom style="hair">
          <color theme="0" tint="-0.34998626667073579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1" justifyLastLine="0" shrinkToFit="0" readingOrder="0"/>
      <border diagonalUp="0" diagonalDown="0" outline="0">
        <left/>
        <right style="thin">
          <color indexed="64"/>
        </right>
        <top style="hair">
          <color theme="0" tint="-0.34998626667073579"/>
        </top>
        <bottom style="hair">
          <color theme="0" tint="-0.34998626667073579"/>
        </bottom>
      </border>
      <protection locked="1" hidden="1"/>
    </dxf>
    <dxf>
      <font>
        <b val="0"/>
        <family val="2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193" formatCode="#,##0.00\ &quot;€&quot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hair">
          <color theme="0" tint="-0.34998626667073579"/>
        </top>
        <bottom style="hair">
          <color theme="0" tint="-0.34998626667073579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hair">
          <color theme="0" tint="-0.34998626667073579"/>
        </top>
        <bottom style="hair">
          <color theme="0" tint="-0.34998626667073579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hair">
          <color theme="0" tint="-0.34998626667073579"/>
        </top>
        <bottom style="hair">
          <color theme="0" tint="-0.34998626667073579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1" justifyLastLine="0" shrinkToFit="0" readingOrder="0"/>
      <border diagonalUp="0" diagonalDown="0" outline="0">
        <left/>
        <right style="thin">
          <color indexed="64"/>
        </right>
        <top style="hair">
          <color theme="0" tint="-0.34998626667073579"/>
        </top>
        <bottom style="hair">
          <color theme="0" tint="-0.34998626667073579"/>
        </bottom>
      </border>
      <protection locked="1" hidden="1"/>
    </dxf>
    <dxf>
      <font>
        <b val="0"/>
        <family val="2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1"/>
    </dxf>
    <dxf>
      <alignment horizontal="center" textRotation="0" wrapText="0" indent="0" justifyLastLine="0" shrinkToFit="0" readingOrder="0"/>
      <protection locked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169" formatCode="0.0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</border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1"/>
    </dxf>
    <dxf>
      <alignment horizontal="center" textRotation="0" wrapText="0" indent="0" justifyLastLine="0" shrinkToFit="0" readingOrder="0"/>
      <protection locked="1"/>
    </dxf>
    <dxf>
      <alignment horizontal="center" vertical="bottom" textRotation="0" wrapText="0" indent="0" justifyLastLine="0" shrinkToFit="0" readingOrder="0"/>
      <protection locked="1"/>
    </dxf>
    <dxf>
      <font>
        <strike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169" formatCode="0.0"/>
      <alignment horizontal="center" vertical="bottom" textRotation="0" wrapText="0" indent="0" justifyLastLine="0" shrinkToFit="0" readingOrder="0"/>
      <protection locked="0"/>
    </dxf>
    <dxf>
      <font>
        <strike val="0"/>
        <outline val="0"/>
        <shadow val="0"/>
        <u val="none"/>
        <vertAlign val="baseline"/>
        <sz val="9"/>
        <color auto="1"/>
        <name val="Arial"/>
        <family val="2"/>
        <scheme val="none"/>
      </font>
      <alignment horizontal="center" vertical="bottom" textRotation="0" wrapText="0" indent="0" justifyLastLine="0" shrinkToFit="0" readingOrder="0"/>
      <protection locked="1"/>
    </dxf>
    <dxf>
      <font>
        <strike val="0"/>
        <outline val="0"/>
        <shadow val="0"/>
        <u val="none"/>
        <vertAlign val="baseline"/>
        <sz val="9"/>
        <color auto="1"/>
        <name val="Arial"/>
        <family val="2"/>
        <scheme val="none"/>
      </font>
      <alignment horizontal="center" vertical="bottom" textRotation="0" wrapText="0" indent="0" justifyLastLine="0" shrinkToFit="0" readingOrder="0"/>
      <protection locked="0"/>
    </dxf>
    <dxf>
      <font>
        <strike val="0"/>
        <outline val="0"/>
        <shadow val="0"/>
        <u val="none"/>
        <vertAlign val="baseline"/>
        <sz val="9"/>
        <color auto="1"/>
        <name val="Arial"/>
        <family val="2"/>
        <scheme val="none"/>
      </font>
      <alignment horizontal="center" vertical="bottom" textRotation="0" wrapText="0" indent="0" justifyLastLine="0" shrinkToFit="0" readingOrder="0"/>
      <protection locked="0"/>
    </dxf>
    <dxf>
      <font>
        <strike val="0"/>
        <outline val="0"/>
        <shadow val="0"/>
        <u val="none"/>
        <vertAlign val="baseline"/>
        <sz val="9"/>
        <color auto="1"/>
        <name val="Arial"/>
        <family val="2"/>
        <scheme val="none"/>
      </font>
      <protection locked="1"/>
    </dxf>
    <dxf>
      <protection locked="1"/>
    </dxf>
  </dxfs>
  <tableStyles count="0" defaultTableStyle="TableStyleMedium2" defaultPivotStyle="PivotStyleLight16"/>
  <colors>
    <mruColors>
      <color rgb="FFC0C0C0"/>
      <color rgb="FFFFD250"/>
      <color rgb="FFFFD653"/>
      <color rgb="FFFF5050"/>
      <color rgb="FF99FF99"/>
      <color rgb="FFFFCCFF"/>
      <color rgb="FFFFCCCC"/>
      <color rgb="FFFF99CC"/>
      <color rgb="FFFFFF00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1AA436A-62CA-43DA-91E5-A44FC6E75BFB}" name="tbl_Entfernung" displayName="tbl_Entfernung" ref="D44:G69" totalsRowShown="0" headerRowDxfId="527" dataDxfId="526">
  <autoFilter ref="D44:G69" xr:uid="{91AA436A-62CA-43DA-91E5-A44FC6E75BFB}"/>
  <tableColumns count="4">
    <tableColumn id="1" xr3:uid="{C8037DC7-12CC-438A-98E8-44A1864E61E0}" name="Start 1" dataDxfId="525"/>
    <tableColumn id="2" xr3:uid="{591713CF-BABE-495E-A53E-9E0C8071FD11}" name="Ziel" dataDxfId="524"/>
    <tableColumn id="4" xr3:uid="{EC3648E7-387C-4C84-9C2E-A81BAA38DC83}" name="Verketten" dataDxfId="523">
      <calculatedColumnFormula>tbl_Entfernung[[#This Row],[Start 1]]&amp;tbl_Entfernung[[#This Row],[Ziel]]</calculatedColumnFormula>
    </tableColumn>
    <tableColumn id="3" xr3:uid="{CA4B98DB-724F-4011-945F-8319B4FDC48F}" name="Entfernung" dataDxfId="522" dataCellStyle="Komma"/>
  </tableColumns>
  <tableStyleInfo name="TableStyleMedium15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462639E0-87ED-48B3-B784-7B3041F9C91F}" name="Tabelle13" displayName="Tabelle13" ref="Y36:AB49" totalsRowShown="0" headerRowDxfId="466" dataDxfId="464" headerRowBorderDxfId="465">
  <autoFilter ref="Y36:AB49" xr:uid="{95FAC844-8BA1-4776-89F0-B6DBF6EA6F2E}"/>
  <tableColumns count="4">
    <tableColumn id="1" xr3:uid="{82FC5D54-2F44-46CF-A5B5-5074D69A4D8B}" name="Ort" dataDxfId="463">
      <calculatedColumnFormula>Voreinstellungen!J45</calculatedColumnFormula>
    </tableColumn>
    <tableColumn id="2" xr3:uid="{1F0A2B36-383F-4F5E-A20E-F4DB53BFCCD4}" name="Stunden" dataDxfId="462">
      <calculatedColumnFormula>SUMIFS($AB$4:$AB$34,$G$4:$G$34,$Y37)+SUMIFS($AC$4:$AC$34,$L$4:$L$34,$Y37)</calculatedColumnFormula>
    </tableColumn>
    <tableColumn id="3" xr3:uid="{2D3AD0CD-B387-4F89-9EE8-1AB8A67697DC}" name="Kilometer" dataDxfId="461">
      <calculatedColumnFormula>SUMIFS($I$4:$I$34,$G$4:$G$34,$Y37)+SUMIFS($N$4:$N$34,$L$4:$L$34,$Y37)</calculatedColumnFormula>
    </tableColumn>
    <tableColumn id="4" xr3:uid="{7CAEA49A-E59F-4D36-B993-2A7439ACFEA7}" name="Km-Pauschale" dataDxfId="460">
      <calculatedColumnFormula>SUM(AA37*Voreinstellungen!$C$44)</calculatedColumnFormula>
    </tableColumn>
  </tableColumns>
  <tableStyleInfo name="TableStyleMedium27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6681E3A5-F4EF-472B-8C8C-F7D6B483E56B}" name="Tabelle14" displayName="Tabelle14" ref="Y36:AB49" totalsRowShown="0" headerRowDxfId="459" dataDxfId="457" headerRowBorderDxfId="458">
  <autoFilter ref="Y36:AB49" xr:uid="{67D03B7A-718C-4B89-BE0B-22EF3DE2707F}"/>
  <tableColumns count="4">
    <tableColumn id="1" xr3:uid="{22FE7B71-2E38-4ADA-8B7D-CB775D438D8C}" name="Ort" dataDxfId="456">
      <calculatedColumnFormula>Voreinstellungen!J45</calculatedColumnFormula>
    </tableColumn>
    <tableColumn id="2" xr3:uid="{0763FD62-4DA3-44F0-BED2-907174930253}" name="Stunden" dataDxfId="455">
      <calculatedColumnFormula>SUMIFS($AB$4:$AB$34,$G$4:$G$34,$Y37)+SUMIFS($AC$4:$AC$34,$L$4:$L$34,$Y37)</calculatedColumnFormula>
    </tableColumn>
    <tableColumn id="3" xr3:uid="{8DCE16B6-4720-4BD0-B898-D0BBE277ABA0}" name="Kilometer" dataDxfId="454">
      <calculatedColumnFormula>SUMIFS($I$4:$I$34,$G$4:$G$34,$Y37)+SUMIFS($N$4:$N$34,$L$4:$L$34,$Y37)</calculatedColumnFormula>
    </tableColumn>
    <tableColumn id="4" xr3:uid="{73A5D740-235A-430A-870F-541D0CE63669}" name="Km-Pauschale" dataDxfId="453">
      <calculatedColumnFormula>SUM(AA37*Voreinstellungen!$C$44)</calculatedColumnFormula>
    </tableColumn>
  </tableColumns>
  <tableStyleInfo name="TableStyleMedium27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D7F8BDB-8CA3-4E40-AD48-553B2981DD11}" name="Tabelle15" displayName="Tabelle15" ref="Y36:AB49" totalsRowShown="0" headerRowDxfId="452" dataDxfId="450" headerRowBorderDxfId="451">
  <autoFilter ref="Y36:AB49" xr:uid="{4EE58C6D-6C21-4F44-8C74-B12696B75927}"/>
  <tableColumns count="4">
    <tableColumn id="1" xr3:uid="{3777A261-0DCC-4488-B034-F9FF37CEC5A9}" name="Ort" dataDxfId="449">
      <calculatedColumnFormula>Voreinstellungen!J45</calculatedColumnFormula>
    </tableColumn>
    <tableColumn id="2" xr3:uid="{5C600D25-C9F3-4154-993A-92FDE1E9C681}" name="Stunden" dataDxfId="448">
      <calculatedColumnFormula>SUMIFS($AB$4:$AB$34,$G$4:$G$34,$Y37)+SUMIFS($AC$4:$AC$34,$L$4:$L$34,$Y37)</calculatedColumnFormula>
    </tableColumn>
    <tableColumn id="3" xr3:uid="{FC7F19C6-48BA-4699-9D46-194A8B677B83}" name="Kilometer" dataDxfId="447">
      <calculatedColumnFormula>SUMIFS($I$4:$I$34,$G$4:$G$34,$Y37)+SUMIFS($N$4:$N$34,$L$4:$L$34,$Y37)</calculatedColumnFormula>
    </tableColumn>
    <tableColumn id="4" xr3:uid="{7F627E3B-CF70-4456-B91F-C9B5DB0B0D45}" name="Km-Pauschale" dataDxfId="446">
      <calculatedColumnFormula>SUM(AA37*Voreinstellungen!$C$44)</calculatedColumnFormula>
    </tableColumn>
  </tableColumns>
  <tableStyleInfo name="TableStyleMedium27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62CE4889-8492-4A87-AC6A-9B556EB7FD82}" name="Tabelle5" displayName="Tabelle5" ref="I44:L58" totalsRowShown="0" headerRowDxfId="521" dataDxfId="520">
  <autoFilter ref="I44:L58" xr:uid="{5DE411BC-BFFC-41DE-9844-0D04CDF52570}"/>
  <tableColumns count="4">
    <tableColumn id="1" xr3:uid="{B25EC21E-F1E3-4D84-B785-67633DF6BF0A}" name="Tätigkeit" dataDxfId="519"/>
    <tableColumn id="2" xr3:uid="{4E6B0265-F905-4C02-ACA4-D711678D4903}" name="Ort" dataDxfId="518" dataCellStyle="Komma"/>
    <tableColumn id="3" xr3:uid="{EB9EC1E0-D2E5-4848-A617-98593C4D8C6B}" name="Firma" dataDxfId="517"/>
    <tableColumn id="4" xr3:uid="{68FC7116-F50B-4E37-A7C2-6D34E80F9B11}" name="Spalte1" dataDxfId="516"/>
  </tableColumns>
  <tableStyleInfo name="TableStyleMedium15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3D99F9B7-CCB6-48EE-B245-087F7E099FD4}" name="Tabelle6" displayName="Tabelle6" ref="Y36:AB49" totalsRowShown="0" headerRowDxfId="515" dataDxfId="513" headerRowBorderDxfId="514">
  <autoFilter ref="Y36:AB49" xr:uid="{0D8A4D7E-BCC3-44CF-84BC-E4A1DFAE0B47}"/>
  <tableColumns count="4">
    <tableColumn id="1" xr3:uid="{A82A115D-D65E-4ACB-A8FF-33304E4798C1}" name="Ort" dataDxfId="512">
      <calculatedColumnFormula>Voreinstellungen!J45</calculatedColumnFormula>
    </tableColumn>
    <tableColumn id="2" xr3:uid="{96CC4FC8-276E-49AC-B16C-845FDB6D054E}" name="Stunden" dataDxfId="511">
      <calculatedColumnFormula>SUMIFS($AB$4:$AB$34,$G$4:$G$34,$Y37)+SUMIFS($AC$4:$AC$34,$L$4:$L$34,$Y37)</calculatedColumnFormula>
    </tableColumn>
    <tableColumn id="3" xr3:uid="{B5C74B2B-1CAA-4136-AAE1-C0EEB7345F4D}" name="Kilometer" dataDxfId="510">
      <calculatedColumnFormula>SUMIFS($I$4:$I$34,$G$4:$G$34,$Y37)+SUMIFS($N$4:$N$34,$L$4:$L$34,$Y37)</calculatedColumnFormula>
    </tableColumn>
    <tableColumn id="4" xr3:uid="{833F4C7C-F758-4CD7-8354-51E9C2E572EA}" name="Km-Pauschale" dataDxfId="509">
      <calculatedColumnFormula>SUM(AA37*Voreinstellungen!$C$44)</calculatedColumnFormula>
    </tableColumn>
  </tableColumns>
  <tableStyleInfo name="TableStyleMedium27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3DC42CA9-178B-4672-A647-BEA9614C3D5D}" name="Tabelle7" displayName="Tabelle7" ref="Y36:AB49" totalsRowShown="0" headerRowDxfId="508" dataDxfId="506" headerRowBorderDxfId="507">
  <autoFilter ref="Y36:AB49" xr:uid="{86A4BF37-7533-4194-84CB-4C4FAACE7B53}"/>
  <tableColumns count="4">
    <tableColumn id="1" xr3:uid="{1FB79D93-CBB4-464C-BDF6-DC64E9B1F4A6}" name="Ort" dataDxfId="505">
      <calculatedColumnFormula>Voreinstellungen!J45</calculatedColumnFormula>
    </tableColumn>
    <tableColumn id="2" xr3:uid="{6BFA3134-9CF5-4A21-8E6F-CB564F7831DD}" name="Stunden" dataDxfId="504">
      <calculatedColumnFormula>SUMIFS($AB$4:$AB$34,$G$4:$G$34,$Y37)+SUMIFS($AC$4:$AC$34,$L$4:$L$34,$Y37)</calculatedColumnFormula>
    </tableColumn>
    <tableColumn id="3" xr3:uid="{6C0BEA46-67FA-4607-B63E-D672B7772A8E}" name="Kilometer" dataDxfId="503">
      <calculatedColumnFormula>SUMIFS($I$4:$I$34,$G$4:$G$34,$Y37)+SUMIFS($N$4:$N$34,$L$4:$L$34,$Y37)</calculatedColumnFormula>
    </tableColumn>
    <tableColumn id="4" xr3:uid="{F9FB655A-D928-4E3C-AEB3-249EAC1FA727}" name="Km-Pauschale" dataDxfId="502">
      <calculatedColumnFormula>SUM(AA37*Voreinstellungen!$C$44)</calculatedColumnFormula>
    </tableColumn>
  </tableColumns>
  <tableStyleInfo name="TableStyleMedium27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C3ED8169-51A9-433C-99D9-095D3C2011E3}" name="Tabelle8" displayName="Tabelle8" ref="Y36:AB49" totalsRowShown="0" headerRowDxfId="501" dataDxfId="499" headerRowBorderDxfId="500">
  <autoFilter ref="Y36:AB49" xr:uid="{E84D5809-B41E-44BF-BC9F-CCA2EEB2352A}"/>
  <tableColumns count="4">
    <tableColumn id="1" xr3:uid="{A997A098-19E9-4D31-B9EA-343AB1F43C1E}" name="Ort" dataDxfId="498">
      <calculatedColumnFormula>Voreinstellungen!J45</calculatedColumnFormula>
    </tableColumn>
    <tableColumn id="2" xr3:uid="{746EB2FF-B887-4C39-B378-8D9A3C2F6E37}" name="Stunden" dataDxfId="497">
      <calculatedColumnFormula>SUMIFS($AB$4:$AB$34,$G$4:$G$34,$Y37)+SUMIFS($AC$4:$AC$34,$L$4:$L$34,$Y37)</calculatedColumnFormula>
    </tableColumn>
    <tableColumn id="3" xr3:uid="{98D6EF8E-8154-460B-B078-746CAB443245}" name="Kilometer" dataDxfId="496">
      <calculatedColumnFormula>SUMIFS($I$4:$I$34,$G$4:$G$34,$Y37)+SUMIFS($N$4:$N$34,$L$4:$L$34,$Y37)</calculatedColumnFormula>
    </tableColumn>
    <tableColumn id="4" xr3:uid="{813958A7-F379-4CAD-8884-17AF6F05FBC1}" name="Km-Pauschale" dataDxfId="495">
      <calculatedColumnFormula>SUM(AA37*Voreinstellungen!$C$44)</calculatedColumnFormula>
    </tableColumn>
  </tableColumns>
  <tableStyleInfo name="TableStyleMedium27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D2835316-314D-4606-996E-D7DDC86A6CCA}" name="Tabelle9" displayName="Tabelle9" ref="Y36:AB49" totalsRowShown="0" headerRowDxfId="494" dataDxfId="492" headerRowBorderDxfId="493">
  <autoFilter ref="Y36:AB49" xr:uid="{94003E35-6ACB-4114-808F-AD33B216D06F}"/>
  <tableColumns count="4">
    <tableColumn id="1" xr3:uid="{86CA2C1C-A2FE-4C9D-812A-56C500B817F3}" name="Ort" dataDxfId="491">
      <calculatedColumnFormula>Voreinstellungen!J45</calculatedColumnFormula>
    </tableColumn>
    <tableColumn id="2" xr3:uid="{6236B7F3-1BD1-4EFE-9533-1D89260F9AE0}" name="Stunden" dataDxfId="490">
      <calculatedColumnFormula>SUMIFS($AB$4:$AB$34,$G$4:$G$34,$Y37)+SUMIFS($AC$4:$AC$34,$L$4:$L$34,$Y37)</calculatedColumnFormula>
    </tableColumn>
    <tableColumn id="3" xr3:uid="{DC869178-8D96-4728-8405-FD54C8D1817C}" name="Kilometer" dataDxfId="489">
      <calculatedColumnFormula>SUMIFS($I$4:$I$34,$G$4:$G$34,$Y37)+SUMIFS($N$4:$N$34,$L$4:$L$34,$Y37)</calculatedColumnFormula>
    </tableColumn>
    <tableColumn id="4" xr3:uid="{E85CA3EC-C191-4A0E-980A-CA8941ACDD29}" name="Km-Pauschale" dataDxfId="488">
      <calculatedColumnFormula>SUM(AA37*Voreinstellungen!$C$44)</calculatedColumnFormula>
    </tableColumn>
  </tableColumns>
  <tableStyleInfo name="TableStyleMedium27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C7D4B723-F12D-41A2-9549-44C97C7B2DDF}" name="Tabelle10" displayName="Tabelle10" ref="Y36:AB49" totalsRowShown="0" headerRowDxfId="487" dataDxfId="485" headerRowBorderDxfId="486">
  <autoFilter ref="Y36:AB49" xr:uid="{76438778-AF76-472F-BAB0-EBD1C6E12A3B}"/>
  <tableColumns count="4">
    <tableColumn id="1" xr3:uid="{00CA4214-BD86-467B-8FE0-99815316F2DA}" name="Spalte1" dataDxfId="484">
      <calculatedColumnFormula>Voreinstellungen!J45</calculatedColumnFormula>
    </tableColumn>
    <tableColumn id="2" xr3:uid="{FB93B4DE-AED1-4C4C-8A5D-F0B045327E0D}" name="Stunden" dataDxfId="483">
      <calculatedColumnFormula>SUMIFS($AB$4:$AB$34,$G$4:$G$34,$Y37)+SUMIFS($AC$4:$AC$34,$L$4:$L$34,$Y37)</calculatedColumnFormula>
    </tableColumn>
    <tableColumn id="3" xr3:uid="{61CCF22D-F36C-4A6A-8806-18B85AE8499D}" name="Kilometer" dataDxfId="482">
      <calculatedColumnFormula>SUMIFS($I$4:$I$34,$G$4:$G$34,$Y37)+SUMIFS($N$4:$N$34,$L$4:$L$34,$Y37)</calculatedColumnFormula>
    </tableColumn>
    <tableColumn id="4" xr3:uid="{13187845-DEB1-4972-831C-BA560772FCEF}" name="Km-Pauschale" dataDxfId="481">
      <calculatedColumnFormula>SUM(AA37*Voreinstellungen!$C$44)</calculatedColumnFormula>
    </tableColumn>
  </tableColumns>
  <tableStyleInfo name="TableStyleMedium27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1FAA7563-F021-41A5-A9C7-6941E353F65B}" name="Tabelle11" displayName="Tabelle11" ref="Y36:AB49" totalsRowShown="0" headerRowDxfId="480" dataDxfId="478" headerRowBorderDxfId="479">
  <autoFilter ref="Y36:AB49" xr:uid="{35D655F3-30A1-46F4-93CA-824F41A08269}"/>
  <tableColumns count="4">
    <tableColumn id="1" xr3:uid="{314B88DE-EF1D-43B8-9800-FA230D6A49A5}" name="Ort" dataDxfId="477">
      <calculatedColumnFormula>Voreinstellungen!J45</calculatedColumnFormula>
    </tableColumn>
    <tableColumn id="2" xr3:uid="{F438E597-00E5-4DCC-A086-5CE56DB7B2A5}" name="Stunden" dataDxfId="476">
      <calculatedColumnFormula>SUMIFS($AB$4:$AB$34,$G$4:$G$34,$Y37)+SUMIFS($AC$4:$AC$34,$L$4:$L$34,$Y37)</calculatedColumnFormula>
    </tableColumn>
    <tableColumn id="3" xr3:uid="{186293DF-F986-4916-B75B-38EA0EE7ED49}" name="Kilometer" dataDxfId="475">
      <calculatedColumnFormula>SUMIFS($I$4:$I$34,$G$4:$G$34,$Y37)+SUMIFS($N$4:$N$34,$L$4:$L$34,$Y37)</calculatedColumnFormula>
    </tableColumn>
    <tableColumn id="4" xr3:uid="{DB8BD70A-60CB-44DC-965A-4D84EF91EB39}" name="Km-Pauschale" dataDxfId="474">
      <calculatedColumnFormula>SUM(AA37*Voreinstellungen!$C$44)</calculatedColumnFormula>
    </tableColumn>
  </tableColumns>
  <tableStyleInfo name="TableStyleMedium27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4BA754E5-4BFA-4800-AFF7-92EE29F09810}" name="Tabelle12" displayName="Tabelle12" ref="Y36:AB49" totalsRowShown="0" headerRowDxfId="473" dataDxfId="471" headerRowBorderDxfId="472">
  <autoFilter ref="Y36:AB49" xr:uid="{EB3DE390-101A-41D8-BEA9-C27071AE4B30}"/>
  <tableColumns count="4">
    <tableColumn id="1" xr3:uid="{728039B0-BB35-422D-91E8-7A64CD3C7261}" name="Ort" dataDxfId="470">
      <calculatedColumnFormula>Voreinstellungen!J45</calculatedColumnFormula>
    </tableColumn>
    <tableColumn id="2" xr3:uid="{50C8F28E-AAC8-468B-991C-1E9781B46B56}" name="Stunden" dataDxfId="469">
      <calculatedColumnFormula>SUMIFS($AB$4:$AB$34,$G$4:$G$34,$Y37)+SUMIFS($AC$4:$AC$34,$L$4:$L$34,$Y37)</calculatedColumnFormula>
    </tableColumn>
    <tableColumn id="3" xr3:uid="{472E1092-5AAA-437E-BF01-36C55C02A3B3}" name="Kilometer" dataDxfId="468">
      <calculatedColumnFormula>SUMIFS($I$4:$I$34,$G$4:$G$34,$Y37)+SUMIFS($N$4:$N$34,$L$4:$L$34,$Y37)</calculatedColumnFormula>
    </tableColumn>
    <tableColumn id="4" xr3:uid="{730055E1-C996-44BE-9084-DA3B71DD88E1}" name="Km-Pauschale" dataDxfId="467">
      <calculatedColumnFormula>SUM(AA37*Voreinstellungen!$C$44)</calculatedColumnFormula>
    </tableColumn>
  </tableColumns>
  <tableStyleInfo name="TableStyleMedium27" showFirstColumn="0" showLastColumn="0" showRowStripes="1" showColumnStripes="0"/>
</table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00">
    <tabColor indexed="10"/>
    <pageSetUpPr fitToPage="1"/>
  </sheetPr>
  <dimension ref="A1:N69"/>
  <sheetViews>
    <sheetView showGridLines="0" showZeros="0" topLeftCell="A5" zoomScale="90" zoomScaleNormal="90" workbookViewId="0">
      <selection activeCell="C44" sqref="C44"/>
    </sheetView>
  </sheetViews>
  <sheetFormatPr baseColWidth="10" defaultColWidth="11.42578125" defaultRowHeight="12" outlineLevelRow="1" outlineLevelCol="1" x14ac:dyDescent="0.2"/>
  <cols>
    <col min="1" max="1" width="18.7109375" style="1" customWidth="1"/>
    <col min="2" max="2" width="9.7109375" style="1" customWidth="1"/>
    <col min="3" max="3" width="15" style="47" customWidth="1"/>
    <col min="4" max="10" width="20.7109375" style="1" customWidth="1"/>
    <col min="11" max="11" width="25.7109375" style="1" hidden="1" customWidth="1" outlineLevel="1"/>
    <col min="12" max="12" width="25.7109375" style="47" hidden="1" customWidth="1" outlineLevel="1"/>
    <col min="13" max="13" width="25.7109375" style="1" hidden="1" customWidth="1" outlineLevel="1"/>
    <col min="14" max="14" width="11.42578125" style="1" collapsed="1"/>
    <col min="15" max="16384" width="11.42578125" style="1"/>
  </cols>
  <sheetData>
    <row r="1" spans="1:10" ht="12.75" x14ac:dyDescent="0.2">
      <c r="A1" s="654" t="s">
        <v>0</v>
      </c>
      <c r="B1" s="655"/>
      <c r="C1" s="402"/>
      <c r="D1" s="403"/>
      <c r="E1" s="403"/>
      <c r="F1" s="403"/>
      <c r="G1" s="403"/>
      <c r="H1" s="403"/>
      <c r="I1" s="403"/>
      <c r="J1" s="403"/>
    </row>
    <row r="2" spans="1:10" ht="12.75" x14ac:dyDescent="0.2">
      <c r="A2" s="663" t="s">
        <v>1</v>
      </c>
      <c r="B2" s="664"/>
      <c r="C2" s="657">
        <v>2025</v>
      </c>
      <c r="D2" s="658"/>
      <c r="E2" s="614">
        <f>DATE(Jahr,12,31)</f>
        <v>44560</v>
      </c>
      <c r="F2" s="526" t="s">
        <v>157</v>
      </c>
      <c r="G2" s="524" t="s">
        <v>159</v>
      </c>
      <c r="H2" s="405"/>
      <c r="J2" s="404"/>
    </row>
    <row r="3" spans="1:10" ht="12.75" x14ac:dyDescent="0.2">
      <c r="A3" s="665" t="s">
        <v>2</v>
      </c>
      <c r="B3" s="666"/>
      <c r="C3" s="659" t="s">
        <v>207</v>
      </c>
      <c r="D3" s="660"/>
      <c r="E3" s="615">
        <f>B12</f>
        <v>44196</v>
      </c>
      <c r="F3" s="527" t="s">
        <v>158</v>
      </c>
      <c r="G3" s="525" t="s">
        <v>160</v>
      </c>
      <c r="H3" s="407"/>
      <c r="J3" s="406"/>
    </row>
    <row r="4" spans="1:10" ht="12.75" x14ac:dyDescent="0.2">
      <c r="A4" s="667" t="s">
        <v>3</v>
      </c>
      <c r="B4" s="668"/>
      <c r="C4" s="661" t="s">
        <v>208</v>
      </c>
      <c r="D4" s="662"/>
      <c r="E4" s="615">
        <f>E2</f>
        <v>44560</v>
      </c>
      <c r="F4" s="528" t="s">
        <v>161</v>
      </c>
      <c r="G4" s="641">
        <f>IF(INT((B12-G3)/365)&gt;Jahr-2004,0,INT((B12-G3)/365))</f>
        <v>5</v>
      </c>
      <c r="H4" s="408" t="s">
        <v>162</v>
      </c>
      <c r="J4" s="406"/>
    </row>
    <row r="6" spans="1:10" x14ac:dyDescent="0.2">
      <c r="A6" s="430" t="s">
        <v>4</v>
      </c>
      <c r="B6" s="2"/>
      <c r="C6" s="396"/>
      <c r="E6" s="504" t="s">
        <v>5</v>
      </c>
      <c r="F6" s="304" t="s">
        <v>146</v>
      </c>
      <c r="G6" s="497" t="s">
        <v>187</v>
      </c>
    </row>
    <row r="7" spans="1:10" x14ac:dyDescent="0.2">
      <c r="A7" s="431" t="s">
        <v>6</v>
      </c>
      <c r="B7" s="4">
        <f>Jahr-1</f>
        <v>2024</v>
      </c>
      <c r="C7" s="142"/>
      <c r="E7" s="636">
        <v>0.25</v>
      </c>
      <c r="F7" s="637">
        <v>2.0833333333333332E-2</v>
      </c>
      <c r="G7" s="495">
        <v>0.91666666666666663</v>
      </c>
    </row>
    <row r="8" spans="1:10" x14ac:dyDescent="0.2">
      <c r="A8" s="432" t="s">
        <v>7</v>
      </c>
      <c r="B8" s="5">
        <f>Jahr-1</f>
        <v>2024</v>
      </c>
      <c r="C8" s="143"/>
      <c r="E8" s="638">
        <v>0.375</v>
      </c>
      <c r="F8" s="639">
        <v>3.125E-2</v>
      </c>
      <c r="G8" s="496">
        <v>0.25</v>
      </c>
    </row>
    <row r="9" spans="1:10" x14ac:dyDescent="0.2">
      <c r="A9" s="433" t="s">
        <v>8</v>
      </c>
      <c r="B9" s="6">
        <f>Jahr</f>
        <v>2025</v>
      </c>
      <c r="C9" s="7">
        <f>C8-C7</f>
        <v>0</v>
      </c>
    </row>
    <row r="11" spans="1:10" x14ac:dyDescent="0.2">
      <c r="A11" s="652" t="s">
        <v>9</v>
      </c>
      <c r="B11" s="653"/>
      <c r="C11" s="8" t="s">
        <v>10</v>
      </c>
      <c r="D11" s="9" t="s">
        <v>11</v>
      </c>
      <c r="E11" s="10" t="s">
        <v>12</v>
      </c>
      <c r="F11" s="10" t="s">
        <v>13</v>
      </c>
      <c r="G11" s="10" t="s">
        <v>14</v>
      </c>
      <c r="H11" s="10" t="s">
        <v>15</v>
      </c>
      <c r="I11" s="219" t="s">
        <v>16</v>
      </c>
      <c r="J11" s="179" t="s">
        <v>17</v>
      </c>
    </row>
    <row r="12" spans="1:10" x14ac:dyDescent="0.2">
      <c r="A12" s="434" t="s">
        <v>18</v>
      </c>
      <c r="B12" s="11">
        <f>DATE(Jahr,1,1)</f>
        <v>44196</v>
      </c>
      <c r="C12" s="12">
        <f>SUM(D12:J12)</f>
        <v>1.4583333333333335</v>
      </c>
      <c r="D12" s="120">
        <v>0.29166666666666669</v>
      </c>
      <c r="E12" s="121">
        <v>0.29166666666666669</v>
      </c>
      <c r="F12" s="121">
        <v>0.29166666666666669</v>
      </c>
      <c r="G12" s="121">
        <v>0.29166666666666669</v>
      </c>
      <c r="H12" s="121">
        <v>0.29166666666666669</v>
      </c>
      <c r="I12" s="121">
        <v>0</v>
      </c>
      <c r="J12" s="122">
        <v>0</v>
      </c>
    </row>
    <row r="13" spans="1:10" x14ac:dyDescent="0.2">
      <c r="A13" s="435" t="s">
        <v>19</v>
      </c>
      <c r="B13" s="436"/>
      <c r="C13" s="13" t="str">
        <f>IF(B13="","",SUM(D13:J13))</f>
        <v/>
      </c>
      <c r="D13" s="123"/>
      <c r="E13" s="124"/>
      <c r="F13" s="124"/>
      <c r="G13" s="124"/>
      <c r="H13" s="124"/>
      <c r="I13" s="124"/>
      <c r="J13" s="125"/>
    </row>
    <row r="14" spans="1:10" x14ac:dyDescent="0.2">
      <c r="A14" s="432" t="s">
        <v>20</v>
      </c>
      <c r="B14" s="437"/>
      <c r="C14" s="13" t="str">
        <f>IF(B14="","",SUM(D14:J14))</f>
        <v/>
      </c>
      <c r="D14" s="123"/>
      <c r="E14" s="124"/>
      <c r="F14" s="124"/>
      <c r="G14" s="124"/>
      <c r="H14" s="124"/>
      <c r="I14" s="124"/>
      <c r="J14" s="125"/>
    </row>
    <row r="15" spans="1:10" x14ac:dyDescent="0.2">
      <c r="A15" s="432" t="s">
        <v>21</v>
      </c>
      <c r="B15" s="437"/>
      <c r="C15" s="13" t="str">
        <f>IF(B15="","",SUM(D15:J15))</f>
        <v/>
      </c>
      <c r="D15" s="123"/>
      <c r="E15" s="124"/>
      <c r="F15" s="124"/>
      <c r="G15" s="124"/>
      <c r="H15" s="124"/>
      <c r="I15" s="124"/>
      <c r="J15" s="125"/>
    </row>
    <row r="16" spans="1:10" x14ac:dyDescent="0.2">
      <c r="A16" s="433" t="s">
        <v>22</v>
      </c>
      <c r="B16" s="438"/>
      <c r="C16" s="14" t="str">
        <f>IF(B16="","",SUM(D16:J16))</f>
        <v/>
      </c>
      <c r="D16" s="126"/>
      <c r="E16" s="127"/>
      <c r="F16" s="127"/>
      <c r="G16" s="127"/>
      <c r="H16" s="127"/>
      <c r="I16" s="127"/>
      <c r="J16" s="128"/>
    </row>
    <row r="17" spans="1:10" x14ac:dyDescent="0.2">
      <c r="A17" s="146"/>
    </row>
    <row r="18" spans="1:10" ht="12.75" customHeight="1" outlineLevel="1" x14ac:dyDescent="0.2">
      <c r="A18" s="444" t="s">
        <v>23</v>
      </c>
      <c r="B18" s="10" t="s">
        <v>24</v>
      </c>
      <c r="C18" s="174" t="s">
        <v>25</v>
      </c>
      <c r="E18" s="504" t="s">
        <v>192</v>
      </c>
      <c r="F18" s="606"/>
      <c r="G18" s="304"/>
      <c r="J18" s="523"/>
    </row>
    <row r="19" spans="1:10" ht="12.75" customHeight="1" outlineLevel="1" x14ac:dyDescent="0.2">
      <c r="A19" s="439" t="s">
        <v>26</v>
      </c>
      <c r="B19" s="180" t="s">
        <v>27</v>
      </c>
      <c r="C19" s="191" t="s">
        <v>126</v>
      </c>
      <c r="D19" s="15"/>
      <c r="E19" s="506">
        <v>12.58</v>
      </c>
      <c r="F19" s="673" t="s">
        <v>196</v>
      </c>
      <c r="G19" s="674"/>
      <c r="J19" s="409"/>
    </row>
    <row r="20" spans="1:10" ht="12.75" customHeight="1" outlineLevel="1" x14ac:dyDescent="0.2">
      <c r="A20" s="440" t="s">
        <v>28</v>
      </c>
      <c r="B20" s="181" t="s">
        <v>29</v>
      </c>
      <c r="C20" s="192">
        <v>1</v>
      </c>
      <c r="E20" s="605">
        <v>0.2</v>
      </c>
      <c r="F20" s="671" t="s">
        <v>197</v>
      </c>
      <c r="G20" s="672"/>
      <c r="J20" s="409"/>
    </row>
    <row r="21" spans="1:10" ht="11.65" customHeight="1" outlineLevel="1" x14ac:dyDescent="0.2">
      <c r="A21" s="441" t="s">
        <v>30</v>
      </c>
      <c r="B21" s="175" t="s">
        <v>31</v>
      </c>
      <c r="C21" s="193">
        <v>0</v>
      </c>
      <c r="E21" s="642">
        <v>0.25</v>
      </c>
      <c r="F21" s="669" t="s">
        <v>198</v>
      </c>
      <c r="G21" s="670"/>
      <c r="J21" s="409"/>
    </row>
    <row r="22" spans="1:10" ht="12.75" customHeight="1" outlineLevel="1" x14ac:dyDescent="0.2">
      <c r="A22" s="441" t="s">
        <v>175</v>
      </c>
      <c r="B22" s="176" t="s">
        <v>176</v>
      </c>
      <c r="C22" s="193" t="s">
        <v>32</v>
      </c>
      <c r="E22" s="642">
        <v>0.45</v>
      </c>
      <c r="F22" s="669" t="s">
        <v>199</v>
      </c>
      <c r="G22" s="670"/>
      <c r="J22" s="409"/>
    </row>
    <row r="23" spans="1:10" ht="11.65" customHeight="1" outlineLevel="1" x14ac:dyDescent="0.2">
      <c r="A23" s="441" t="s">
        <v>33</v>
      </c>
      <c r="B23" s="144" t="s">
        <v>34</v>
      </c>
      <c r="C23" s="193">
        <v>0</v>
      </c>
      <c r="E23" s="643">
        <v>0.25</v>
      </c>
      <c r="F23" s="675" t="s">
        <v>200</v>
      </c>
      <c r="G23" s="676"/>
      <c r="J23" s="409"/>
    </row>
    <row r="24" spans="1:10" ht="11.65" customHeight="1" outlineLevel="1" x14ac:dyDescent="0.2">
      <c r="A24" s="441" t="s">
        <v>35</v>
      </c>
      <c r="B24" s="144" t="s">
        <v>36</v>
      </c>
      <c r="C24" s="193" t="s">
        <v>32</v>
      </c>
    </row>
    <row r="25" spans="1:10" ht="11.65" customHeight="1" outlineLevel="1" x14ac:dyDescent="0.2">
      <c r="A25" s="441" t="s">
        <v>37</v>
      </c>
      <c r="B25" s="177" t="s">
        <v>38</v>
      </c>
      <c r="C25" s="193">
        <v>0</v>
      </c>
    </row>
    <row r="26" spans="1:10" ht="11.65" customHeight="1" outlineLevel="1" x14ac:dyDescent="0.2">
      <c r="A26" s="441" t="s">
        <v>39</v>
      </c>
      <c r="B26" s="178" t="s">
        <v>40</v>
      </c>
      <c r="C26" s="193">
        <v>0.5</v>
      </c>
    </row>
    <row r="27" spans="1:10" ht="11.65" customHeight="1" outlineLevel="1" x14ac:dyDescent="0.2">
      <c r="A27" s="441" t="s">
        <v>127</v>
      </c>
      <c r="B27" s="230" t="s">
        <v>128</v>
      </c>
      <c r="C27" s="193">
        <v>1</v>
      </c>
    </row>
    <row r="28" spans="1:10" ht="11.65" customHeight="1" outlineLevel="1" x14ac:dyDescent="0.2">
      <c r="A28" s="442" t="s">
        <v>41</v>
      </c>
      <c r="B28" s="410" t="s">
        <v>42</v>
      </c>
      <c r="C28" s="644" t="s">
        <v>43</v>
      </c>
    </row>
    <row r="29" spans="1:10" ht="11.65" customHeight="1" outlineLevel="1" x14ac:dyDescent="0.2">
      <c r="A29" s="442" t="s">
        <v>114</v>
      </c>
      <c r="B29" s="411" t="s">
        <v>119</v>
      </c>
      <c r="C29" s="644" t="s">
        <v>131</v>
      </c>
    </row>
    <row r="30" spans="1:10" ht="11.65" customHeight="1" outlineLevel="1" x14ac:dyDescent="0.2">
      <c r="A30" s="442" t="s">
        <v>115</v>
      </c>
      <c r="B30" s="410" t="s">
        <v>120</v>
      </c>
      <c r="C30" s="644">
        <v>1</v>
      </c>
    </row>
    <row r="31" spans="1:10" ht="11.65" customHeight="1" outlineLevel="1" x14ac:dyDescent="0.2">
      <c r="A31" s="442" t="s">
        <v>116</v>
      </c>
      <c r="B31" s="412" t="s">
        <v>121</v>
      </c>
      <c r="C31" s="644">
        <v>1</v>
      </c>
    </row>
    <row r="32" spans="1:10" ht="11.65" customHeight="1" outlineLevel="1" x14ac:dyDescent="0.2">
      <c r="A32" s="442" t="s">
        <v>117</v>
      </c>
      <c r="B32" s="413" t="s">
        <v>122</v>
      </c>
      <c r="C32" s="644">
        <v>1</v>
      </c>
    </row>
    <row r="33" spans="1:12" ht="11.65" customHeight="1" outlineLevel="1" x14ac:dyDescent="0.2">
      <c r="A33" s="443" t="s">
        <v>118</v>
      </c>
      <c r="B33" s="414" t="s">
        <v>123</v>
      </c>
      <c r="C33" s="645">
        <v>1</v>
      </c>
    </row>
    <row r="34" spans="1:12" x14ac:dyDescent="0.2">
      <c r="E34" s="450" t="str">
        <f>E40</f>
        <v/>
      </c>
      <c r="F34" s="450" t="str">
        <f t="shared" ref="F34:H34" si="0">F40</f>
        <v/>
      </c>
      <c r="G34" s="450" t="str">
        <f t="shared" si="0"/>
        <v/>
      </c>
      <c r="H34" s="450" t="str">
        <f t="shared" si="0"/>
        <v/>
      </c>
    </row>
    <row r="35" spans="1:12" x14ac:dyDescent="0.2">
      <c r="A35" s="445" t="s">
        <v>44</v>
      </c>
      <c r="B35" s="420"/>
      <c r="C35" s="423" t="s">
        <v>45</v>
      </c>
      <c r="D35" s="427" t="s">
        <v>163</v>
      </c>
      <c r="E35" s="418" t="s">
        <v>164</v>
      </c>
      <c r="F35" s="418" t="s">
        <v>165</v>
      </c>
      <c r="G35" s="418" t="s">
        <v>166</v>
      </c>
      <c r="H35" s="419" t="s">
        <v>167</v>
      </c>
      <c r="I35" s="47"/>
      <c r="J35" s="47"/>
      <c r="K35" s="47"/>
    </row>
    <row r="36" spans="1:12" x14ac:dyDescent="0.2">
      <c r="A36" s="446" t="str">
        <f>"für ("&amp;Jahr&amp;")"</f>
        <v>für (2025)</v>
      </c>
      <c r="B36" s="421"/>
      <c r="C36" s="424">
        <v>28</v>
      </c>
      <c r="D36" s="428" t="s">
        <v>168</v>
      </c>
      <c r="E36" s="646" t="s">
        <v>170</v>
      </c>
      <c r="F36" s="646" t="s">
        <v>170</v>
      </c>
      <c r="G36" s="646" t="s">
        <v>170</v>
      </c>
      <c r="H36" s="646" t="s">
        <v>170</v>
      </c>
      <c r="I36" s="47"/>
      <c r="J36" s="47"/>
      <c r="K36" s="47"/>
    </row>
    <row r="37" spans="1:12" x14ac:dyDescent="0.2">
      <c r="A37" s="447" t="str">
        <f>"Übertrag aus ("&amp;Jahr-1&amp;")"</f>
        <v>Übertrag aus (2024)</v>
      </c>
      <c r="B37" s="18"/>
      <c r="C37" s="425">
        <v>0</v>
      </c>
      <c r="D37" s="429" t="s">
        <v>171</v>
      </c>
      <c r="E37" s="647"/>
      <c r="F37" s="647"/>
      <c r="G37" s="647"/>
      <c r="H37" s="647"/>
      <c r="I37" s="47"/>
      <c r="J37" s="47"/>
      <c r="K37" s="47"/>
    </row>
    <row r="38" spans="1:12" x14ac:dyDescent="0.2">
      <c r="A38" s="448" t="str">
        <f>"Resturlaub ("&amp;Jahr&amp;")"</f>
        <v>Resturlaub (2025)</v>
      </c>
      <c r="B38" s="422"/>
      <c r="C38" s="426">
        <f>SUM(C36:C37)-Jahresübersicht!B44</f>
        <v>27</v>
      </c>
      <c r="D38" s="429" t="s">
        <v>172</v>
      </c>
      <c r="E38" s="417" t="str">
        <f>IF(OR(E37=0,E37=""),"NEIN",IF($E$37&gt;0,"JA"))</f>
        <v>NEIN</v>
      </c>
      <c r="F38" s="417" t="str">
        <f>IF(OR(F37=0,F37=""),"NEIN",IF($F$37&gt;0,"JA"))</f>
        <v>NEIN</v>
      </c>
      <c r="G38" s="417" t="str">
        <f>IF(OR(G37=0,G37=""),"NEIN",IF($G$37&gt;0,"JA"))</f>
        <v>NEIN</v>
      </c>
      <c r="H38" s="417" t="str">
        <f>IF(OR(H37=0,H37=""),"NEIN",IF($H$37&gt;0,"JA"))</f>
        <v>NEIN</v>
      </c>
      <c r="I38" s="47"/>
      <c r="J38" s="47"/>
      <c r="K38" s="47"/>
      <c r="L38" s="1"/>
    </row>
    <row r="39" spans="1:12" x14ac:dyDescent="0.2">
      <c r="A39" s="387"/>
      <c r="B39" s="388"/>
      <c r="C39" s="389"/>
      <c r="D39" s="429" t="s">
        <v>173</v>
      </c>
      <c r="E39" s="417" t="str">
        <f>IF(OR(E37=0,E37="")," ",IF($E$36="JA",ROUND(20*E41/365,0),ROUND(10*E41/365,0)))</f>
        <v xml:space="preserve"> </v>
      </c>
      <c r="F39" s="417" t="str">
        <f>IF(OR(F37=0,F37="")," ",IF($F$36="JA",ROUND(20*F41/365,0),ROUND(10*F41/365,0)))</f>
        <v xml:space="preserve"> </v>
      </c>
      <c r="G39" s="417" t="str">
        <f>IF(OR(G37=0,G37="")," ",IF($G$36="JA",ROUND(20*G41/365,0),ROUND(10*G41/365,0)))</f>
        <v xml:space="preserve"> </v>
      </c>
      <c r="H39" s="417" t="str">
        <f>IF(OR(H37=0,H37="")," ",IF($H$36="JA",ROUND(20*H41/365,0),ROUND(10*H41/365,0)))</f>
        <v xml:space="preserve"> </v>
      </c>
      <c r="I39" s="47"/>
      <c r="J39" s="47"/>
      <c r="K39" s="47"/>
      <c r="L39" s="1"/>
    </row>
    <row r="40" spans="1:12" outlineLevel="1" x14ac:dyDescent="0.2">
      <c r="A40" s="387"/>
      <c r="B40" s="388"/>
      <c r="C40" s="389"/>
      <c r="D40" s="429" t="s">
        <v>174</v>
      </c>
      <c r="E40" s="449" t="str">
        <f>IF(E37="","",DATE(YEAR(E37)+12,MONTH(E37),DAY(E37)))</f>
        <v/>
      </c>
      <c r="F40" s="449" t="str">
        <f t="shared" ref="F40:H40" si="1">IF(F37="","",DATE(YEAR(F37)+12,MONTH(F37),DAY(F37)))</f>
        <v/>
      </c>
      <c r="G40" s="449" t="str">
        <f t="shared" si="1"/>
        <v/>
      </c>
      <c r="H40" s="449" t="str">
        <f t="shared" si="1"/>
        <v/>
      </c>
      <c r="I40" s="47"/>
      <c r="J40" s="47"/>
      <c r="K40" s="47"/>
      <c r="L40" s="1"/>
    </row>
    <row r="41" spans="1:12" outlineLevel="1" x14ac:dyDescent="0.2">
      <c r="A41" s="387"/>
      <c r="B41" s="388"/>
      <c r="C41" s="389"/>
      <c r="D41" s="429"/>
      <c r="E41" s="417" t="str">
        <f>IF(E37="","",IF(E40&lt;$B$12,0,IF(AND(E40&gt;$E$2,E37&lt;=$B$12),$E$4-$E$3+1,IF(E37&gt;$B$12,$E$3-E34+1,E40-$B$12+1))))</f>
        <v/>
      </c>
      <c r="F41" s="417" t="str">
        <f t="shared" ref="F41:H41" si="2">IF(F37="","",IF(F40&lt;$B$12,0,IF(AND(F40&gt;$E$2,F37&lt;=$B$12),$E$4-$E$3+1,IF(F37&gt;$B$12,$E$3-F34+1,F40-$B$12+1))))</f>
        <v/>
      </c>
      <c r="G41" s="417" t="str">
        <f t="shared" si="2"/>
        <v/>
      </c>
      <c r="H41" s="417" t="str">
        <f t="shared" si="2"/>
        <v/>
      </c>
      <c r="I41" s="47"/>
      <c r="J41" s="47"/>
      <c r="K41" s="47"/>
      <c r="L41" s="1"/>
    </row>
    <row r="42" spans="1:12" x14ac:dyDescent="0.2">
      <c r="L42" s="1"/>
    </row>
    <row r="43" spans="1:12" outlineLevel="1" x14ac:dyDescent="0.2">
      <c r="D43" s="656" t="s">
        <v>156</v>
      </c>
      <c r="E43" s="656"/>
      <c r="F43" s="656"/>
      <c r="G43" s="656"/>
      <c r="I43" s="649" t="s">
        <v>136</v>
      </c>
      <c r="J43" s="649"/>
      <c r="K43" s="649"/>
      <c r="L43" s="1"/>
    </row>
    <row r="44" spans="1:12" ht="12.75" outlineLevel="1" x14ac:dyDescent="0.2">
      <c r="A44" s="650" t="s">
        <v>149</v>
      </c>
      <c r="B44" s="651"/>
      <c r="C44" s="648">
        <v>0.3</v>
      </c>
      <c r="D44" s="415" t="s">
        <v>140</v>
      </c>
      <c r="E44" s="415" t="s">
        <v>139</v>
      </c>
      <c r="F44" s="415" t="s">
        <v>138</v>
      </c>
      <c r="G44" s="415" t="s">
        <v>137</v>
      </c>
      <c r="I44" s="415" t="s">
        <v>134</v>
      </c>
      <c r="J44" s="415" t="s">
        <v>145</v>
      </c>
      <c r="K44" s="48" t="s">
        <v>154</v>
      </c>
      <c r="L44" s="48" t="s">
        <v>155</v>
      </c>
    </row>
    <row r="45" spans="1:12" outlineLevel="1" x14ac:dyDescent="0.2">
      <c r="B45" s="1" t="s">
        <v>194</v>
      </c>
      <c r="C45" s="47">
        <v>24</v>
      </c>
      <c r="D45" s="390"/>
      <c r="E45" s="390"/>
      <c r="F45" s="416" t="str">
        <f>tbl_Entfernung[[#This Row],[Start 1]]&amp;tbl_Entfernung[[#This Row],[Ziel]]</f>
        <v/>
      </c>
      <c r="G45" s="392"/>
      <c r="I45" s="390"/>
      <c r="J45" s="392"/>
      <c r="K45" s="47"/>
      <c r="L45" s="47" t="s">
        <v>169</v>
      </c>
    </row>
    <row r="46" spans="1:12" outlineLevel="1" x14ac:dyDescent="0.2">
      <c r="D46" s="390"/>
      <c r="E46" s="390"/>
      <c r="F46" s="416" t="str">
        <f>tbl_Entfernung[[#This Row],[Start 1]]&amp;tbl_Entfernung[[#This Row],[Ziel]]</f>
        <v/>
      </c>
      <c r="G46" s="392"/>
      <c r="I46" s="390"/>
      <c r="J46" s="392"/>
      <c r="K46" s="47"/>
      <c r="L46" s="47" t="s">
        <v>170</v>
      </c>
    </row>
    <row r="47" spans="1:12" outlineLevel="1" x14ac:dyDescent="0.2">
      <c r="D47" s="390"/>
      <c r="E47" s="390"/>
      <c r="F47" s="416" t="str">
        <f>tbl_Entfernung[[#This Row],[Start 1]]&amp;tbl_Entfernung[[#This Row],[Ziel]]</f>
        <v/>
      </c>
      <c r="G47" s="392"/>
      <c r="I47" s="390"/>
      <c r="J47" s="392"/>
      <c r="K47" s="47"/>
    </row>
    <row r="48" spans="1:12" outlineLevel="1" x14ac:dyDescent="0.2">
      <c r="D48" s="390"/>
      <c r="E48" s="390"/>
      <c r="F48" s="416" t="str">
        <f>tbl_Entfernung[[#This Row],[Start 1]]&amp;tbl_Entfernung[[#This Row],[Ziel]]</f>
        <v/>
      </c>
      <c r="G48" s="392"/>
      <c r="I48" s="390"/>
      <c r="J48" s="392"/>
      <c r="K48" s="47"/>
    </row>
    <row r="49" spans="3:11" outlineLevel="1" x14ac:dyDescent="0.2">
      <c r="D49" s="391"/>
      <c r="E49" s="391"/>
      <c r="F49" s="48" t="str">
        <f>tbl_Entfernung[[#This Row],[Start 1]]&amp;tbl_Entfernung[[#This Row],[Ziel]]</f>
        <v/>
      </c>
      <c r="G49" s="393"/>
      <c r="I49" s="390"/>
      <c r="J49" s="392"/>
      <c r="K49" s="47"/>
    </row>
    <row r="50" spans="3:11" outlineLevel="1" x14ac:dyDescent="0.2">
      <c r="D50" s="391"/>
      <c r="E50" s="391"/>
      <c r="F50" s="48" t="str">
        <f>tbl_Entfernung[[#This Row],[Start 1]]&amp;tbl_Entfernung[[#This Row],[Ziel]]</f>
        <v/>
      </c>
      <c r="G50" s="393"/>
      <c r="I50" s="391"/>
      <c r="J50" s="393"/>
      <c r="K50" s="47"/>
    </row>
    <row r="51" spans="3:11" outlineLevel="1" x14ac:dyDescent="0.2">
      <c r="D51" s="391"/>
      <c r="E51" s="391"/>
      <c r="F51" s="48" t="str">
        <f>tbl_Entfernung[[#This Row],[Start 1]]&amp;tbl_Entfernung[[#This Row],[Ziel]]</f>
        <v/>
      </c>
      <c r="G51" s="393"/>
      <c r="I51" s="391"/>
      <c r="J51" s="393"/>
      <c r="K51" s="47"/>
    </row>
    <row r="52" spans="3:11" outlineLevel="1" x14ac:dyDescent="0.2">
      <c r="D52" s="391"/>
      <c r="E52" s="391"/>
      <c r="F52" s="48" t="str">
        <f>tbl_Entfernung[[#This Row],[Start 1]]&amp;tbl_Entfernung[[#This Row],[Ziel]]</f>
        <v/>
      </c>
      <c r="G52" s="393"/>
      <c r="I52" s="391"/>
      <c r="J52" s="393"/>
      <c r="K52" s="47"/>
    </row>
    <row r="53" spans="3:11" outlineLevel="1" x14ac:dyDescent="0.2">
      <c r="D53" s="391"/>
      <c r="E53" s="391"/>
      <c r="F53" s="48" t="str">
        <f>tbl_Entfernung[[#This Row],[Start 1]]&amp;tbl_Entfernung[[#This Row],[Ziel]]</f>
        <v/>
      </c>
      <c r="G53" s="393"/>
      <c r="I53" s="391"/>
      <c r="J53" s="393"/>
      <c r="K53" s="47"/>
    </row>
    <row r="54" spans="3:11" outlineLevel="1" x14ac:dyDescent="0.2">
      <c r="D54" s="391"/>
      <c r="E54" s="391"/>
      <c r="F54" s="48" t="str">
        <f>tbl_Entfernung[[#This Row],[Start 1]]&amp;tbl_Entfernung[[#This Row],[Ziel]]</f>
        <v/>
      </c>
      <c r="G54" s="393"/>
      <c r="I54" s="391"/>
      <c r="J54" s="393"/>
      <c r="K54" s="47"/>
    </row>
    <row r="55" spans="3:11" outlineLevel="1" x14ac:dyDescent="0.2">
      <c r="D55" s="391"/>
      <c r="E55" s="391"/>
      <c r="F55" s="48" t="str">
        <f>tbl_Entfernung[[#This Row],[Start 1]]&amp;tbl_Entfernung[[#This Row],[Ziel]]</f>
        <v/>
      </c>
      <c r="G55" s="393"/>
      <c r="I55" s="391"/>
      <c r="J55" s="393"/>
      <c r="K55" s="47"/>
    </row>
    <row r="56" spans="3:11" outlineLevel="1" x14ac:dyDescent="0.2">
      <c r="D56" s="391"/>
      <c r="E56" s="391"/>
      <c r="F56" s="48" t="str">
        <f>tbl_Entfernung[[#This Row],[Start 1]]&amp;tbl_Entfernung[[#This Row],[Ziel]]</f>
        <v/>
      </c>
      <c r="G56" s="393"/>
      <c r="I56" s="391"/>
      <c r="J56" s="393"/>
      <c r="K56" s="47"/>
    </row>
    <row r="57" spans="3:11" outlineLevel="1" x14ac:dyDescent="0.2">
      <c r="D57" s="391"/>
      <c r="E57" s="391"/>
      <c r="F57" s="48" t="str">
        <f>tbl_Entfernung[[#This Row],[Start 1]]&amp;tbl_Entfernung[[#This Row],[Ziel]]</f>
        <v/>
      </c>
      <c r="G57" s="393"/>
      <c r="I57" s="398"/>
      <c r="J57" s="399"/>
      <c r="K57" s="47"/>
    </row>
    <row r="58" spans="3:11" outlineLevel="1" x14ac:dyDescent="0.2">
      <c r="D58" s="391"/>
      <c r="E58" s="391"/>
      <c r="F58" s="48" t="str">
        <f>tbl_Entfernung[[#This Row],[Start 1]]&amp;tbl_Entfernung[[#This Row],[Ziel]]</f>
        <v/>
      </c>
      <c r="G58" s="393"/>
      <c r="I58" s="400"/>
      <c r="J58" s="401"/>
      <c r="K58" s="640"/>
    </row>
    <row r="59" spans="3:11" outlineLevel="1" x14ac:dyDescent="0.2">
      <c r="D59" s="391"/>
      <c r="E59" s="391"/>
      <c r="F59" s="48" t="str">
        <f>tbl_Entfernung[[#This Row],[Start 1]]&amp;tbl_Entfernung[[#This Row],[Ziel]]</f>
        <v/>
      </c>
      <c r="G59" s="393"/>
    </row>
    <row r="60" spans="3:11" outlineLevel="1" x14ac:dyDescent="0.2">
      <c r="D60" s="391"/>
      <c r="E60" s="391"/>
      <c r="F60" s="48" t="str">
        <f>tbl_Entfernung[[#This Row],[Start 1]]&amp;tbl_Entfernung[[#This Row],[Ziel]]</f>
        <v/>
      </c>
      <c r="G60" s="393"/>
    </row>
    <row r="61" spans="3:11" outlineLevel="1" x14ac:dyDescent="0.2">
      <c r="D61" s="391"/>
      <c r="E61" s="391"/>
      <c r="F61" s="48" t="str">
        <f>tbl_Entfernung[[#This Row],[Start 1]]&amp;tbl_Entfernung[[#This Row],[Ziel]]</f>
        <v/>
      </c>
      <c r="G61" s="393"/>
    </row>
    <row r="62" spans="3:11" outlineLevel="1" x14ac:dyDescent="0.2">
      <c r="D62" s="391"/>
      <c r="E62" s="391"/>
      <c r="F62" s="48" t="str">
        <f>tbl_Entfernung[[#This Row],[Start 1]]&amp;tbl_Entfernung[[#This Row],[Ziel]]</f>
        <v/>
      </c>
      <c r="G62" s="393"/>
    </row>
    <row r="63" spans="3:11" outlineLevel="1" x14ac:dyDescent="0.2">
      <c r="C63" s="397"/>
      <c r="D63" s="391"/>
      <c r="E63" s="391"/>
      <c r="F63" s="48" t="str">
        <f>tbl_Entfernung[[#This Row],[Start 1]]&amp;tbl_Entfernung[[#This Row],[Ziel]]</f>
        <v/>
      </c>
      <c r="G63" s="393"/>
    </row>
    <row r="64" spans="3:11" outlineLevel="1" x14ac:dyDescent="0.2">
      <c r="D64" s="391"/>
      <c r="E64" s="391"/>
      <c r="F64" s="48" t="str">
        <f>tbl_Entfernung[[#This Row],[Start 1]]&amp;tbl_Entfernung[[#This Row],[Ziel]]</f>
        <v/>
      </c>
      <c r="G64" s="393"/>
    </row>
    <row r="65" spans="4:7" outlineLevel="1" x14ac:dyDescent="0.2">
      <c r="D65" s="391"/>
      <c r="E65" s="391"/>
      <c r="F65" s="48" t="str">
        <f>tbl_Entfernung[[#This Row],[Start 1]]&amp;tbl_Entfernung[[#This Row],[Ziel]]</f>
        <v/>
      </c>
      <c r="G65" s="393"/>
    </row>
    <row r="66" spans="4:7" outlineLevel="1" x14ac:dyDescent="0.2">
      <c r="D66" s="391"/>
      <c r="E66" s="391"/>
      <c r="F66" s="48" t="str">
        <f>tbl_Entfernung[[#This Row],[Start 1]]&amp;tbl_Entfernung[[#This Row],[Ziel]]</f>
        <v/>
      </c>
      <c r="G66" s="393"/>
    </row>
    <row r="67" spans="4:7" outlineLevel="1" x14ac:dyDescent="0.2">
      <c r="D67" s="391"/>
      <c r="E67" s="391"/>
      <c r="F67" s="48" t="str">
        <f>tbl_Entfernung[[#This Row],[Start 1]]&amp;tbl_Entfernung[[#This Row],[Ziel]]</f>
        <v/>
      </c>
      <c r="G67" s="393"/>
    </row>
    <row r="68" spans="4:7" outlineLevel="1" x14ac:dyDescent="0.2">
      <c r="D68" s="391"/>
      <c r="E68" s="391"/>
      <c r="F68" s="48" t="str">
        <f>tbl_Entfernung[[#This Row],[Start 1]]&amp;tbl_Entfernung[[#This Row],[Ziel]]</f>
        <v/>
      </c>
      <c r="G68" s="393"/>
    </row>
    <row r="69" spans="4:7" outlineLevel="1" x14ac:dyDescent="0.2">
      <c r="D69" s="391"/>
      <c r="E69" s="391"/>
      <c r="F69" s="48" t="str">
        <f>tbl_Entfernung[[#This Row],[Start 1]]&amp;tbl_Entfernung[[#This Row],[Ziel]]</f>
        <v/>
      </c>
      <c r="G69" s="393"/>
    </row>
  </sheetData>
  <sheetProtection selectLockedCells="1"/>
  <mergeCells count="16">
    <mergeCell ref="I43:K43"/>
    <mergeCell ref="A44:B44"/>
    <mergeCell ref="A11:B11"/>
    <mergeCell ref="A1:B1"/>
    <mergeCell ref="D43:G43"/>
    <mergeCell ref="C2:D2"/>
    <mergeCell ref="C3:D3"/>
    <mergeCell ref="C4:D4"/>
    <mergeCell ref="A2:B2"/>
    <mergeCell ref="A3:B3"/>
    <mergeCell ref="A4:B4"/>
    <mergeCell ref="F22:G22"/>
    <mergeCell ref="F21:G21"/>
    <mergeCell ref="F20:G20"/>
    <mergeCell ref="F19:G19"/>
    <mergeCell ref="F23:G23"/>
  </mergeCells>
  <dataValidations disablePrompts="1" count="1">
    <dataValidation type="list" allowBlank="1" showInputMessage="1" showErrorMessage="1" sqref="E36:H36" xr:uid="{25FC0E4A-0563-4CD5-BEB6-3CF61F3D9D70}">
      <formula1>$L$45:$L$46</formula1>
    </dataValidation>
  </dataValidations>
  <printOptions horizontalCentered="1" verticalCentered="1"/>
  <pageMargins left="0.23622047244094491" right="0.23622047244094491" top="0.23622047244094491" bottom="0.23622047244094491" header="0.11811023622047245" footer="0.11811023622047245"/>
  <pageSetup paperSize="9" firstPageNumber="0" orientation="landscape" r:id="rId1"/>
  <headerFooter alignWithMargins="0"/>
  <ignoredErrors>
    <ignoredError sqref="G4" unlockedFormula="1"/>
  </ignoredErrors>
  <tableParts count="2">
    <tablePart r:id="rId2"/>
    <tablePart r:id="rId3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09">
    <tabColor theme="2" tint="-0.249977111117893"/>
    <pageSetUpPr fitToPage="1"/>
  </sheetPr>
  <dimension ref="A1:AD52"/>
  <sheetViews>
    <sheetView showGridLines="0" showZeros="0" zoomScale="90" zoomScaleNormal="90" workbookViewId="0">
      <pane ySplit="3" topLeftCell="A4" activePane="bottomLeft" state="frozen"/>
      <selection activeCell="T6" sqref="T6"/>
      <selection pane="bottomLeft" activeCell="T6" sqref="T6"/>
    </sheetView>
  </sheetViews>
  <sheetFormatPr baseColWidth="10" defaultColWidth="11.5703125" defaultRowHeight="12.75" x14ac:dyDescent="0.2"/>
  <cols>
    <col min="1" max="1" width="9.28515625" style="45" customWidth="1"/>
    <col min="2" max="2" width="5.7109375" style="45" customWidth="1"/>
    <col min="3" max="3" width="18.7109375" style="45" customWidth="1"/>
    <col min="4" max="4" width="11.140625" style="276" bestFit="1" customWidth="1"/>
    <col min="5" max="5" width="7.7109375" style="301" customWidth="1"/>
    <col min="6" max="6" width="7.7109375" style="276" customWidth="1"/>
    <col min="7" max="8" width="12.7109375" style="276" customWidth="1"/>
    <col min="9" max="9" width="4.7109375" style="276" customWidth="1"/>
    <col min="10" max="11" width="7.7109375" style="276" customWidth="1"/>
    <col min="12" max="13" width="12.7109375" style="287" customWidth="1"/>
    <col min="14" max="14" width="4.7109375" style="287" customWidth="1"/>
    <col min="15" max="15" width="6.42578125" style="287" customWidth="1"/>
    <col min="16" max="16" width="3.7109375" style="287" customWidth="1"/>
    <col min="17" max="17" width="7.7109375" style="45" customWidth="1"/>
    <col min="18" max="20" width="7.7109375" style="46" customWidth="1"/>
    <col min="21" max="21" width="4.28515625" style="45" bestFit="1" customWidth="1"/>
    <col min="22" max="22" width="20.7109375" style="45" customWidth="1"/>
    <col min="23" max="23" width="7.7109375" style="45" customWidth="1"/>
    <col min="24" max="24" width="0.7109375" style="45" customWidth="1"/>
    <col min="25" max="25" width="14.7109375" style="45" customWidth="1"/>
    <col min="26" max="27" width="11.5703125" style="45"/>
    <col min="28" max="28" width="13.7109375" style="45" bestFit="1" customWidth="1"/>
    <col min="29" max="29" width="0.7109375" style="45" customWidth="1"/>
    <col min="30" max="16384" width="11.5703125" style="45"/>
  </cols>
  <sheetData>
    <row r="1" spans="1:29" ht="15" customHeight="1" x14ac:dyDescent="0.2">
      <c r="A1" s="678">
        <f>DATE(Jahr,8,1)</f>
        <v>44408</v>
      </c>
      <c r="B1" s="679"/>
      <c r="C1" s="679"/>
      <c r="D1" s="370"/>
      <c r="E1" s="370"/>
      <c r="F1" s="370"/>
      <c r="G1" s="370"/>
      <c r="H1" s="370"/>
      <c r="I1" s="370"/>
      <c r="J1" s="285"/>
      <c r="K1" s="285"/>
      <c r="L1" s="285"/>
      <c r="M1" s="285" t="str">
        <f>"Nettoarbeitstage: "&amp;NETWORKDAYS(A1,EOMONTH(A1,0),Feiertage!A4:A39)</f>
        <v>Nettoarbeitstage: 21</v>
      </c>
      <c r="N1" s="285"/>
      <c r="O1" s="285"/>
      <c r="P1" s="288"/>
      <c r="Q1" s="260"/>
      <c r="R1" s="260"/>
      <c r="S1" s="260"/>
      <c r="T1" s="260"/>
      <c r="U1" s="260"/>
      <c r="V1" s="684" t="str">
        <f>Voreinstellungen!C3</f>
        <v>Vivien Günther</v>
      </c>
      <c r="W1" s="685"/>
    </row>
    <row r="2" spans="1:29" ht="15" customHeight="1" x14ac:dyDescent="0.2">
      <c r="A2" s="680"/>
      <c r="B2" s="681"/>
      <c r="C2" s="681"/>
      <c r="D2" s="371"/>
      <c r="E2" s="371"/>
      <c r="F2" s="371"/>
      <c r="G2" s="371"/>
      <c r="H2" s="371"/>
      <c r="I2" s="371"/>
      <c r="J2" s="371"/>
      <c r="K2" s="371"/>
      <c r="L2" s="286"/>
      <c r="M2" s="286"/>
      <c r="N2" s="286"/>
      <c r="O2" s="286"/>
      <c r="P2" s="289"/>
      <c r="Q2" s="259"/>
      <c r="R2" s="259"/>
      <c r="S2" s="259"/>
      <c r="T2" s="259"/>
      <c r="U2" s="259"/>
      <c r="V2" s="686" t="str">
        <f>IF(ISBLANK(Voreinstellungen!C4),"","Personal-Nr.: "&amp;Voreinstellungen!C4)</f>
        <v>Personal-Nr.: 60161</v>
      </c>
      <c r="W2" s="687"/>
    </row>
    <row r="3" spans="1:29" s="47" customFormat="1" ht="36" customHeight="1" x14ac:dyDescent="0.2">
      <c r="A3" s="204" t="s">
        <v>73</v>
      </c>
      <c r="B3" s="205"/>
      <c r="C3" s="204" t="s">
        <v>26</v>
      </c>
      <c r="D3" s="284" t="s">
        <v>143</v>
      </c>
      <c r="E3" s="282" t="s">
        <v>74</v>
      </c>
      <c r="F3" s="253" t="s">
        <v>75</v>
      </c>
      <c r="G3" s="253" t="s">
        <v>141</v>
      </c>
      <c r="H3" s="110" t="s">
        <v>134</v>
      </c>
      <c r="I3" s="257" t="s">
        <v>135</v>
      </c>
      <c r="J3" s="282" t="s">
        <v>76</v>
      </c>
      <c r="K3" s="206" t="s">
        <v>77</v>
      </c>
      <c r="L3" s="258" t="s">
        <v>142</v>
      </c>
      <c r="M3" s="279" t="s">
        <v>134</v>
      </c>
      <c r="N3" s="257" t="s">
        <v>135</v>
      </c>
      <c r="O3" s="282" t="s">
        <v>144</v>
      </c>
      <c r="P3" s="283" t="s">
        <v>24</v>
      </c>
      <c r="Q3" s="171" t="s">
        <v>78</v>
      </c>
      <c r="R3" s="171" t="s">
        <v>79</v>
      </c>
      <c r="S3" s="171" t="s">
        <v>147</v>
      </c>
      <c r="T3" s="207" t="s">
        <v>80</v>
      </c>
      <c r="U3" s="208" t="s">
        <v>81</v>
      </c>
      <c r="V3" s="209" t="s">
        <v>82</v>
      </c>
      <c r="W3" s="171" t="s">
        <v>83</v>
      </c>
      <c r="X3" s="306">
        <f>PauseGWert</f>
        <v>3.125E-2</v>
      </c>
    </row>
    <row r="4" spans="1:29" s="19" customFormat="1" ht="12" x14ac:dyDescent="0.2">
      <c r="A4" s="311">
        <f>A1</f>
        <v>44408</v>
      </c>
      <c r="B4" s="210">
        <f t="shared" ref="B4:B34" si="0">A4</f>
        <v>44408</v>
      </c>
      <c r="C4" s="261" t="str">
        <f t="shared" ref="C4:C31" si="1">IF(ISERROR(VLOOKUP(B4,Feiertage,2,FALSE)),"",(VLOOKUP(B4,Feiertage,2,FALSE)))</f>
        <v/>
      </c>
      <c r="D4" s="366"/>
      <c r="E4" s="351"/>
      <c r="F4" s="254"/>
      <c r="G4" s="307"/>
      <c r="H4" s="318"/>
      <c r="I4" s="347">
        <f>IFERROR(VLOOKUP(D4&amp;G4,tbl_Entfernung[[Verketten]:[Entfernung]],2,FALSE),"")</f>
        <v>0</v>
      </c>
      <c r="J4" s="360"/>
      <c r="K4" s="351"/>
      <c r="L4" s="307"/>
      <c r="M4" s="314"/>
      <c r="N4" s="320">
        <f>IFERROR(VLOOKUP(G4&amp;L4,tbl_Entfernung[[Verketten]:[Entfernung]],2,FALSE),"")</f>
        <v>0</v>
      </c>
      <c r="O4" s="315">
        <f>IF(S4&gt;PauseGTime,PauseGWert,IF(S4&gt;PauseKTime,PauseKWert,IF(S4&lt;=PauseKTime,0,WENN)))</f>
        <v>0</v>
      </c>
      <c r="P4" s="363"/>
      <c r="Q4" s="355">
        <f t="shared" ref="Q4:Q34" si="2">IF(A4="",0,IF(IF(E4&lt;F4,F4-E4,IF(F4="",0,F4-E4+1))+IF(J4&lt;K4,K4-J4,IF(K4="",0,K4-J4+1))-O4&gt;0,IF(E4&lt;F4,F4-E4,IF(F4="",0,F4-E4+1))+IF(J4&lt;K4,K4-J4,IF(K4="",0,K4-J4+1))-O4,0))</f>
        <v>0</v>
      </c>
      <c r="R4" s="224">
        <f t="shared" ref="R4:R34" ca="1" si="3">IF(AND(C4&lt;&gt;"",P4=""),IF(ISERROR(VLOOKUP(B4,Feiertage,2,FALSE)),0,VLOOKUP(B4,Feiertage,3,FALSE)*U4),IF(A4="",0,IF(P4&lt;&gt;"",IF(UPPER(P4)=VLOOKUP(UPPER(P4),Code,1,FALSE),IF(OR(VLOOKUP(P4,Code,2,FALSE)="NONE",VLOOKUP(P4,Code,2,FALSE)="XTRA",VLOOKUP(P4,Code,2,FALSE)="REST"),Q4,IF(ISERROR(VLOOKUP(B4,Feiertage,2,FALSE)),VLOOKUP(P4,Code,2,FALSE)*U4,IF(VLOOKUP(B4,Feiertage,3,FALSE)=0.5,IF(OR(UPPER(P4)="G",UPPER(P4)="H"),VLOOKUP(B4,Feiertage,3,FALSE)*VLOOKUP(P4,Code,2,FALSE)*U4,0),VLOOKUP(B4,Feiertage,3,FALSE)*VLOOKUP(P4,Code,2,FALSE)*U4))),U4),U4)))</f>
        <v>0.29166666666666669</v>
      </c>
      <c r="S4" s="224">
        <f>IF(A4="",0,IF(IF(E4&lt;F4,F4-E4,IF(F4="",0,F4-E4+1))+IF(J4&lt;K4,K4-J4,IF(K4="",0,K4-J4+1))&gt;0,IF(E4&lt;F4,F4-E4,IF(F4="",0,F4-E4+1))+IF(J4&lt;K4,K4-J4,IF(K4="",0,K4-J4+1)),0))</f>
        <v>0</v>
      </c>
      <c r="T4" s="211">
        <f t="shared" ref="T4:T34" ca="1" si="4">IF(A4="",0,ROUND(Q4-R4,14))</f>
        <v>-0.29166666666667002</v>
      </c>
      <c r="U4" s="250">
        <f t="shared" ref="U4:U34" ca="1" si="5">IF(A4="",0,INDIRECT(ADDRESS(MATCH(A4,SOLL_AZ_Ab,1)+11,WEEKDAY(A4,2)+3,,,"Voreinstellungen"),TRUE))</f>
        <v>0.29166666666666669</v>
      </c>
      <c r="V4" s="212"/>
      <c r="W4" s="213" t="e">
        <f ca="1">IF(A4="","",IF(T4&lt;&gt;"",ROUND(J36+T4,14),J36))</f>
        <v>#REF!</v>
      </c>
      <c r="Y4" s="305"/>
      <c r="AB4" s="344">
        <f>MOD(F4-E4,1)*24</f>
        <v>0</v>
      </c>
      <c r="AC4" s="344">
        <f>MOD(K4-J4,1)*24</f>
        <v>0</v>
      </c>
    </row>
    <row r="5" spans="1:29" s="19" customFormat="1" ht="12" x14ac:dyDescent="0.2">
      <c r="A5" s="312">
        <f t="shared" ref="A5:A31" si="6">A4+1</f>
        <v>44409</v>
      </c>
      <c r="B5" s="129">
        <f t="shared" si="0"/>
        <v>44409</v>
      </c>
      <c r="C5" s="262" t="str">
        <f t="shared" si="1"/>
        <v/>
      </c>
      <c r="D5" s="358"/>
      <c r="E5" s="352"/>
      <c r="F5" s="255"/>
      <c r="G5" s="308"/>
      <c r="H5" s="308"/>
      <c r="I5" s="348">
        <f>IFERROR(VLOOKUP(D5&amp;G5,tbl_Entfernung[[Verketten]:[Entfernung]],2,FALSE),"")</f>
        <v>0</v>
      </c>
      <c r="J5" s="361"/>
      <c r="K5" s="352"/>
      <c r="L5" s="308"/>
      <c r="M5" s="308"/>
      <c r="N5" s="321">
        <f>IFERROR(VLOOKUP(G5&amp;L5,tbl_Entfernung[[Verketten]:[Entfernung]],2,FALSE),"")</f>
        <v>0</v>
      </c>
      <c r="O5" s="316">
        <f>IF(S5&gt;PauseGTime,PauseGWert,IF(S5&gt;PauseKTime,PauseKWert,IF(S5&lt;=PauseKTime,0,WENN)))</f>
        <v>0</v>
      </c>
      <c r="P5" s="364"/>
      <c r="Q5" s="356">
        <f t="shared" si="2"/>
        <v>0</v>
      </c>
      <c r="R5" s="225">
        <f t="shared" ca="1" si="3"/>
        <v>0</v>
      </c>
      <c r="S5" s="225">
        <f t="shared" ref="S5:S34" si="7">IF(A5="",0,IF(IF(E5&lt;F5,F5-E5,IF(F5="",0,F5-E5+1))+IF(J5&lt;K5,K5-J5,IF(K5="",0,K5-J5+1))&gt;0,IF(E5&lt;F5,F5-E5,IF(F5="",0,F5-E5+1))+IF(J5&lt;K5,K5-J5,IF(K5="",0,K5-J5+1)),0))</f>
        <v>0</v>
      </c>
      <c r="T5" s="130">
        <f t="shared" ca="1" si="4"/>
        <v>0</v>
      </c>
      <c r="U5" s="251">
        <f t="shared" ca="1" si="5"/>
        <v>0</v>
      </c>
      <c r="V5" s="131"/>
      <c r="W5" s="214" t="e">
        <f t="shared" ref="W5:W34" ca="1" si="8">IF(A5="","",IF(T5&lt;&gt;"",ROUND(W4+T5,14),W4))</f>
        <v>#REF!</v>
      </c>
      <c r="AB5" s="345">
        <f t="shared" ref="AB5:AB34" si="9">MOD(F5-E5,1)*24</f>
        <v>0</v>
      </c>
      <c r="AC5" s="345">
        <f t="shared" ref="AC5:AC34" si="10">MOD(K5-J5,1)*24</f>
        <v>0</v>
      </c>
    </row>
    <row r="6" spans="1:29" s="19" customFormat="1" ht="12" x14ac:dyDescent="0.2">
      <c r="A6" s="312">
        <f t="shared" si="6"/>
        <v>44410</v>
      </c>
      <c r="B6" s="129">
        <f t="shared" si="0"/>
        <v>44410</v>
      </c>
      <c r="C6" s="262" t="str">
        <f t="shared" si="1"/>
        <v/>
      </c>
      <c r="D6" s="358"/>
      <c r="E6" s="352"/>
      <c r="F6" s="255"/>
      <c r="G6" s="309"/>
      <c r="H6" s="309"/>
      <c r="I6" s="348">
        <f>IFERROR(VLOOKUP(D6&amp;G6,tbl_Entfernung[[Verketten]:[Entfernung]],2,FALSE),"")</f>
        <v>0</v>
      </c>
      <c r="J6" s="361"/>
      <c r="K6" s="352"/>
      <c r="L6" s="309"/>
      <c r="M6" s="309"/>
      <c r="N6" s="321">
        <f>IFERROR(VLOOKUP(G6&amp;L6,tbl_Entfernung[[Verketten]:[Entfernung]],2,FALSE),"")</f>
        <v>0</v>
      </c>
      <c r="O6" s="316">
        <f>IF(S6&gt;PauseGTime,PauseGWert,IF(S6&gt;PauseKTime,PauseKWert,IF(S6&lt;=PauseKTime,0,WENN)))</f>
        <v>0</v>
      </c>
      <c r="P6" s="364"/>
      <c r="Q6" s="356">
        <f t="shared" si="2"/>
        <v>0</v>
      </c>
      <c r="R6" s="225">
        <f t="shared" ca="1" si="3"/>
        <v>0</v>
      </c>
      <c r="S6" s="225">
        <f t="shared" si="7"/>
        <v>0</v>
      </c>
      <c r="T6" s="130">
        <f t="shared" ca="1" si="4"/>
        <v>0</v>
      </c>
      <c r="U6" s="251">
        <f t="shared" ca="1" si="5"/>
        <v>0</v>
      </c>
      <c r="V6" s="131"/>
      <c r="W6" s="214" t="e">
        <f t="shared" ca="1" si="8"/>
        <v>#REF!</v>
      </c>
      <c r="AB6" s="345">
        <f t="shared" si="9"/>
        <v>0</v>
      </c>
      <c r="AC6" s="345">
        <f t="shared" si="10"/>
        <v>0</v>
      </c>
    </row>
    <row r="7" spans="1:29" s="19" customFormat="1" ht="12" x14ac:dyDescent="0.2">
      <c r="A7" s="312">
        <f t="shared" si="6"/>
        <v>44411</v>
      </c>
      <c r="B7" s="129">
        <f t="shared" si="0"/>
        <v>44411</v>
      </c>
      <c r="C7" s="262" t="str">
        <f t="shared" si="1"/>
        <v/>
      </c>
      <c r="D7" s="358"/>
      <c r="E7" s="352"/>
      <c r="F7" s="255"/>
      <c r="G7" s="309"/>
      <c r="H7" s="309"/>
      <c r="I7" s="348">
        <f>IFERROR(VLOOKUP(D7&amp;G7,tbl_Entfernung[[Verketten]:[Entfernung]],2,FALSE),"")</f>
        <v>0</v>
      </c>
      <c r="J7" s="361"/>
      <c r="K7" s="352"/>
      <c r="L7" s="309"/>
      <c r="M7" s="309"/>
      <c r="N7" s="321">
        <f>IFERROR(VLOOKUP(G7&amp;L7,tbl_Entfernung[[Verketten]:[Entfernung]],2,FALSE),"")</f>
        <v>0</v>
      </c>
      <c r="O7" s="316">
        <f>IF(S7&gt;PauseGTime,PauseGWert,IF(S7&gt;PauseKTime,PauseKWert,IF(S7&lt;=PauseKTime,0,WENN)))</f>
        <v>0</v>
      </c>
      <c r="P7" s="364"/>
      <c r="Q7" s="356">
        <f t="shared" si="2"/>
        <v>0</v>
      </c>
      <c r="R7" s="225">
        <f t="shared" ca="1" si="3"/>
        <v>0.29166666666666669</v>
      </c>
      <c r="S7" s="225">
        <f t="shared" si="7"/>
        <v>0</v>
      </c>
      <c r="T7" s="130">
        <f t="shared" ca="1" si="4"/>
        <v>-0.29166666666667002</v>
      </c>
      <c r="U7" s="251">
        <f t="shared" ca="1" si="5"/>
        <v>0.29166666666666669</v>
      </c>
      <c r="V7" s="131"/>
      <c r="W7" s="214" t="e">
        <f t="shared" ca="1" si="8"/>
        <v>#REF!</v>
      </c>
      <c r="AB7" s="345">
        <f t="shared" si="9"/>
        <v>0</v>
      </c>
      <c r="AC7" s="345">
        <f t="shared" si="10"/>
        <v>0</v>
      </c>
    </row>
    <row r="8" spans="1:29" s="19" customFormat="1" ht="12" x14ac:dyDescent="0.2">
      <c r="A8" s="312">
        <f t="shared" si="6"/>
        <v>44412</v>
      </c>
      <c r="B8" s="129">
        <f t="shared" si="0"/>
        <v>44412</v>
      </c>
      <c r="C8" s="262" t="str">
        <f t="shared" si="1"/>
        <v/>
      </c>
      <c r="D8" s="358"/>
      <c r="E8" s="352"/>
      <c r="F8" s="255"/>
      <c r="G8" s="309"/>
      <c r="H8" s="309"/>
      <c r="I8" s="348">
        <f>IFERROR(VLOOKUP(D8&amp;G8,tbl_Entfernung[[Verketten]:[Entfernung]],2,FALSE),"")</f>
        <v>0</v>
      </c>
      <c r="J8" s="361"/>
      <c r="K8" s="352"/>
      <c r="L8" s="309"/>
      <c r="M8" s="309"/>
      <c r="N8" s="321">
        <f>IFERROR(VLOOKUP(G8&amp;L8,tbl_Entfernung[[Verketten]:[Entfernung]],2,FALSE),"")</f>
        <v>0</v>
      </c>
      <c r="O8" s="316">
        <f>IF(S8&gt;PauseGTime,PauseGWert,IF(S8&gt;PauseKTime,PauseKWert,IF(S8&lt;=PauseKTime,0,WENN)))</f>
        <v>0</v>
      </c>
      <c r="P8" s="364"/>
      <c r="Q8" s="356">
        <f t="shared" si="2"/>
        <v>0</v>
      </c>
      <c r="R8" s="225">
        <f t="shared" ca="1" si="3"/>
        <v>0.29166666666666669</v>
      </c>
      <c r="S8" s="225">
        <f t="shared" si="7"/>
        <v>0</v>
      </c>
      <c r="T8" s="130">
        <f t="shared" ca="1" si="4"/>
        <v>-0.29166666666667002</v>
      </c>
      <c r="U8" s="251">
        <f t="shared" ca="1" si="5"/>
        <v>0.29166666666666669</v>
      </c>
      <c r="V8" s="131"/>
      <c r="W8" s="214" t="e">
        <f t="shared" ca="1" si="8"/>
        <v>#REF!</v>
      </c>
      <c r="AB8" s="345">
        <f t="shared" si="9"/>
        <v>0</v>
      </c>
      <c r="AC8" s="345">
        <f t="shared" si="10"/>
        <v>0</v>
      </c>
    </row>
    <row r="9" spans="1:29" s="19" customFormat="1" ht="12" x14ac:dyDescent="0.2">
      <c r="A9" s="312">
        <f t="shared" si="6"/>
        <v>44413</v>
      </c>
      <c r="B9" s="129">
        <f t="shared" si="0"/>
        <v>44413</v>
      </c>
      <c r="C9" s="262" t="str">
        <f t="shared" si="1"/>
        <v/>
      </c>
      <c r="D9" s="358"/>
      <c r="E9" s="352"/>
      <c r="F9" s="255"/>
      <c r="G9" s="309"/>
      <c r="H9" s="309"/>
      <c r="I9" s="349">
        <f>IFERROR(VLOOKUP(D9&amp;G9,tbl_Entfernung[[Verketten]:[Entfernung]],2,FALSE),"")</f>
        <v>0</v>
      </c>
      <c r="J9" s="361"/>
      <c r="K9" s="352"/>
      <c r="L9" s="309"/>
      <c r="M9" s="309"/>
      <c r="N9" s="322">
        <f>IFERROR(VLOOKUP(G9&amp;L9,tbl_Entfernung[[Verketten]:[Entfernung]],2,FALSE),"")</f>
        <v>0</v>
      </c>
      <c r="O9" s="316">
        <f>IF(S9&gt;PauseGTime,PauseGWert,IF(S9&gt;PauseKTime,PauseKWert,IF(S9&lt;=PauseKTime,0,WENN)))</f>
        <v>0</v>
      </c>
      <c r="P9" s="364"/>
      <c r="Q9" s="356">
        <f t="shared" si="2"/>
        <v>0</v>
      </c>
      <c r="R9" s="225">
        <f t="shared" ca="1" si="3"/>
        <v>0.29166666666666669</v>
      </c>
      <c r="S9" s="225">
        <f t="shared" si="7"/>
        <v>0</v>
      </c>
      <c r="T9" s="130">
        <f t="shared" ca="1" si="4"/>
        <v>-0.29166666666667002</v>
      </c>
      <c r="U9" s="251">
        <f t="shared" ca="1" si="5"/>
        <v>0.29166666666666669</v>
      </c>
      <c r="V9" s="131"/>
      <c r="W9" s="214" t="e">
        <f t="shared" ca="1" si="8"/>
        <v>#REF!</v>
      </c>
      <c r="AB9" s="345">
        <f t="shared" si="9"/>
        <v>0</v>
      </c>
      <c r="AC9" s="345">
        <f t="shared" si="10"/>
        <v>0</v>
      </c>
    </row>
    <row r="10" spans="1:29" s="19" customFormat="1" ht="12" x14ac:dyDescent="0.2">
      <c r="A10" s="312">
        <f t="shared" si="6"/>
        <v>44414</v>
      </c>
      <c r="B10" s="129">
        <f t="shared" si="0"/>
        <v>44414</v>
      </c>
      <c r="C10" s="262" t="str">
        <f t="shared" si="1"/>
        <v/>
      </c>
      <c r="D10" s="358"/>
      <c r="E10" s="352"/>
      <c r="F10" s="255"/>
      <c r="G10" s="309"/>
      <c r="H10" s="309"/>
      <c r="I10" s="349">
        <f>IFERROR(VLOOKUP(D10&amp;G10,tbl_Entfernung[[Verketten]:[Entfernung]],2,FALSE),"")</f>
        <v>0</v>
      </c>
      <c r="J10" s="361"/>
      <c r="K10" s="352"/>
      <c r="L10" s="309"/>
      <c r="M10" s="309"/>
      <c r="N10" s="322">
        <f>IFERROR(VLOOKUP(G10&amp;L10,tbl_Entfernung[[Verketten]:[Entfernung]],2,FALSE),"")</f>
        <v>0</v>
      </c>
      <c r="O10" s="316">
        <f>IF(S10&gt;PauseGTime,PauseGWert,IF(S10&gt;PauseKTime,PauseKWert,IF(S10&lt;=PauseKTime,0,WENN)))</f>
        <v>0</v>
      </c>
      <c r="P10" s="364"/>
      <c r="Q10" s="356">
        <f t="shared" si="2"/>
        <v>0</v>
      </c>
      <c r="R10" s="225">
        <f t="shared" ca="1" si="3"/>
        <v>0.29166666666666669</v>
      </c>
      <c r="S10" s="225">
        <f t="shared" si="7"/>
        <v>0</v>
      </c>
      <c r="T10" s="130">
        <f t="shared" ca="1" si="4"/>
        <v>-0.29166666666667002</v>
      </c>
      <c r="U10" s="251">
        <f t="shared" ca="1" si="5"/>
        <v>0.29166666666666669</v>
      </c>
      <c r="V10" s="131"/>
      <c r="W10" s="214" t="e">
        <f t="shared" ca="1" si="8"/>
        <v>#REF!</v>
      </c>
      <c r="AB10" s="345">
        <f t="shared" si="9"/>
        <v>0</v>
      </c>
      <c r="AC10" s="345">
        <f t="shared" si="10"/>
        <v>0</v>
      </c>
    </row>
    <row r="11" spans="1:29" s="19" customFormat="1" ht="12" x14ac:dyDescent="0.2">
      <c r="A11" s="312">
        <f t="shared" si="6"/>
        <v>44415</v>
      </c>
      <c r="B11" s="129">
        <f t="shared" si="0"/>
        <v>44415</v>
      </c>
      <c r="C11" s="262" t="str">
        <f t="shared" si="1"/>
        <v/>
      </c>
      <c r="D11" s="358"/>
      <c r="E11" s="352"/>
      <c r="F11" s="255"/>
      <c r="G11" s="309"/>
      <c r="H11" s="309"/>
      <c r="I11" s="348">
        <f>IFERROR(VLOOKUP(D11&amp;G11,tbl_Entfernung[[Verketten]:[Entfernung]],2,FALSE),"")</f>
        <v>0</v>
      </c>
      <c r="J11" s="361"/>
      <c r="K11" s="352"/>
      <c r="L11" s="309"/>
      <c r="M11" s="309"/>
      <c r="N11" s="321">
        <f>IFERROR(VLOOKUP(G11&amp;L11,tbl_Entfernung[[Verketten]:[Entfernung]],2,FALSE),"")</f>
        <v>0</v>
      </c>
      <c r="O11" s="316">
        <f>IF(S11&gt;PauseGTime,PauseGWert,IF(S11&gt;PauseKTime,PauseKWert,IF(S11&lt;=PauseKTime,0,WENN)))</f>
        <v>0</v>
      </c>
      <c r="P11" s="364"/>
      <c r="Q11" s="356">
        <f t="shared" si="2"/>
        <v>0</v>
      </c>
      <c r="R11" s="225">
        <f t="shared" ca="1" si="3"/>
        <v>0.29166666666666669</v>
      </c>
      <c r="S11" s="225">
        <f t="shared" si="7"/>
        <v>0</v>
      </c>
      <c r="T11" s="130">
        <f t="shared" ca="1" si="4"/>
        <v>-0.29166666666667002</v>
      </c>
      <c r="U11" s="251">
        <f t="shared" ca="1" si="5"/>
        <v>0.29166666666666669</v>
      </c>
      <c r="V11" s="131"/>
      <c r="W11" s="214" t="e">
        <f t="shared" ca="1" si="8"/>
        <v>#REF!</v>
      </c>
      <c r="AB11" s="345">
        <f t="shared" si="9"/>
        <v>0</v>
      </c>
      <c r="AC11" s="345">
        <f t="shared" si="10"/>
        <v>0</v>
      </c>
    </row>
    <row r="12" spans="1:29" s="19" customFormat="1" ht="12" x14ac:dyDescent="0.2">
      <c r="A12" s="312">
        <f t="shared" si="6"/>
        <v>44416</v>
      </c>
      <c r="B12" s="129">
        <f t="shared" si="0"/>
        <v>44416</v>
      </c>
      <c r="C12" s="262" t="str">
        <f t="shared" si="1"/>
        <v/>
      </c>
      <c r="D12" s="358"/>
      <c r="E12" s="352"/>
      <c r="F12" s="255"/>
      <c r="G12" s="309"/>
      <c r="H12" s="309"/>
      <c r="I12" s="348">
        <f>IFERROR(VLOOKUP(D12&amp;G12,tbl_Entfernung[[Verketten]:[Entfernung]],2,FALSE),"")</f>
        <v>0</v>
      </c>
      <c r="J12" s="361"/>
      <c r="K12" s="352"/>
      <c r="L12" s="309"/>
      <c r="M12" s="309"/>
      <c r="N12" s="321">
        <f>IFERROR(VLOOKUP(G12&amp;L12,tbl_Entfernung[[Verketten]:[Entfernung]],2,FALSE),"")</f>
        <v>0</v>
      </c>
      <c r="O12" s="316">
        <f>IF(S12&gt;PauseGTime,PauseGWert,IF(S12&gt;PauseKTime,PauseKWert,IF(S12&lt;=PauseKTime,0,WENN)))</f>
        <v>0</v>
      </c>
      <c r="P12" s="364"/>
      <c r="Q12" s="356">
        <f t="shared" si="2"/>
        <v>0</v>
      </c>
      <c r="R12" s="225">
        <f t="shared" ca="1" si="3"/>
        <v>0</v>
      </c>
      <c r="S12" s="225">
        <f t="shared" si="7"/>
        <v>0</v>
      </c>
      <c r="T12" s="130">
        <f t="shared" ca="1" si="4"/>
        <v>0</v>
      </c>
      <c r="U12" s="251">
        <f t="shared" ca="1" si="5"/>
        <v>0</v>
      </c>
      <c r="V12" s="131"/>
      <c r="W12" s="214" t="e">
        <f t="shared" ca="1" si="8"/>
        <v>#REF!</v>
      </c>
      <c r="AB12" s="345">
        <f t="shared" si="9"/>
        <v>0</v>
      </c>
      <c r="AC12" s="345">
        <f t="shared" si="10"/>
        <v>0</v>
      </c>
    </row>
    <row r="13" spans="1:29" s="19" customFormat="1" ht="12" x14ac:dyDescent="0.2">
      <c r="A13" s="312">
        <f t="shared" si="6"/>
        <v>44417</v>
      </c>
      <c r="B13" s="129">
        <f t="shared" si="0"/>
        <v>44417</v>
      </c>
      <c r="C13" s="262" t="str">
        <f t="shared" si="1"/>
        <v/>
      </c>
      <c r="D13" s="358"/>
      <c r="E13" s="352"/>
      <c r="F13" s="255"/>
      <c r="G13" s="309"/>
      <c r="H13" s="309"/>
      <c r="I13" s="348">
        <f>IFERROR(VLOOKUP(D13&amp;G13,tbl_Entfernung[[Verketten]:[Entfernung]],2,FALSE),"")</f>
        <v>0</v>
      </c>
      <c r="J13" s="361"/>
      <c r="K13" s="352"/>
      <c r="L13" s="309"/>
      <c r="M13" s="309"/>
      <c r="N13" s="321">
        <f>IFERROR(VLOOKUP(G13&amp;L13,tbl_Entfernung[[Verketten]:[Entfernung]],2,FALSE),"")</f>
        <v>0</v>
      </c>
      <c r="O13" s="316">
        <f>IF(S13&gt;PauseGTime,PauseGWert,IF(S13&gt;PauseKTime,PauseKWert,IF(S13&lt;=PauseKTime,0,WENN)))</f>
        <v>0</v>
      </c>
      <c r="P13" s="364"/>
      <c r="Q13" s="356">
        <f t="shared" si="2"/>
        <v>0</v>
      </c>
      <c r="R13" s="225">
        <f t="shared" ca="1" si="3"/>
        <v>0</v>
      </c>
      <c r="S13" s="225">
        <f t="shared" si="7"/>
        <v>0</v>
      </c>
      <c r="T13" s="130">
        <f t="shared" ca="1" si="4"/>
        <v>0</v>
      </c>
      <c r="U13" s="251">
        <f t="shared" ca="1" si="5"/>
        <v>0</v>
      </c>
      <c r="V13" s="131"/>
      <c r="W13" s="214" t="e">
        <f t="shared" ca="1" si="8"/>
        <v>#REF!</v>
      </c>
      <c r="AB13" s="345">
        <f t="shared" si="9"/>
        <v>0</v>
      </c>
      <c r="AC13" s="345">
        <f t="shared" si="10"/>
        <v>0</v>
      </c>
    </row>
    <row r="14" spans="1:29" s="19" customFormat="1" ht="12" x14ac:dyDescent="0.2">
      <c r="A14" s="312">
        <f t="shared" si="6"/>
        <v>44418</v>
      </c>
      <c r="B14" s="129">
        <f t="shared" si="0"/>
        <v>44418</v>
      </c>
      <c r="C14" s="262" t="str">
        <f t="shared" si="1"/>
        <v/>
      </c>
      <c r="D14" s="358"/>
      <c r="E14" s="352"/>
      <c r="F14" s="255"/>
      <c r="G14" s="309"/>
      <c r="H14" s="309"/>
      <c r="I14" s="348">
        <f>IFERROR(VLOOKUP(D14&amp;G14,tbl_Entfernung[[Verketten]:[Entfernung]],2,FALSE),"")</f>
        <v>0</v>
      </c>
      <c r="J14" s="361"/>
      <c r="K14" s="352"/>
      <c r="L14" s="309"/>
      <c r="M14" s="309"/>
      <c r="N14" s="321">
        <f>IFERROR(VLOOKUP(G14&amp;L14,tbl_Entfernung[[Verketten]:[Entfernung]],2,FALSE),"")</f>
        <v>0</v>
      </c>
      <c r="O14" s="316">
        <f>IF(S14&gt;PauseGTime,PauseGWert,IF(S14&gt;PauseKTime,PauseKWert,IF(S14&lt;=PauseKTime,0,WENN)))</f>
        <v>0</v>
      </c>
      <c r="P14" s="364"/>
      <c r="Q14" s="356">
        <f t="shared" si="2"/>
        <v>0</v>
      </c>
      <c r="R14" s="225">
        <f t="shared" ca="1" si="3"/>
        <v>0.29166666666666669</v>
      </c>
      <c r="S14" s="225">
        <f t="shared" si="7"/>
        <v>0</v>
      </c>
      <c r="T14" s="130">
        <f t="shared" ca="1" si="4"/>
        <v>-0.29166666666667002</v>
      </c>
      <c r="U14" s="251">
        <f t="shared" ca="1" si="5"/>
        <v>0.29166666666666669</v>
      </c>
      <c r="V14" s="131"/>
      <c r="W14" s="214" t="e">
        <f t="shared" ca="1" si="8"/>
        <v>#REF!</v>
      </c>
      <c r="AB14" s="345">
        <f t="shared" si="9"/>
        <v>0</v>
      </c>
      <c r="AC14" s="345">
        <f t="shared" si="10"/>
        <v>0</v>
      </c>
    </row>
    <row r="15" spans="1:29" s="19" customFormat="1" ht="12" x14ac:dyDescent="0.2">
      <c r="A15" s="312">
        <f t="shared" si="6"/>
        <v>44419</v>
      </c>
      <c r="B15" s="129">
        <f t="shared" si="0"/>
        <v>44419</v>
      </c>
      <c r="C15" s="262" t="str">
        <f t="shared" si="1"/>
        <v/>
      </c>
      <c r="D15" s="358"/>
      <c r="E15" s="352"/>
      <c r="F15" s="255"/>
      <c r="G15" s="309"/>
      <c r="H15" s="309"/>
      <c r="I15" s="348">
        <f>IFERROR(VLOOKUP(D15&amp;G15,tbl_Entfernung[[Verketten]:[Entfernung]],2,FALSE),"")</f>
        <v>0</v>
      </c>
      <c r="J15" s="361"/>
      <c r="K15" s="352"/>
      <c r="L15" s="309"/>
      <c r="M15" s="309"/>
      <c r="N15" s="321">
        <f>IFERROR(VLOOKUP(G15&amp;L15,tbl_Entfernung[[Verketten]:[Entfernung]],2,FALSE),"")</f>
        <v>0</v>
      </c>
      <c r="O15" s="316">
        <f>IF(S15&gt;PauseGTime,PauseGWert,IF(S15&gt;PauseKTime,PauseKWert,IF(S15&lt;=PauseKTime,0,WENN)))</f>
        <v>0</v>
      </c>
      <c r="P15" s="364"/>
      <c r="Q15" s="356">
        <f t="shared" si="2"/>
        <v>0</v>
      </c>
      <c r="R15" s="225">
        <f t="shared" ca="1" si="3"/>
        <v>0.29166666666666669</v>
      </c>
      <c r="S15" s="225">
        <f t="shared" si="7"/>
        <v>0</v>
      </c>
      <c r="T15" s="130">
        <f t="shared" ca="1" si="4"/>
        <v>-0.29166666666667002</v>
      </c>
      <c r="U15" s="251">
        <f t="shared" ca="1" si="5"/>
        <v>0.29166666666666669</v>
      </c>
      <c r="V15" s="131"/>
      <c r="W15" s="214" t="e">
        <f t="shared" ca="1" si="8"/>
        <v>#REF!</v>
      </c>
      <c r="AB15" s="345">
        <f t="shared" si="9"/>
        <v>0</v>
      </c>
      <c r="AC15" s="345">
        <f t="shared" si="10"/>
        <v>0</v>
      </c>
    </row>
    <row r="16" spans="1:29" s="19" customFormat="1" ht="12" x14ac:dyDescent="0.2">
      <c r="A16" s="312">
        <f t="shared" si="6"/>
        <v>44420</v>
      </c>
      <c r="B16" s="129">
        <f t="shared" si="0"/>
        <v>44420</v>
      </c>
      <c r="C16" s="262" t="str">
        <f t="shared" si="1"/>
        <v/>
      </c>
      <c r="D16" s="358"/>
      <c r="E16" s="352"/>
      <c r="F16" s="255"/>
      <c r="G16" s="309"/>
      <c r="H16" s="309"/>
      <c r="I16" s="349">
        <f>IFERROR(VLOOKUP(D16&amp;G16,tbl_Entfernung[[Verketten]:[Entfernung]],2,FALSE),"")</f>
        <v>0</v>
      </c>
      <c r="J16" s="361"/>
      <c r="K16" s="352"/>
      <c r="L16" s="309"/>
      <c r="M16" s="309"/>
      <c r="N16" s="322">
        <f>IFERROR(VLOOKUP(G16&amp;L16,tbl_Entfernung[[Verketten]:[Entfernung]],2,FALSE),"")</f>
        <v>0</v>
      </c>
      <c r="O16" s="316">
        <f>IF(S16&gt;PauseGTime,PauseGWert,IF(S16&gt;PauseKTime,PauseKWert,IF(S16&lt;=PauseKTime,0,WENN)))</f>
        <v>0</v>
      </c>
      <c r="P16" s="364"/>
      <c r="Q16" s="356">
        <f t="shared" si="2"/>
        <v>0</v>
      </c>
      <c r="R16" s="225">
        <f t="shared" ca="1" si="3"/>
        <v>0.29166666666666669</v>
      </c>
      <c r="S16" s="225">
        <f t="shared" si="7"/>
        <v>0</v>
      </c>
      <c r="T16" s="130">
        <f t="shared" ca="1" si="4"/>
        <v>-0.29166666666667002</v>
      </c>
      <c r="U16" s="251">
        <f t="shared" ca="1" si="5"/>
        <v>0.29166666666666669</v>
      </c>
      <c r="V16" s="131"/>
      <c r="W16" s="214" t="e">
        <f t="shared" ca="1" si="8"/>
        <v>#REF!</v>
      </c>
      <c r="AB16" s="345">
        <f t="shared" si="9"/>
        <v>0</v>
      </c>
      <c r="AC16" s="345">
        <f t="shared" si="10"/>
        <v>0</v>
      </c>
    </row>
    <row r="17" spans="1:29" s="19" customFormat="1" ht="12" x14ac:dyDescent="0.2">
      <c r="A17" s="312">
        <f t="shared" si="6"/>
        <v>44421</v>
      </c>
      <c r="B17" s="129">
        <f t="shared" si="0"/>
        <v>44421</v>
      </c>
      <c r="C17" s="262" t="str">
        <f t="shared" si="1"/>
        <v/>
      </c>
      <c r="D17" s="358"/>
      <c r="E17" s="352"/>
      <c r="F17" s="255"/>
      <c r="G17" s="309"/>
      <c r="H17" s="309"/>
      <c r="I17" s="349">
        <f>IFERROR(VLOOKUP(D17&amp;G17,tbl_Entfernung[[Verketten]:[Entfernung]],2,FALSE),"")</f>
        <v>0</v>
      </c>
      <c r="J17" s="361"/>
      <c r="K17" s="352"/>
      <c r="L17" s="309"/>
      <c r="M17" s="309"/>
      <c r="N17" s="322">
        <f>IFERROR(VLOOKUP(G17&amp;L17,tbl_Entfernung[[Verketten]:[Entfernung]],2,FALSE),"")</f>
        <v>0</v>
      </c>
      <c r="O17" s="316">
        <f>IF(S17&gt;PauseGTime,PauseGWert,IF(S17&gt;PauseKTime,PauseKWert,IF(S17&lt;=PauseKTime,0,WENN)))</f>
        <v>0</v>
      </c>
      <c r="P17" s="364"/>
      <c r="Q17" s="356">
        <f t="shared" si="2"/>
        <v>0</v>
      </c>
      <c r="R17" s="225">
        <f t="shared" ca="1" si="3"/>
        <v>0.29166666666666669</v>
      </c>
      <c r="S17" s="225">
        <f t="shared" si="7"/>
        <v>0</v>
      </c>
      <c r="T17" s="130">
        <f t="shared" ca="1" si="4"/>
        <v>-0.29166666666667002</v>
      </c>
      <c r="U17" s="251">
        <f t="shared" ca="1" si="5"/>
        <v>0.29166666666666669</v>
      </c>
      <c r="V17" s="131"/>
      <c r="W17" s="214" t="e">
        <f t="shared" ca="1" si="8"/>
        <v>#REF!</v>
      </c>
      <c r="AB17" s="345">
        <f t="shared" si="9"/>
        <v>0</v>
      </c>
      <c r="AC17" s="345">
        <f t="shared" si="10"/>
        <v>0</v>
      </c>
    </row>
    <row r="18" spans="1:29" s="19" customFormat="1" ht="12" x14ac:dyDescent="0.2">
      <c r="A18" s="312">
        <f t="shared" si="6"/>
        <v>44422</v>
      </c>
      <c r="B18" s="129">
        <f t="shared" si="0"/>
        <v>44422</v>
      </c>
      <c r="C18" s="262" t="str">
        <f t="shared" si="1"/>
        <v/>
      </c>
      <c r="D18" s="358"/>
      <c r="E18" s="352"/>
      <c r="F18" s="255"/>
      <c r="G18" s="309"/>
      <c r="H18" s="309"/>
      <c r="I18" s="348">
        <f>IFERROR(VLOOKUP(D18&amp;G18,tbl_Entfernung[[Verketten]:[Entfernung]],2,FALSE),"")</f>
        <v>0</v>
      </c>
      <c r="J18" s="361"/>
      <c r="K18" s="352"/>
      <c r="L18" s="309"/>
      <c r="M18" s="309"/>
      <c r="N18" s="321">
        <f>IFERROR(VLOOKUP(G18&amp;L18,tbl_Entfernung[[Verketten]:[Entfernung]],2,FALSE),"")</f>
        <v>0</v>
      </c>
      <c r="O18" s="316">
        <f>IF(S18&gt;PauseGTime,PauseGWert,IF(S18&gt;PauseKTime,PauseKWert,IF(S18&lt;=PauseKTime,0,WENN)))</f>
        <v>0</v>
      </c>
      <c r="P18" s="364"/>
      <c r="Q18" s="356">
        <f t="shared" si="2"/>
        <v>0</v>
      </c>
      <c r="R18" s="225">
        <f t="shared" ca="1" si="3"/>
        <v>0.29166666666666669</v>
      </c>
      <c r="S18" s="225">
        <f t="shared" si="7"/>
        <v>0</v>
      </c>
      <c r="T18" s="130">
        <f t="shared" ca="1" si="4"/>
        <v>-0.29166666666667002</v>
      </c>
      <c r="U18" s="251">
        <f t="shared" ca="1" si="5"/>
        <v>0.29166666666666669</v>
      </c>
      <c r="V18" s="131"/>
      <c r="W18" s="214" t="e">
        <f t="shared" ca="1" si="8"/>
        <v>#REF!</v>
      </c>
      <c r="AB18" s="345">
        <f t="shared" si="9"/>
        <v>0</v>
      </c>
      <c r="AC18" s="345">
        <f t="shared" si="10"/>
        <v>0</v>
      </c>
    </row>
    <row r="19" spans="1:29" s="19" customFormat="1" ht="12" x14ac:dyDescent="0.2">
      <c r="A19" s="312">
        <f t="shared" si="6"/>
        <v>44423</v>
      </c>
      <c r="B19" s="129">
        <f t="shared" si="0"/>
        <v>44423</v>
      </c>
      <c r="C19" s="262" t="str">
        <f t="shared" si="1"/>
        <v/>
      </c>
      <c r="D19" s="358"/>
      <c r="E19" s="352"/>
      <c r="F19" s="255"/>
      <c r="G19" s="309"/>
      <c r="H19" s="309"/>
      <c r="I19" s="348">
        <f>IFERROR(VLOOKUP(D19&amp;G19,tbl_Entfernung[[Verketten]:[Entfernung]],2,FALSE),"")</f>
        <v>0</v>
      </c>
      <c r="J19" s="361"/>
      <c r="K19" s="352"/>
      <c r="L19" s="309"/>
      <c r="M19" s="309"/>
      <c r="N19" s="321">
        <f>IFERROR(VLOOKUP(G19&amp;L19,tbl_Entfernung[[Verketten]:[Entfernung]],2,FALSE),"")</f>
        <v>0</v>
      </c>
      <c r="O19" s="316">
        <f>IF(S19&gt;PauseGTime,PauseGWert,IF(S19&gt;PauseKTime,PauseKWert,IF(S19&lt;=PauseKTime,0,WENN)))</f>
        <v>0</v>
      </c>
      <c r="P19" s="364"/>
      <c r="Q19" s="356">
        <f t="shared" si="2"/>
        <v>0</v>
      </c>
      <c r="R19" s="225">
        <f t="shared" ca="1" si="3"/>
        <v>0</v>
      </c>
      <c r="S19" s="225">
        <f t="shared" si="7"/>
        <v>0</v>
      </c>
      <c r="T19" s="130">
        <f t="shared" ca="1" si="4"/>
        <v>0</v>
      </c>
      <c r="U19" s="251">
        <f t="shared" ca="1" si="5"/>
        <v>0</v>
      </c>
      <c r="V19" s="131"/>
      <c r="W19" s="214" t="e">
        <f t="shared" ca="1" si="8"/>
        <v>#REF!</v>
      </c>
      <c r="AB19" s="345">
        <f t="shared" si="9"/>
        <v>0</v>
      </c>
      <c r="AC19" s="345">
        <f t="shared" si="10"/>
        <v>0</v>
      </c>
    </row>
    <row r="20" spans="1:29" s="19" customFormat="1" ht="12" x14ac:dyDescent="0.2">
      <c r="A20" s="312">
        <f t="shared" si="6"/>
        <v>44424</v>
      </c>
      <c r="B20" s="129">
        <f t="shared" si="0"/>
        <v>44424</v>
      </c>
      <c r="C20" s="262" t="str">
        <f t="shared" si="1"/>
        <v/>
      </c>
      <c r="D20" s="358"/>
      <c r="E20" s="352"/>
      <c r="F20" s="255"/>
      <c r="G20" s="309"/>
      <c r="H20" s="309"/>
      <c r="I20" s="348">
        <f>IFERROR(VLOOKUP(D20&amp;G20,tbl_Entfernung[[Verketten]:[Entfernung]],2,FALSE),"")</f>
        <v>0</v>
      </c>
      <c r="J20" s="361"/>
      <c r="K20" s="352"/>
      <c r="L20" s="309"/>
      <c r="M20" s="309"/>
      <c r="N20" s="321">
        <f>IFERROR(VLOOKUP(G20&amp;L20,tbl_Entfernung[[Verketten]:[Entfernung]],2,FALSE),"")</f>
        <v>0</v>
      </c>
      <c r="O20" s="316">
        <f>IF(S20&gt;PauseGTime,PauseGWert,IF(S20&gt;PauseKTime,PauseKWert,IF(S20&lt;=PauseKTime,0,WENN)))</f>
        <v>0</v>
      </c>
      <c r="P20" s="364"/>
      <c r="Q20" s="356">
        <f t="shared" si="2"/>
        <v>0</v>
      </c>
      <c r="R20" s="225">
        <f t="shared" ca="1" si="3"/>
        <v>0</v>
      </c>
      <c r="S20" s="225">
        <f t="shared" si="7"/>
        <v>0</v>
      </c>
      <c r="T20" s="130">
        <f t="shared" ca="1" si="4"/>
        <v>0</v>
      </c>
      <c r="U20" s="251">
        <f t="shared" ca="1" si="5"/>
        <v>0</v>
      </c>
      <c r="V20" s="131"/>
      <c r="W20" s="214" t="e">
        <f t="shared" ca="1" si="8"/>
        <v>#REF!</v>
      </c>
      <c r="AB20" s="345">
        <f t="shared" si="9"/>
        <v>0</v>
      </c>
      <c r="AC20" s="345">
        <f t="shared" si="10"/>
        <v>0</v>
      </c>
    </row>
    <row r="21" spans="1:29" s="19" customFormat="1" ht="12" x14ac:dyDescent="0.2">
      <c r="A21" s="312">
        <f t="shared" si="6"/>
        <v>44425</v>
      </c>
      <c r="B21" s="129">
        <f t="shared" si="0"/>
        <v>44425</v>
      </c>
      <c r="C21" s="262" t="str">
        <f t="shared" si="1"/>
        <v/>
      </c>
      <c r="D21" s="358"/>
      <c r="E21" s="352"/>
      <c r="F21" s="255"/>
      <c r="G21" s="309"/>
      <c r="H21" s="309"/>
      <c r="I21" s="348">
        <f>IFERROR(VLOOKUP(D21&amp;G21,tbl_Entfernung[[Verketten]:[Entfernung]],2,FALSE),"")</f>
        <v>0</v>
      </c>
      <c r="J21" s="361"/>
      <c r="K21" s="352"/>
      <c r="L21" s="309"/>
      <c r="M21" s="309"/>
      <c r="N21" s="321">
        <f>IFERROR(VLOOKUP(G21&amp;L21,tbl_Entfernung[[Verketten]:[Entfernung]],2,FALSE),"")</f>
        <v>0</v>
      </c>
      <c r="O21" s="316">
        <f>IF(S21&gt;PauseGTime,PauseGWert,IF(S21&gt;PauseKTime,PauseKWert,IF(S21&lt;=PauseKTime,0,WENN)))</f>
        <v>0</v>
      </c>
      <c r="P21" s="364"/>
      <c r="Q21" s="356">
        <f t="shared" si="2"/>
        <v>0</v>
      </c>
      <c r="R21" s="225">
        <f t="shared" ca="1" si="3"/>
        <v>0.29166666666666669</v>
      </c>
      <c r="S21" s="225">
        <f t="shared" si="7"/>
        <v>0</v>
      </c>
      <c r="T21" s="130">
        <f t="shared" ca="1" si="4"/>
        <v>-0.29166666666667002</v>
      </c>
      <c r="U21" s="251">
        <f t="shared" ca="1" si="5"/>
        <v>0.29166666666666669</v>
      </c>
      <c r="V21" s="131"/>
      <c r="W21" s="214" t="e">
        <f t="shared" ca="1" si="8"/>
        <v>#REF!</v>
      </c>
      <c r="AB21" s="345">
        <f t="shared" si="9"/>
        <v>0</v>
      </c>
      <c r="AC21" s="345">
        <f t="shared" si="10"/>
        <v>0</v>
      </c>
    </row>
    <row r="22" spans="1:29" s="19" customFormat="1" ht="12" x14ac:dyDescent="0.2">
      <c r="A22" s="312">
        <f t="shared" si="6"/>
        <v>44426</v>
      </c>
      <c r="B22" s="129">
        <f t="shared" si="0"/>
        <v>44426</v>
      </c>
      <c r="C22" s="262" t="str">
        <f t="shared" si="1"/>
        <v/>
      </c>
      <c r="D22" s="358"/>
      <c r="E22" s="352"/>
      <c r="F22" s="255"/>
      <c r="G22" s="309"/>
      <c r="H22" s="309"/>
      <c r="I22" s="348">
        <f>IFERROR(VLOOKUP(D22&amp;G22,tbl_Entfernung[[Verketten]:[Entfernung]],2,FALSE),"")</f>
        <v>0</v>
      </c>
      <c r="J22" s="361"/>
      <c r="K22" s="352"/>
      <c r="L22" s="309"/>
      <c r="M22" s="309"/>
      <c r="N22" s="321">
        <f>IFERROR(VLOOKUP(G22&amp;L22,tbl_Entfernung[[Verketten]:[Entfernung]],2,FALSE),"")</f>
        <v>0</v>
      </c>
      <c r="O22" s="316">
        <f>IF(S22&gt;PauseGTime,PauseGWert,IF(S22&gt;PauseKTime,PauseKWert,IF(S22&lt;=PauseKTime,0,WENN)))</f>
        <v>0</v>
      </c>
      <c r="P22" s="364"/>
      <c r="Q22" s="356">
        <f t="shared" si="2"/>
        <v>0</v>
      </c>
      <c r="R22" s="225">
        <f t="shared" ca="1" si="3"/>
        <v>0.29166666666666669</v>
      </c>
      <c r="S22" s="225">
        <f t="shared" si="7"/>
        <v>0</v>
      </c>
      <c r="T22" s="130">
        <f t="shared" ca="1" si="4"/>
        <v>-0.29166666666667002</v>
      </c>
      <c r="U22" s="251">
        <f t="shared" ca="1" si="5"/>
        <v>0.29166666666666669</v>
      </c>
      <c r="V22" s="131"/>
      <c r="W22" s="214" t="e">
        <f t="shared" ca="1" si="8"/>
        <v>#REF!</v>
      </c>
      <c r="AB22" s="345">
        <f t="shared" si="9"/>
        <v>0</v>
      </c>
      <c r="AC22" s="345">
        <f t="shared" si="10"/>
        <v>0</v>
      </c>
    </row>
    <row r="23" spans="1:29" s="19" customFormat="1" ht="12" x14ac:dyDescent="0.2">
      <c r="A23" s="312">
        <f t="shared" si="6"/>
        <v>44427</v>
      </c>
      <c r="B23" s="129">
        <f t="shared" si="0"/>
        <v>44427</v>
      </c>
      <c r="C23" s="262" t="str">
        <f t="shared" si="1"/>
        <v/>
      </c>
      <c r="D23" s="358"/>
      <c r="E23" s="352"/>
      <c r="F23" s="255"/>
      <c r="G23" s="309"/>
      <c r="H23" s="309"/>
      <c r="I23" s="349">
        <f>IFERROR(VLOOKUP(D23&amp;G23,tbl_Entfernung[[Verketten]:[Entfernung]],2,FALSE),"")</f>
        <v>0</v>
      </c>
      <c r="J23" s="361"/>
      <c r="K23" s="352"/>
      <c r="L23" s="309"/>
      <c r="M23" s="309"/>
      <c r="N23" s="322">
        <f>IFERROR(VLOOKUP(G23&amp;L23,tbl_Entfernung[[Verketten]:[Entfernung]],2,FALSE),"")</f>
        <v>0</v>
      </c>
      <c r="O23" s="316">
        <f>IF(S23&gt;PauseGTime,PauseGWert,IF(S23&gt;PauseKTime,PauseKWert,IF(S23&lt;=PauseKTime,0,WENN)))</f>
        <v>0</v>
      </c>
      <c r="P23" s="364"/>
      <c r="Q23" s="356">
        <f t="shared" si="2"/>
        <v>0</v>
      </c>
      <c r="R23" s="225">
        <f t="shared" ca="1" si="3"/>
        <v>0.29166666666666669</v>
      </c>
      <c r="S23" s="225">
        <f t="shared" si="7"/>
        <v>0</v>
      </c>
      <c r="T23" s="130">
        <f t="shared" ca="1" si="4"/>
        <v>-0.29166666666667002</v>
      </c>
      <c r="U23" s="251">
        <f t="shared" ca="1" si="5"/>
        <v>0.29166666666666669</v>
      </c>
      <c r="V23" s="131"/>
      <c r="W23" s="214" t="e">
        <f t="shared" ca="1" si="8"/>
        <v>#REF!</v>
      </c>
      <c r="AB23" s="345">
        <f t="shared" si="9"/>
        <v>0</v>
      </c>
      <c r="AC23" s="345">
        <f t="shared" si="10"/>
        <v>0</v>
      </c>
    </row>
    <row r="24" spans="1:29" s="19" customFormat="1" ht="12" x14ac:dyDescent="0.2">
      <c r="A24" s="312">
        <f t="shared" si="6"/>
        <v>44428</v>
      </c>
      <c r="B24" s="129">
        <f t="shared" si="0"/>
        <v>44428</v>
      </c>
      <c r="C24" s="262" t="str">
        <f t="shared" si="1"/>
        <v/>
      </c>
      <c r="D24" s="358"/>
      <c r="E24" s="352"/>
      <c r="F24" s="255"/>
      <c r="G24" s="309"/>
      <c r="H24" s="309"/>
      <c r="I24" s="349">
        <f>IFERROR(VLOOKUP(D24&amp;G24,tbl_Entfernung[[Verketten]:[Entfernung]],2,FALSE),"")</f>
        <v>0</v>
      </c>
      <c r="J24" s="361"/>
      <c r="K24" s="352"/>
      <c r="L24" s="309"/>
      <c r="M24" s="309"/>
      <c r="N24" s="322">
        <f>IFERROR(VLOOKUP(G24&amp;L24,tbl_Entfernung[[Verketten]:[Entfernung]],2,FALSE),"")</f>
        <v>0</v>
      </c>
      <c r="O24" s="316">
        <f>IF(S24&gt;PauseGTime,PauseGWert,IF(S24&gt;PauseKTime,PauseKWert,IF(S24&lt;=PauseKTime,0,WENN)))</f>
        <v>0</v>
      </c>
      <c r="P24" s="364"/>
      <c r="Q24" s="356">
        <f t="shared" si="2"/>
        <v>0</v>
      </c>
      <c r="R24" s="225">
        <f t="shared" ca="1" si="3"/>
        <v>0.29166666666666669</v>
      </c>
      <c r="S24" s="225">
        <f t="shared" si="7"/>
        <v>0</v>
      </c>
      <c r="T24" s="130">
        <f t="shared" ca="1" si="4"/>
        <v>-0.29166666666667002</v>
      </c>
      <c r="U24" s="251">
        <f t="shared" ca="1" si="5"/>
        <v>0.29166666666666669</v>
      </c>
      <c r="V24" s="131"/>
      <c r="W24" s="214" t="e">
        <f t="shared" ca="1" si="8"/>
        <v>#REF!</v>
      </c>
      <c r="AB24" s="345">
        <f t="shared" si="9"/>
        <v>0</v>
      </c>
      <c r="AC24" s="345">
        <f t="shared" si="10"/>
        <v>0</v>
      </c>
    </row>
    <row r="25" spans="1:29" s="19" customFormat="1" ht="12" x14ac:dyDescent="0.2">
      <c r="A25" s="312">
        <f t="shared" si="6"/>
        <v>44429</v>
      </c>
      <c r="B25" s="129">
        <f t="shared" si="0"/>
        <v>44429</v>
      </c>
      <c r="C25" s="262" t="str">
        <f t="shared" si="1"/>
        <v/>
      </c>
      <c r="D25" s="358"/>
      <c r="E25" s="352"/>
      <c r="F25" s="255"/>
      <c r="G25" s="309"/>
      <c r="H25" s="309"/>
      <c r="I25" s="348">
        <f>IFERROR(VLOOKUP(D25&amp;G25,tbl_Entfernung[[Verketten]:[Entfernung]],2,FALSE),"")</f>
        <v>0</v>
      </c>
      <c r="J25" s="361"/>
      <c r="K25" s="352"/>
      <c r="L25" s="309"/>
      <c r="M25" s="309"/>
      <c r="N25" s="321">
        <f>IFERROR(VLOOKUP(G25&amp;L25,tbl_Entfernung[[Verketten]:[Entfernung]],2,FALSE),"")</f>
        <v>0</v>
      </c>
      <c r="O25" s="316">
        <f>IF(S25&gt;PauseGTime,PauseGWert,IF(S25&gt;PauseKTime,PauseKWert,IF(S25&lt;=PauseKTime,0,WENN)))</f>
        <v>0</v>
      </c>
      <c r="P25" s="364"/>
      <c r="Q25" s="356">
        <f t="shared" si="2"/>
        <v>0</v>
      </c>
      <c r="R25" s="225">
        <f t="shared" ca="1" si="3"/>
        <v>0.29166666666666669</v>
      </c>
      <c r="S25" s="225">
        <f t="shared" si="7"/>
        <v>0</v>
      </c>
      <c r="T25" s="130">
        <f t="shared" ca="1" si="4"/>
        <v>-0.29166666666667002</v>
      </c>
      <c r="U25" s="251">
        <f t="shared" ca="1" si="5"/>
        <v>0.29166666666666669</v>
      </c>
      <c r="V25" s="131"/>
      <c r="W25" s="214" t="e">
        <f t="shared" ca="1" si="8"/>
        <v>#REF!</v>
      </c>
      <c r="AB25" s="345">
        <f t="shared" si="9"/>
        <v>0</v>
      </c>
      <c r="AC25" s="345">
        <f t="shared" si="10"/>
        <v>0</v>
      </c>
    </row>
    <row r="26" spans="1:29" s="19" customFormat="1" ht="12" x14ac:dyDescent="0.2">
      <c r="A26" s="312">
        <f t="shared" si="6"/>
        <v>44430</v>
      </c>
      <c r="B26" s="129">
        <f t="shared" si="0"/>
        <v>44430</v>
      </c>
      <c r="C26" s="262" t="str">
        <f t="shared" si="1"/>
        <v/>
      </c>
      <c r="D26" s="358"/>
      <c r="E26" s="352"/>
      <c r="F26" s="255"/>
      <c r="G26" s="309"/>
      <c r="H26" s="309"/>
      <c r="I26" s="348">
        <f>IFERROR(VLOOKUP(D26&amp;G26,tbl_Entfernung[[Verketten]:[Entfernung]],2,FALSE),"")</f>
        <v>0</v>
      </c>
      <c r="J26" s="361"/>
      <c r="K26" s="352"/>
      <c r="L26" s="309"/>
      <c r="M26" s="309"/>
      <c r="N26" s="321">
        <f>IFERROR(VLOOKUP(G26&amp;L26,tbl_Entfernung[[Verketten]:[Entfernung]],2,FALSE),"")</f>
        <v>0</v>
      </c>
      <c r="O26" s="316">
        <f>IF(S26&gt;PauseGTime,PauseGWert,IF(S26&gt;PauseKTime,PauseKWert,IF(S26&lt;=PauseKTime,0,WENN)))</f>
        <v>0</v>
      </c>
      <c r="P26" s="364"/>
      <c r="Q26" s="356">
        <f t="shared" si="2"/>
        <v>0</v>
      </c>
      <c r="R26" s="225">
        <f t="shared" ca="1" si="3"/>
        <v>0</v>
      </c>
      <c r="S26" s="225">
        <f t="shared" si="7"/>
        <v>0</v>
      </c>
      <c r="T26" s="130">
        <f t="shared" ca="1" si="4"/>
        <v>0</v>
      </c>
      <c r="U26" s="251">
        <f t="shared" ca="1" si="5"/>
        <v>0</v>
      </c>
      <c r="V26" s="131"/>
      <c r="W26" s="214" t="e">
        <f t="shared" ca="1" si="8"/>
        <v>#REF!</v>
      </c>
      <c r="AB26" s="345">
        <f t="shared" si="9"/>
        <v>0</v>
      </c>
      <c r="AC26" s="345">
        <f t="shared" si="10"/>
        <v>0</v>
      </c>
    </row>
    <row r="27" spans="1:29" s="19" customFormat="1" ht="12" x14ac:dyDescent="0.2">
      <c r="A27" s="312">
        <f t="shared" si="6"/>
        <v>44431</v>
      </c>
      <c r="B27" s="129">
        <f t="shared" si="0"/>
        <v>44431</v>
      </c>
      <c r="C27" s="262" t="str">
        <f t="shared" si="1"/>
        <v/>
      </c>
      <c r="D27" s="358"/>
      <c r="E27" s="352"/>
      <c r="F27" s="255"/>
      <c r="G27" s="309"/>
      <c r="H27" s="309"/>
      <c r="I27" s="348">
        <f>IFERROR(VLOOKUP(D27&amp;G27,tbl_Entfernung[[Verketten]:[Entfernung]],2,FALSE),"")</f>
        <v>0</v>
      </c>
      <c r="J27" s="361"/>
      <c r="K27" s="352"/>
      <c r="L27" s="309"/>
      <c r="M27" s="309"/>
      <c r="N27" s="321">
        <f>IFERROR(VLOOKUP(G27&amp;L27,tbl_Entfernung[[Verketten]:[Entfernung]],2,FALSE),"")</f>
        <v>0</v>
      </c>
      <c r="O27" s="316">
        <f>IF(S27&gt;PauseGTime,PauseGWert,IF(S27&gt;PauseKTime,PauseKWert,IF(S27&lt;=PauseKTime,0,WENN)))</f>
        <v>0</v>
      </c>
      <c r="P27" s="364"/>
      <c r="Q27" s="356">
        <f t="shared" si="2"/>
        <v>0</v>
      </c>
      <c r="R27" s="225">
        <f t="shared" ca="1" si="3"/>
        <v>0</v>
      </c>
      <c r="S27" s="225">
        <f t="shared" si="7"/>
        <v>0</v>
      </c>
      <c r="T27" s="130">
        <f t="shared" ca="1" si="4"/>
        <v>0</v>
      </c>
      <c r="U27" s="251">
        <f t="shared" ca="1" si="5"/>
        <v>0</v>
      </c>
      <c r="V27" s="131"/>
      <c r="W27" s="214" t="e">
        <f t="shared" ca="1" si="8"/>
        <v>#REF!</v>
      </c>
      <c r="AB27" s="345">
        <f t="shared" si="9"/>
        <v>0</v>
      </c>
      <c r="AC27" s="345">
        <f t="shared" si="10"/>
        <v>0</v>
      </c>
    </row>
    <row r="28" spans="1:29" s="19" customFormat="1" ht="12" x14ac:dyDescent="0.2">
      <c r="A28" s="312">
        <f t="shared" si="6"/>
        <v>44432</v>
      </c>
      <c r="B28" s="129">
        <f t="shared" si="0"/>
        <v>44432</v>
      </c>
      <c r="C28" s="262" t="str">
        <f t="shared" si="1"/>
        <v/>
      </c>
      <c r="D28" s="358"/>
      <c r="E28" s="352"/>
      <c r="F28" s="255"/>
      <c r="G28" s="309"/>
      <c r="H28" s="309"/>
      <c r="I28" s="348">
        <f>IFERROR(VLOOKUP(D28&amp;G28,tbl_Entfernung[[Verketten]:[Entfernung]],2,FALSE),"")</f>
        <v>0</v>
      </c>
      <c r="J28" s="361"/>
      <c r="K28" s="352"/>
      <c r="L28" s="309"/>
      <c r="M28" s="309"/>
      <c r="N28" s="321">
        <f>IFERROR(VLOOKUP(G28&amp;L28,tbl_Entfernung[[Verketten]:[Entfernung]],2,FALSE),"")</f>
        <v>0</v>
      </c>
      <c r="O28" s="316">
        <f>IF(S28&gt;PauseGTime,PauseGWert,IF(S28&gt;PauseKTime,PauseKWert,IF(S28&lt;=PauseKTime,0,WENN)))</f>
        <v>0</v>
      </c>
      <c r="P28" s="364"/>
      <c r="Q28" s="356">
        <f t="shared" si="2"/>
        <v>0</v>
      </c>
      <c r="R28" s="225">
        <f t="shared" ca="1" si="3"/>
        <v>0.29166666666666669</v>
      </c>
      <c r="S28" s="225">
        <f t="shared" si="7"/>
        <v>0</v>
      </c>
      <c r="T28" s="130">
        <f t="shared" ca="1" si="4"/>
        <v>-0.29166666666667002</v>
      </c>
      <c r="U28" s="251">
        <f t="shared" ca="1" si="5"/>
        <v>0.29166666666666669</v>
      </c>
      <c r="V28" s="131"/>
      <c r="W28" s="214" t="e">
        <f t="shared" ca="1" si="8"/>
        <v>#REF!</v>
      </c>
      <c r="AB28" s="345">
        <f t="shared" si="9"/>
        <v>0</v>
      </c>
      <c r="AC28" s="345">
        <f t="shared" si="10"/>
        <v>0</v>
      </c>
    </row>
    <row r="29" spans="1:29" s="19" customFormat="1" ht="12" x14ac:dyDescent="0.2">
      <c r="A29" s="312">
        <f t="shared" si="6"/>
        <v>44433</v>
      </c>
      <c r="B29" s="129">
        <f t="shared" si="0"/>
        <v>44433</v>
      </c>
      <c r="C29" s="262" t="str">
        <f t="shared" si="1"/>
        <v/>
      </c>
      <c r="D29" s="358"/>
      <c r="E29" s="352"/>
      <c r="F29" s="255"/>
      <c r="G29" s="309"/>
      <c r="H29" s="309"/>
      <c r="I29" s="348">
        <f>IFERROR(VLOOKUP(D29&amp;G29,tbl_Entfernung[[Verketten]:[Entfernung]],2,FALSE),"")</f>
        <v>0</v>
      </c>
      <c r="J29" s="361"/>
      <c r="K29" s="352"/>
      <c r="L29" s="309"/>
      <c r="M29" s="309"/>
      <c r="N29" s="321">
        <f>IFERROR(VLOOKUP(G29&amp;L29,tbl_Entfernung[[Verketten]:[Entfernung]],2,FALSE),"")</f>
        <v>0</v>
      </c>
      <c r="O29" s="316">
        <f>IF(S29&gt;PauseGTime,PauseGWert,IF(S29&gt;PauseKTime,PauseKWert,IF(S29&lt;=PauseKTime,0,WENN)))</f>
        <v>0</v>
      </c>
      <c r="P29" s="364"/>
      <c r="Q29" s="356">
        <f t="shared" si="2"/>
        <v>0</v>
      </c>
      <c r="R29" s="225">
        <f t="shared" ca="1" si="3"/>
        <v>0.29166666666666669</v>
      </c>
      <c r="S29" s="225">
        <f t="shared" si="7"/>
        <v>0</v>
      </c>
      <c r="T29" s="130">
        <f t="shared" ca="1" si="4"/>
        <v>-0.29166666666667002</v>
      </c>
      <c r="U29" s="251">
        <f t="shared" ca="1" si="5"/>
        <v>0.29166666666666669</v>
      </c>
      <c r="V29" s="131"/>
      <c r="W29" s="214" t="e">
        <f t="shared" ca="1" si="8"/>
        <v>#REF!</v>
      </c>
      <c r="AB29" s="345">
        <f t="shared" si="9"/>
        <v>0</v>
      </c>
      <c r="AC29" s="345">
        <f t="shared" si="10"/>
        <v>0</v>
      </c>
    </row>
    <row r="30" spans="1:29" s="19" customFormat="1" ht="12" x14ac:dyDescent="0.2">
      <c r="A30" s="312">
        <f t="shared" si="6"/>
        <v>44434</v>
      </c>
      <c r="B30" s="129">
        <f t="shared" si="0"/>
        <v>44434</v>
      </c>
      <c r="C30" s="262" t="str">
        <f t="shared" si="1"/>
        <v/>
      </c>
      <c r="D30" s="358"/>
      <c r="E30" s="352"/>
      <c r="F30" s="255"/>
      <c r="G30" s="309"/>
      <c r="H30" s="309"/>
      <c r="I30" s="349">
        <f>IFERROR(VLOOKUP(D30&amp;G30,tbl_Entfernung[[Verketten]:[Entfernung]],2,FALSE),"")</f>
        <v>0</v>
      </c>
      <c r="J30" s="361"/>
      <c r="K30" s="352"/>
      <c r="L30" s="309"/>
      <c r="M30" s="309"/>
      <c r="N30" s="322">
        <f>IFERROR(VLOOKUP(G30&amp;L30,tbl_Entfernung[[Verketten]:[Entfernung]],2,FALSE),"")</f>
        <v>0</v>
      </c>
      <c r="O30" s="316">
        <f>IF(S30&gt;PauseGTime,PauseGWert,IF(S30&gt;PauseKTime,PauseKWert,IF(S30&lt;=PauseKTime,0,WENN)))</f>
        <v>0</v>
      </c>
      <c r="P30" s="364"/>
      <c r="Q30" s="356">
        <f t="shared" si="2"/>
        <v>0</v>
      </c>
      <c r="R30" s="225">
        <f t="shared" ca="1" si="3"/>
        <v>0.29166666666666669</v>
      </c>
      <c r="S30" s="225">
        <f t="shared" si="7"/>
        <v>0</v>
      </c>
      <c r="T30" s="130">
        <f t="shared" ca="1" si="4"/>
        <v>-0.29166666666667002</v>
      </c>
      <c r="U30" s="251">
        <f t="shared" ca="1" si="5"/>
        <v>0.29166666666666669</v>
      </c>
      <c r="V30" s="131"/>
      <c r="W30" s="214" t="e">
        <f t="shared" ca="1" si="8"/>
        <v>#REF!</v>
      </c>
      <c r="AB30" s="345">
        <f t="shared" si="9"/>
        <v>0</v>
      </c>
      <c r="AC30" s="345">
        <f t="shared" si="10"/>
        <v>0</v>
      </c>
    </row>
    <row r="31" spans="1:29" s="19" customFormat="1" ht="12" x14ac:dyDescent="0.2">
      <c r="A31" s="312">
        <f t="shared" si="6"/>
        <v>44435</v>
      </c>
      <c r="B31" s="129">
        <f t="shared" si="0"/>
        <v>44435</v>
      </c>
      <c r="C31" s="262" t="str">
        <f t="shared" si="1"/>
        <v/>
      </c>
      <c r="D31" s="358"/>
      <c r="E31" s="352"/>
      <c r="F31" s="255"/>
      <c r="G31" s="309"/>
      <c r="H31" s="309"/>
      <c r="I31" s="349">
        <f>IFERROR(VLOOKUP(D31&amp;G31,tbl_Entfernung[[Verketten]:[Entfernung]],2,FALSE),"")</f>
        <v>0</v>
      </c>
      <c r="J31" s="361"/>
      <c r="K31" s="352"/>
      <c r="L31" s="309"/>
      <c r="M31" s="309"/>
      <c r="N31" s="322">
        <f>IFERROR(VLOOKUP(G31&amp;L31,tbl_Entfernung[[Verketten]:[Entfernung]],2,FALSE),"")</f>
        <v>0</v>
      </c>
      <c r="O31" s="316">
        <f>IF(S31&gt;PauseGTime,PauseGWert,IF(S31&gt;PauseKTime,PauseKWert,IF(S31&lt;=PauseKTime,0,WENN)))</f>
        <v>0</v>
      </c>
      <c r="P31" s="364"/>
      <c r="Q31" s="356">
        <f t="shared" si="2"/>
        <v>0</v>
      </c>
      <c r="R31" s="225">
        <f t="shared" ca="1" si="3"/>
        <v>0.29166666666666669</v>
      </c>
      <c r="S31" s="225">
        <f t="shared" si="7"/>
        <v>0</v>
      </c>
      <c r="T31" s="130">
        <f t="shared" ca="1" si="4"/>
        <v>-0.29166666666667002</v>
      </c>
      <c r="U31" s="251">
        <f t="shared" ca="1" si="5"/>
        <v>0.29166666666666669</v>
      </c>
      <c r="V31" s="131"/>
      <c r="W31" s="214" t="e">
        <f t="shared" ca="1" si="8"/>
        <v>#REF!</v>
      </c>
      <c r="AB31" s="345">
        <f t="shared" si="9"/>
        <v>0</v>
      </c>
      <c r="AC31" s="345">
        <f t="shared" si="10"/>
        <v>0</v>
      </c>
    </row>
    <row r="32" spans="1:29" s="19" customFormat="1" ht="12" x14ac:dyDescent="0.2">
      <c r="A32" s="312">
        <f>IF(MONTH(A31+1)&gt;MONTH(A31),"",A31+1)</f>
        <v>44436</v>
      </c>
      <c r="B32" s="129">
        <f t="shared" si="0"/>
        <v>44436</v>
      </c>
      <c r="C32" s="262" t="str">
        <f>IF(ISERROR(VLOOKUP(A32,Feiertage,2,FALSE)),"",(VLOOKUP(A32,Feiertage,2,FALSE)))</f>
        <v/>
      </c>
      <c r="D32" s="358"/>
      <c r="E32" s="352"/>
      <c r="F32" s="255"/>
      <c r="G32" s="309"/>
      <c r="H32" s="309"/>
      <c r="I32" s="349">
        <f>IFERROR(VLOOKUP(D32&amp;G32,tbl_Entfernung[[Verketten]:[Entfernung]],2,FALSE),"")</f>
        <v>0</v>
      </c>
      <c r="J32" s="361"/>
      <c r="K32" s="352"/>
      <c r="L32" s="309"/>
      <c r="M32" s="309"/>
      <c r="N32" s="322">
        <f>IFERROR(VLOOKUP(G32&amp;L32,tbl_Entfernung[[Verketten]:[Entfernung]],2,FALSE),"")</f>
        <v>0</v>
      </c>
      <c r="O32" s="316">
        <f>IF(S32&gt;PauseGTime,PauseGWert,IF(S32&gt;PauseKTime,PauseKWert,IF(S32&lt;=PauseKTime,0,WENN)))</f>
        <v>0</v>
      </c>
      <c r="P32" s="364"/>
      <c r="Q32" s="356">
        <f t="shared" si="2"/>
        <v>0</v>
      </c>
      <c r="R32" s="225">
        <f t="shared" ca="1" si="3"/>
        <v>0.29166666666666669</v>
      </c>
      <c r="S32" s="225">
        <f t="shared" si="7"/>
        <v>0</v>
      </c>
      <c r="T32" s="130">
        <f t="shared" ca="1" si="4"/>
        <v>-0.29166666666667002</v>
      </c>
      <c r="U32" s="251">
        <f t="shared" ca="1" si="5"/>
        <v>0.29166666666666669</v>
      </c>
      <c r="V32" s="131"/>
      <c r="W32" s="214" t="e">
        <f t="shared" ca="1" si="8"/>
        <v>#REF!</v>
      </c>
      <c r="AB32" s="345">
        <f t="shared" si="9"/>
        <v>0</v>
      </c>
      <c r="AC32" s="345">
        <f t="shared" si="10"/>
        <v>0</v>
      </c>
    </row>
    <row r="33" spans="1:29" s="19" customFormat="1" ht="12" x14ac:dyDescent="0.2">
      <c r="A33" s="312">
        <f>IF(MONTH(A31+2)&gt;MONTH(A31),"",A31+2)</f>
        <v>44437</v>
      </c>
      <c r="B33" s="129">
        <f t="shared" si="0"/>
        <v>44437</v>
      </c>
      <c r="C33" s="262" t="str">
        <f>IF(ISERROR(VLOOKUP(A33,Feiertage,2,FALSE)),"",(VLOOKUP(A33,Feiertage,2,FALSE)))</f>
        <v/>
      </c>
      <c r="D33" s="358"/>
      <c r="E33" s="352"/>
      <c r="F33" s="255"/>
      <c r="G33" s="309"/>
      <c r="H33" s="309"/>
      <c r="I33" s="349">
        <f>IFERROR(VLOOKUP(D33&amp;G33,tbl_Entfernung[[Verketten]:[Entfernung]],2,FALSE),"")</f>
        <v>0</v>
      </c>
      <c r="J33" s="361"/>
      <c r="K33" s="352"/>
      <c r="L33" s="309"/>
      <c r="M33" s="309"/>
      <c r="N33" s="322">
        <f>IFERROR(VLOOKUP(G33&amp;L33,tbl_Entfernung[[Verketten]:[Entfernung]],2,FALSE),"")</f>
        <v>0</v>
      </c>
      <c r="O33" s="316">
        <f>IF(S33&gt;PauseGTime,PauseGWert,IF(S33&gt;PauseKTime,PauseKWert,IF(S33&lt;=PauseKTime,0,WENN)))</f>
        <v>0</v>
      </c>
      <c r="P33" s="364"/>
      <c r="Q33" s="356">
        <f t="shared" si="2"/>
        <v>0</v>
      </c>
      <c r="R33" s="225">
        <f t="shared" ca="1" si="3"/>
        <v>0</v>
      </c>
      <c r="S33" s="225">
        <f t="shared" si="7"/>
        <v>0</v>
      </c>
      <c r="T33" s="130">
        <f t="shared" ca="1" si="4"/>
        <v>0</v>
      </c>
      <c r="U33" s="251">
        <f t="shared" ca="1" si="5"/>
        <v>0</v>
      </c>
      <c r="V33" s="131"/>
      <c r="W33" s="214" t="e">
        <f t="shared" ca="1" si="8"/>
        <v>#REF!</v>
      </c>
      <c r="AB33" s="345">
        <f t="shared" si="9"/>
        <v>0</v>
      </c>
      <c r="AC33" s="345">
        <f t="shared" si="10"/>
        <v>0</v>
      </c>
    </row>
    <row r="34" spans="1:29" s="19" customFormat="1" ht="12" x14ac:dyDescent="0.2">
      <c r="A34" s="313">
        <f>IF(MONTH(A31+3)&gt;MONTH(A31),"",A31+3)</f>
        <v>44438</v>
      </c>
      <c r="B34" s="215">
        <f t="shared" si="0"/>
        <v>44438</v>
      </c>
      <c r="C34" s="263" t="str">
        <f>IF(ISERROR(VLOOKUP(A34,Feiertage,2,FALSE)),"",(VLOOKUP(A34,Feiertage,2,FALSE)))</f>
        <v/>
      </c>
      <c r="D34" s="359"/>
      <c r="E34" s="353"/>
      <c r="F34" s="256"/>
      <c r="G34" s="310"/>
      <c r="H34" s="310"/>
      <c r="I34" s="350">
        <f>IFERROR(VLOOKUP(D34&amp;G34,tbl_Entfernung[[Verketten]:[Entfernung]],2,FALSE),"")</f>
        <v>0</v>
      </c>
      <c r="J34" s="362"/>
      <c r="K34" s="354"/>
      <c r="L34" s="310"/>
      <c r="M34" s="310"/>
      <c r="N34" s="323">
        <f>IFERROR(VLOOKUP(G34&amp;L34,tbl_Entfernung[[Verketten]:[Entfernung]],2,FALSE),"")</f>
        <v>0</v>
      </c>
      <c r="O34" s="317">
        <f>IF(S34&gt;PauseGTime,PauseGWert,IF(S34&gt;PauseKTime,PauseKWert,IF(S34&lt;=PauseKTime,0,WENN)))</f>
        <v>0</v>
      </c>
      <c r="P34" s="365"/>
      <c r="Q34" s="357">
        <f t="shared" si="2"/>
        <v>0</v>
      </c>
      <c r="R34" s="226">
        <f t="shared" ca="1" si="3"/>
        <v>0</v>
      </c>
      <c r="S34" s="226">
        <f t="shared" si="7"/>
        <v>0</v>
      </c>
      <c r="T34" s="216">
        <f t="shared" ca="1" si="4"/>
        <v>0</v>
      </c>
      <c r="U34" s="252">
        <f t="shared" ca="1" si="5"/>
        <v>0</v>
      </c>
      <c r="V34" s="217"/>
      <c r="W34" s="218" t="e">
        <f t="shared" ca="1" si="8"/>
        <v>#REF!</v>
      </c>
      <c r="AB34" s="345">
        <f t="shared" si="9"/>
        <v>0</v>
      </c>
      <c r="AC34" s="345">
        <f t="shared" si="10"/>
        <v>0</v>
      </c>
    </row>
    <row r="35" spans="1:29" s="19" customFormat="1" ht="4.5" customHeight="1" x14ac:dyDescent="0.2">
      <c r="B35" s="48"/>
      <c r="C35" s="48"/>
      <c r="D35" s="48"/>
      <c r="E35" s="48"/>
      <c r="F35" s="49"/>
      <c r="G35" s="49"/>
      <c r="H35" s="49"/>
      <c r="I35" s="49"/>
      <c r="J35" s="49"/>
      <c r="K35" s="49"/>
      <c r="L35" s="50"/>
      <c r="M35" s="50"/>
      <c r="N35" s="50"/>
      <c r="O35" s="50"/>
      <c r="P35" s="50"/>
      <c r="Q35" s="49"/>
      <c r="R35" s="51"/>
      <c r="S35" s="51"/>
      <c r="T35" s="51"/>
      <c r="U35" s="1"/>
      <c r="V35" s="1"/>
      <c r="W35" s="1"/>
    </row>
    <row r="36" spans="1:29" ht="12.75" customHeight="1" x14ac:dyDescent="0.2">
      <c r="A36" s="132"/>
      <c r="B36" s="133"/>
      <c r="C36" s="133"/>
      <c r="D36" s="290"/>
      <c r="E36" s="272"/>
      <c r="F36" s="291" t="str">
        <f>"Übertrag "&amp;TEXT(DATE(YEAR(A1),MONTH(A1)-1,1),"MMMM JJJJ")&amp;":"</f>
        <v>Übertrag Juli 2025:</v>
      </c>
      <c r="G36" s="272"/>
      <c r="H36" s="272"/>
      <c r="I36" s="272"/>
      <c r="J36" s="292" t="e">
        <f ca="1">Juli!J40</f>
        <v>#REF!</v>
      </c>
      <c r="K36" s="287"/>
      <c r="P36" s="293">
        <f>COUNTIF(P4:P34,Voreinstellungen!B21)+IF(COUNTIF(P4:P34,Voreinstellungen!B22)&gt;0,1-(SUMIF(P4:P34,Voreinstellungen!B22,R4:R34)/SUMIF(P4:P34,Voreinstellungen!B22,U4:U34)),0)</f>
        <v>0</v>
      </c>
      <c r="Q36" s="325" t="str">
        <f>Voreinstellungen!A21&amp;" ("&amp;Voreinstellungen!B21&amp;"/"&amp;Voreinstellungen!B22&amp;")"</f>
        <v>Krank (K/KK)</v>
      </c>
      <c r="R36" s="326"/>
      <c r="S36" s="326"/>
      <c r="T36" s="326"/>
      <c r="U36" s="326"/>
      <c r="V36" s="326"/>
      <c r="W36" s="173">
        <f>(SUMIF(P4:P34,Voreinstellungen!B21,R4:R34)-SUMIF(P4:P34,Voreinstellungen!B21,U4:U34)+SUMIF(P4:P34,Voreinstellungen!B22,R4:R34)-SUMIF(P4:P34,Voreinstellungen!B22,U4:U34))*-1</f>
        <v>0</v>
      </c>
      <c r="Y36" s="372" t="s">
        <v>145</v>
      </c>
      <c r="Z36" s="385" t="s">
        <v>150</v>
      </c>
      <c r="AA36" s="385" t="s">
        <v>151</v>
      </c>
      <c r="AB36" s="386" t="s">
        <v>152</v>
      </c>
    </row>
    <row r="37" spans="1:29" ht="12.75" customHeight="1" x14ac:dyDescent="0.2">
      <c r="A37" s="134"/>
      <c r="B37" s="135"/>
      <c r="C37" s="135"/>
      <c r="D37" s="135"/>
      <c r="E37" s="136"/>
      <c r="F37" s="294" t="str">
        <f>"SOLL Arbeitszeit ("&amp;TEXT(A1,"MMMM")&amp;"):"</f>
        <v>SOLL Arbeitszeit (August):</v>
      </c>
      <c r="G37" s="136"/>
      <c r="H37" s="136"/>
      <c r="I37" s="136"/>
      <c r="J37" s="295">
        <f ca="1">SUM(R4:R34)</f>
        <v>6.1250000000000018</v>
      </c>
      <c r="K37" s="287"/>
      <c r="P37" s="296">
        <f>COUNTIF(P4:P34,Voreinstellungen!B25)+(COUNTIF(P4:P34,Voreinstellungen!B26)*Voreinstellungen!C26)</f>
        <v>0</v>
      </c>
      <c r="Q37" s="327" t="str">
        <f>Voreinstellungen!A25&amp;" ("&amp;Voreinstellungen!B25&amp;"/"&amp;Voreinstellungen!B26&amp;") aktuell noch Verfügbar: "&amp;Voreinstellungen!C38&amp;" Tag(e)"</f>
        <v>Urlaub (U/UH) aktuell noch Verfügbar: 27 Tag(e)</v>
      </c>
      <c r="R37" s="328"/>
      <c r="S37" s="328"/>
      <c r="T37" s="328"/>
      <c r="U37" s="328"/>
      <c r="V37" s="328"/>
      <c r="W37" s="167">
        <f>SUMIF(P4:P34,Voreinstellungen!B25,U4:U34)+(SUMIF(P4:P34,Voreinstellungen!B26,U4:U34)*0.5)</f>
        <v>0</v>
      </c>
      <c r="Y37" s="374">
        <f>Voreinstellungen!J45</f>
        <v>0</v>
      </c>
      <c r="Z37" s="377">
        <f t="shared" ref="Z37:Z49" si="11">SUMIFS($AB$4:$AB$34,$G$4:$G$34,$Y37)+SUMIFS($AC$4:$AC$34,$L$4:$L$34,$Y37)</f>
        <v>0</v>
      </c>
      <c r="AA37" s="378">
        <f t="shared" ref="AA37:AA49" si="12">SUMIFS($I$4:$I$34,$G$4:$G$34,$Y37)+SUMIFS($N$4:$N$34,$L$4:$L$34,$Y37)</f>
        <v>0</v>
      </c>
      <c r="AB37" s="379">
        <f>SUM(AA37*Voreinstellungen!$C$44)</f>
        <v>0</v>
      </c>
    </row>
    <row r="38" spans="1:29" ht="12.75" customHeight="1" x14ac:dyDescent="0.2">
      <c r="A38" s="137"/>
      <c r="B38" s="138"/>
      <c r="C38" s="138"/>
      <c r="D38" s="138"/>
      <c r="E38" s="136"/>
      <c r="F38" s="294" t="str">
        <f>"IST Arbeitszeit ("&amp;TEXT(A1,"MMMM")&amp;"):"</f>
        <v>IST Arbeitszeit (August):</v>
      </c>
      <c r="G38" s="273"/>
      <c r="H38" s="273"/>
      <c r="I38" s="273"/>
      <c r="J38" s="297">
        <f>SUM(Q4:Q34)</f>
        <v>0</v>
      </c>
      <c r="K38" s="287"/>
      <c r="P38" s="296">
        <f>COUNTIF(P4:P34,Voreinstellungen!B20)</f>
        <v>0</v>
      </c>
      <c r="Q38" s="327" t="str">
        <f>Voreinstellungen!A20&amp;" ("&amp;Voreinstellungen!B20&amp;")"</f>
        <v>Gleittag (G)</v>
      </c>
      <c r="R38" s="328"/>
      <c r="S38" s="328"/>
      <c r="T38" s="328"/>
      <c r="U38" s="328"/>
      <c r="V38" s="328"/>
      <c r="W38" s="172"/>
      <c r="Y38" s="375">
        <f>Voreinstellungen!J46</f>
        <v>0</v>
      </c>
      <c r="Z38" s="380">
        <f t="shared" si="11"/>
        <v>0</v>
      </c>
      <c r="AA38" s="380">
        <f t="shared" si="12"/>
        <v>0</v>
      </c>
      <c r="AB38" s="381">
        <f>SUM(AA38*Voreinstellungen!$C$44)</f>
        <v>0</v>
      </c>
    </row>
    <row r="39" spans="1:29" ht="12.75" customHeight="1" x14ac:dyDescent="0.2">
      <c r="A39" s="137"/>
      <c r="B39" s="138"/>
      <c r="C39" s="138"/>
      <c r="D39" s="138"/>
      <c r="E39" s="136"/>
      <c r="F39" s="136" t="s">
        <v>84</v>
      </c>
      <c r="G39" s="274"/>
      <c r="H39" s="274"/>
      <c r="I39" s="274"/>
      <c r="J39" s="298"/>
      <c r="K39" s="287"/>
      <c r="P39" s="296">
        <f>COUNTIF(P4:P34,Voreinstellungen!B23)+IF(SUMIF(P4:P34,Voreinstellungen!B24,U4:U34)&lt;&gt;0,(1-(SUMIF(P4:P34,Voreinstellungen!B24,R4:R34)/SUMIF(P4:P34,Voreinstellungen!B24,U4:U34)))*COUNTIF(P4:P34,Voreinstellungen!B24),0)</f>
        <v>0</v>
      </c>
      <c r="Q39" s="327" t="str">
        <f>Voreinstellungen!A23&amp;" ("&amp;Voreinstellungen!B23&amp;")/("&amp;Voreinstellungen!B24&amp;")"</f>
        <v>Kurzarbeit (KU)/(KA)</v>
      </c>
      <c r="R39" s="329"/>
      <c r="S39" s="329"/>
      <c r="T39" s="329"/>
      <c r="U39" s="329"/>
      <c r="V39" s="329"/>
      <c r="W39" s="166">
        <f>(SUMIF(P4:P34,Voreinstellungen!B23,R4:R34)-SUMIF(P4:P34,Voreinstellungen!B23,U4:U34)+SUMIF(P4:P34,Voreinstellungen!B24,R4:R34)-SUMIF(P4:P34,Voreinstellungen!B24,U4:U34))*-1</f>
        <v>0</v>
      </c>
      <c r="Y39" s="375">
        <f>Voreinstellungen!J48</f>
        <v>0</v>
      </c>
      <c r="Z39" s="380">
        <f t="shared" si="11"/>
        <v>0</v>
      </c>
      <c r="AA39" s="380">
        <f t="shared" si="12"/>
        <v>0</v>
      </c>
      <c r="AB39" s="381">
        <f>SUM(AA39*Voreinstellungen!$C$44)</f>
        <v>0</v>
      </c>
    </row>
    <row r="40" spans="1:29" ht="12.75" customHeight="1" x14ac:dyDescent="0.2">
      <c r="A40" s="139"/>
      <c r="B40" s="140"/>
      <c r="C40" s="140"/>
      <c r="D40" s="140"/>
      <c r="E40" s="141"/>
      <c r="F40" s="299" t="s">
        <v>85</v>
      </c>
      <c r="G40" s="275"/>
      <c r="H40" s="275"/>
      <c r="I40" s="275"/>
      <c r="J40" s="300" t="e">
        <f ca="1">ROUND(J38+J36-J39-J37,14)</f>
        <v>#REF!</v>
      </c>
      <c r="K40" s="287"/>
      <c r="P40" s="296">
        <f>COUNTIF(Q4:Q34,"&gt;0")-IF(Voreinstellungen!C28="XTRA",COUNTIF(P4:P34,Voreinstellungen!B28),0)-IF(Voreinstellungen!C29="XTRA",COUNTIF(P4:P34,Voreinstellungen!B29),0)-IF(Voreinstellungen!C30="XTRA",COUNTIF(P4:P34,Voreinstellungen!B30),0)-IF(Voreinstellungen!C31="XTRA",COUNTIF(P4:P34,Voreinstellungen!B31),0)-IF(Voreinstellungen!C32="XTRA",COUNTIF(P4:P34,Voreinstellungen!B32),0)-IF(Voreinstellungen!C33="XTRA",COUNTIF(P4:P34,Voreinstellungen!B33),0)-COUNTIF(P4:P34,"H")</f>
        <v>0</v>
      </c>
      <c r="Q40" s="327" t="s">
        <v>86</v>
      </c>
      <c r="R40" s="328"/>
      <c r="S40" s="328"/>
      <c r="T40" s="328"/>
      <c r="U40" s="328"/>
      <c r="V40" s="328"/>
      <c r="W40" s="234"/>
      <c r="Y40" s="375">
        <f>Voreinstellungen!J49</f>
        <v>0</v>
      </c>
      <c r="Z40" s="380">
        <f t="shared" si="11"/>
        <v>0</v>
      </c>
      <c r="AA40" s="380">
        <f t="shared" si="12"/>
        <v>0</v>
      </c>
      <c r="AB40" s="381">
        <f>SUM(AA40*Voreinstellungen!$C$44)</f>
        <v>0</v>
      </c>
    </row>
    <row r="41" spans="1:29" ht="12.75" customHeight="1" x14ac:dyDescent="0.2">
      <c r="P41" s="296">
        <f>COUNTIF(P4:P34,Voreinstellungen!B27)</f>
        <v>0</v>
      </c>
      <c r="Q41" s="327" t="str">
        <f>Voreinstellungen!A27</f>
        <v>Homeoffice</v>
      </c>
      <c r="R41" s="328"/>
      <c r="S41" s="328"/>
      <c r="T41" s="328"/>
      <c r="U41" s="328"/>
      <c r="V41" s="328"/>
      <c r="W41" s="234"/>
      <c r="Y41" s="375">
        <f>Voreinstellungen!J50</f>
        <v>0</v>
      </c>
      <c r="Z41" s="380">
        <f t="shared" si="11"/>
        <v>0</v>
      </c>
      <c r="AA41" s="380">
        <f t="shared" si="12"/>
        <v>0</v>
      </c>
      <c r="AB41" s="381">
        <f>SUM(AA41*Voreinstellungen!$C$44)</f>
        <v>0</v>
      </c>
    </row>
    <row r="42" spans="1:29" ht="12.75" customHeight="1" x14ac:dyDescent="0.2">
      <c r="A42" s="169"/>
      <c r="B42" s="169"/>
      <c r="C42" s="169"/>
      <c r="D42" s="277"/>
      <c r="E42" s="277"/>
      <c r="F42" s="277"/>
      <c r="G42" s="277"/>
      <c r="H42" s="277"/>
      <c r="I42" s="277"/>
      <c r="J42" s="277"/>
      <c r="P42" s="302">
        <f>IF(Voreinstellungen!C28="","",IF(Voreinstellungen!C28="REST",IFERROR(SUMIF(P4:P34,Voreinstellungen!B28,Q4:Q34)/SUMIF(P4:P34,Voreinstellungen!B28,U4:U34),0),IF(Voreinstellungen!C28="NONE",COUNTIF(P4:P34,Voreinstellungen!B28),IF(Voreinstellungen!C28="XTRA",COUNTIF(P4:P34,Voreinstellungen!B28),COUNTIF(P4:P34,Voreinstellungen!B28)*IF(Voreinstellungen!C28=0,1,Voreinstellungen!C28)))))</f>
        <v>0</v>
      </c>
      <c r="Q42" s="330" t="str">
        <f>IF(Voreinstellungen!A28="","",REPT(Voreinstellungen!A28,1) &amp; " (" &amp; REPT(Voreinstellungen!B28,1) &amp; ")")</f>
        <v>Bereitschaft (B)</v>
      </c>
      <c r="R42" s="331"/>
      <c r="S42" s="331"/>
      <c r="T42" s="331"/>
      <c r="U42" s="331"/>
      <c r="V42" s="331"/>
      <c r="W42" s="168">
        <f>IF(ISBLANK(Voreinstellungen!C28),"",IF(Voreinstellungen!C28="REST",SUMIF(P4:P34,Voreinstellungen!B28,U4:U34)-SUMIF(P4:P34,Voreinstellungen!B28,Q4:Q34),IF(ISTEXT(Voreinstellungen!C28),SUMIF(P4:P34,Voreinstellungen!B28,Q4:Q34),"")))</f>
        <v>0</v>
      </c>
      <c r="Y42" s="375">
        <f>Voreinstellungen!J51</f>
        <v>0</v>
      </c>
      <c r="Z42" s="380">
        <f t="shared" si="11"/>
        <v>0</v>
      </c>
      <c r="AA42" s="380">
        <f t="shared" si="12"/>
        <v>0</v>
      </c>
      <c r="AB42" s="381">
        <f>SUM(AA42*Voreinstellungen!$C$44)</f>
        <v>0</v>
      </c>
    </row>
    <row r="43" spans="1:29" ht="12.75" customHeight="1" x14ac:dyDescent="0.2">
      <c r="A43" s="170"/>
      <c r="B43" s="170"/>
      <c r="C43" s="170"/>
      <c r="D43" s="278"/>
      <c r="E43" s="278"/>
      <c r="F43" s="278"/>
      <c r="G43" s="278"/>
      <c r="H43" s="278"/>
      <c r="I43" s="278"/>
      <c r="J43" s="278"/>
      <c r="P43" s="302">
        <f>IF(Voreinstellungen!C29="","",IF(Voreinstellungen!C29="REST",IFERROR(SUMIF(P4:P34,Voreinstellungen!B29,Q4:Q34)/SUMIF(P4:P34,Voreinstellungen!B29,U4:U34),0),IF(Voreinstellungen!C29="NONE",COUNTIF(P4:P34,Voreinstellungen!B29),IF(Voreinstellungen!C29="XTRA",COUNTIF(P4:P34,Voreinstellungen!B29),COUNTIF(P4:P34,Voreinstellungen!B29)*IF(Voreinstellungen!C29=0,1,Voreinstellungen!C29)))))</f>
        <v>0</v>
      </c>
      <c r="Q43" s="330" t="str">
        <f>IF(Voreinstellungen!A29="","",REPT(Voreinstellungen!A29,1) &amp; " (" &amp; REPT(Voreinstellungen!B29,1) &amp; ")")</f>
        <v>Eigener Code 1 (E1)</v>
      </c>
      <c r="R43" s="331"/>
      <c r="S43" s="331"/>
      <c r="T43" s="331"/>
      <c r="U43" s="331"/>
      <c r="V43" s="331"/>
      <c r="W43" s="168">
        <f>IF(ISBLANK(Voreinstellungen!C29),"",IF(Voreinstellungen!C29="REST",SUMIF(P4:P34,Voreinstellungen!B29,U4:U34)-SUMIF(P4:P34,Voreinstellungen!B29,Q4:Q34),IF(ISTEXT(Voreinstellungen!C29),SUMIF(P4:P34,Voreinstellungen!B29,Q4:Q34),"")))</f>
        <v>0</v>
      </c>
      <c r="Y43" s="375">
        <f>Voreinstellungen!J52</f>
        <v>0</v>
      </c>
      <c r="Z43" s="380">
        <f t="shared" si="11"/>
        <v>0</v>
      </c>
      <c r="AA43" s="380">
        <f t="shared" si="12"/>
        <v>0</v>
      </c>
      <c r="AB43" s="381">
        <f>SUM(AA43*Voreinstellungen!$C$44)</f>
        <v>0</v>
      </c>
    </row>
    <row r="44" spans="1:29" ht="12.75" customHeight="1" x14ac:dyDescent="0.2">
      <c r="A44" s="169" t="s">
        <v>46</v>
      </c>
      <c r="B44" s="169"/>
      <c r="C44" s="169"/>
      <c r="D44" s="277"/>
      <c r="E44" s="277"/>
      <c r="F44" s="277"/>
      <c r="G44" s="277"/>
      <c r="H44" s="277"/>
      <c r="I44" s="277"/>
      <c r="J44" s="277" t="s">
        <v>87</v>
      </c>
      <c r="P44" s="302">
        <f>IF(Voreinstellungen!C30="","",IF(Voreinstellungen!C30="REST",IFERROR(SUMIF(P4:P34,Voreinstellungen!B30,Q4:Q34)/SUMIF(P4:P34,Voreinstellungen!B30,U4:U34),0),IF(Voreinstellungen!C30="NONE",COUNTIF(P4:P34,Voreinstellungen!B30),IF(Voreinstellungen!C30="XTRA",COUNTIF(P4:P34,Voreinstellungen!B30),COUNTIF(P4:P34,Voreinstellungen!B30)*IF(Voreinstellungen!C30=0,1,Voreinstellungen!C30)))))</f>
        <v>0</v>
      </c>
      <c r="Q44" s="330" t="str">
        <f>IF(Voreinstellungen!A30="","",REPT(Voreinstellungen!A30,1) &amp; " (" &amp; REPT(Voreinstellungen!B30,1) &amp; ")")</f>
        <v>Eigener Code 2 (E2)</v>
      </c>
      <c r="R44" s="331"/>
      <c r="S44" s="331"/>
      <c r="T44" s="331"/>
      <c r="U44" s="331"/>
      <c r="V44" s="331"/>
      <c r="W44" s="168" t="str">
        <f>IF(ISBLANK(Voreinstellungen!C30),"",IF(Voreinstellungen!C30="REST",SUMIF(P4:P34,Voreinstellungen!B30,U4:U34)-SUMIF(P4:P34,Voreinstellungen!B30,Q4:Q34),IF(ISTEXT(Voreinstellungen!C30),SUMIF(P4:P34,Voreinstellungen!B30,Q4:Q34),"")))</f>
        <v/>
      </c>
      <c r="Y44" s="375">
        <f>Voreinstellungen!J53</f>
        <v>0</v>
      </c>
      <c r="Z44" s="380">
        <f t="shared" si="11"/>
        <v>0</v>
      </c>
      <c r="AA44" s="380">
        <f t="shared" si="12"/>
        <v>0</v>
      </c>
      <c r="AB44" s="381">
        <f>SUM(AA44*Voreinstellungen!$C$44)</f>
        <v>0</v>
      </c>
    </row>
    <row r="45" spans="1:29" ht="12.75" customHeight="1" x14ac:dyDescent="0.2">
      <c r="A45" s="169"/>
      <c r="B45" s="169"/>
      <c r="C45" s="169"/>
      <c r="D45" s="277"/>
      <c r="E45" s="277"/>
      <c r="F45" s="277"/>
      <c r="G45" s="277"/>
      <c r="H45" s="277"/>
      <c r="I45" s="277"/>
      <c r="J45" s="277"/>
      <c r="P45" s="302">
        <f>IF(Voreinstellungen!C31="","",IF(Voreinstellungen!C31="REST",IFERROR(SUMIF(P4:P34,Voreinstellungen!B31,Q4:Q34)/SUMIF(P4:P34,Voreinstellungen!B31,U4:U34),0),IF(Voreinstellungen!C31="NONE",COUNTIF(P4:P34,Voreinstellungen!B31),IF(Voreinstellungen!C31="XTRA",COUNTIF(P4:P34,Voreinstellungen!B31),COUNTIF(P4:P34,Voreinstellungen!B31)*IF(Voreinstellungen!C31=0,1,Voreinstellungen!C31)))))</f>
        <v>0</v>
      </c>
      <c r="Q45" s="330" t="str">
        <f>IF(Voreinstellungen!A31="","",REPT(Voreinstellungen!A31,1) &amp; " (" &amp; REPT(Voreinstellungen!B31,1) &amp; ")")</f>
        <v>Eigener Code 3 (E3)</v>
      </c>
      <c r="R45" s="331"/>
      <c r="S45" s="331"/>
      <c r="T45" s="331"/>
      <c r="U45" s="331"/>
      <c r="V45" s="331"/>
      <c r="W45" s="168" t="str">
        <f>IF(ISBLANK(Voreinstellungen!C31),"",IF(Voreinstellungen!C31="REST",SUMIF(P4:P34,Voreinstellungen!B31,U4:U34)-SUMIF(P4:P34,Voreinstellungen!B31,Q4:Q34),IF(ISTEXT(Voreinstellungen!C31),SUMIF(P4:P34,Voreinstellungen!B31,Q4:Q34),"")))</f>
        <v/>
      </c>
      <c r="Y45" s="375">
        <f>Voreinstellungen!J54</f>
        <v>0</v>
      </c>
      <c r="Z45" s="380">
        <f t="shared" si="11"/>
        <v>0</v>
      </c>
      <c r="AA45" s="380">
        <f t="shared" si="12"/>
        <v>0</v>
      </c>
      <c r="AB45" s="381">
        <f>SUM(AA45*Voreinstellungen!$C$44)</f>
        <v>0</v>
      </c>
    </row>
    <row r="46" spans="1:29" ht="12.75" customHeight="1" x14ac:dyDescent="0.2">
      <c r="A46" s="170"/>
      <c r="B46" s="170"/>
      <c r="C46" s="170"/>
      <c r="D46" s="278"/>
      <c r="E46" s="278"/>
      <c r="F46" s="278"/>
      <c r="G46" s="278"/>
      <c r="H46" s="278"/>
      <c r="I46" s="278"/>
      <c r="J46" s="278"/>
      <c r="P46" s="302">
        <f>IF(Voreinstellungen!C32="","",IF(Voreinstellungen!C32="REST",IFERROR(SUMIF(P4:P34,Voreinstellungen!B32,Q4:Q34)/SUMIF(P4:P34,Voreinstellungen!B32,U4:U34),0),IF(Voreinstellungen!C32="NONE",COUNTIF(P4:P34,Voreinstellungen!B32),IF(Voreinstellungen!C32="XTRA",COUNTIF(P4:P34,Voreinstellungen!B32),COUNTIF(P4:P34,Voreinstellungen!B32)*IF(Voreinstellungen!C32=0,1,Voreinstellungen!C32)))))</f>
        <v>0</v>
      </c>
      <c r="Q46" s="330" t="str">
        <f>IF(Voreinstellungen!A32="","",REPT(Voreinstellungen!A32,1) &amp; " (" &amp; REPT(Voreinstellungen!B32,1) &amp; ")")</f>
        <v>Eigener Code 4 (E4)</v>
      </c>
      <c r="R46" s="331"/>
      <c r="S46" s="331"/>
      <c r="T46" s="331"/>
      <c r="U46" s="331"/>
      <c r="V46" s="331"/>
      <c r="W46" s="168" t="str">
        <f>IF(ISBLANK(Voreinstellungen!C32),"",IF(Voreinstellungen!C32="REST",SUMIF(P4:P34,Voreinstellungen!B32,U4:U34)-SUMIF(P4:P34,Voreinstellungen!B32,Q4:Q34),IF(ISTEXT(Voreinstellungen!C32),SUMIF(P4:P34,Voreinstellungen!B32,Q4:Q34),"")))</f>
        <v/>
      </c>
      <c r="Y46" s="375">
        <f>Voreinstellungen!J55</f>
        <v>0</v>
      </c>
      <c r="Z46" s="380">
        <f t="shared" si="11"/>
        <v>0</v>
      </c>
      <c r="AA46" s="380">
        <f t="shared" si="12"/>
        <v>0</v>
      </c>
      <c r="AB46" s="381">
        <f>SUM(AA46*Voreinstellungen!$C$44)</f>
        <v>0</v>
      </c>
    </row>
    <row r="47" spans="1:29" ht="12.75" customHeight="1" x14ac:dyDescent="0.2">
      <c r="A47" s="169" t="s">
        <v>46</v>
      </c>
      <c r="B47" s="169"/>
      <c r="C47" s="169"/>
      <c r="D47" s="277"/>
      <c r="E47" s="277"/>
      <c r="F47" s="277"/>
      <c r="G47" s="277"/>
      <c r="H47" s="277"/>
      <c r="I47" s="277"/>
      <c r="J47" s="277" t="s">
        <v>88</v>
      </c>
      <c r="P47" s="303">
        <f>IF(Voreinstellungen!C33="","",IF(Voreinstellungen!C33="REST",IFERROR(SUMIF(P4:P34,Voreinstellungen!B33,Q4:Q34)/SUMIF(P4:P34,Voreinstellungen!B33,U4:U34),0),IF(Voreinstellungen!C33="NONE",COUNTIF(P4:P34,Voreinstellungen!B33),IF(Voreinstellungen!C33="XTRA",COUNTIF(P4:P34,Voreinstellungen!B33),COUNTIF(P4:P34,Voreinstellungen!B33)*IF(Voreinstellungen!C33=0,1,Voreinstellungen!C33)))))</f>
        <v>0</v>
      </c>
      <c r="Q47" s="332" t="str">
        <f>IF(Voreinstellungen!A33="","",REPT(Voreinstellungen!A33,1) &amp; " (" &amp; REPT(Voreinstellungen!B33,1) &amp; ")")</f>
        <v>Eigener Code 5 (E5)</v>
      </c>
      <c r="R47" s="333"/>
      <c r="S47" s="333"/>
      <c r="T47" s="333"/>
      <c r="U47" s="333"/>
      <c r="V47" s="333"/>
      <c r="W47" s="319" t="str">
        <f>IF(ISBLANK(Voreinstellungen!C33),"",IF(Voreinstellungen!C33="REST",SUMIF(P4:P34,Voreinstellungen!B33,U4:U34)-SUMIF(P4:P34,Voreinstellungen!B33,Q4:Q34),IF(ISTEXT(Voreinstellungen!C33),SUMIF(P4:P34,Voreinstellungen!B33,Q4:Q34),"")))</f>
        <v/>
      </c>
      <c r="Y47" s="375">
        <f>Voreinstellungen!J56</f>
        <v>0</v>
      </c>
      <c r="Z47" s="380">
        <f t="shared" si="11"/>
        <v>0</v>
      </c>
      <c r="AA47" s="380">
        <f t="shared" si="12"/>
        <v>0</v>
      </c>
      <c r="AB47" s="381">
        <f>SUM(AA47*Voreinstellungen!$C$44)</f>
        <v>0</v>
      </c>
    </row>
    <row r="48" spans="1:29" x14ac:dyDescent="0.2">
      <c r="P48" s="334"/>
      <c r="Q48" s="45" t="s">
        <v>148</v>
      </c>
      <c r="R48" s="335"/>
      <c r="S48" s="335"/>
      <c r="T48" s="335"/>
      <c r="U48" s="335"/>
      <c r="V48" s="336"/>
      <c r="W48" s="337">
        <f>SUM(I7:I34,N7:N34)</f>
        <v>0</v>
      </c>
      <c r="X48" s="338"/>
      <c r="Y48" s="375">
        <f>Voreinstellungen!J57</f>
        <v>0</v>
      </c>
      <c r="Z48" s="380">
        <f t="shared" si="11"/>
        <v>0</v>
      </c>
      <c r="AA48" s="380">
        <f t="shared" si="12"/>
        <v>0</v>
      </c>
      <c r="AB48" s="381">
        <f>SUM(AA48*Voreinstellungen!$C$44)</f>
        <v>0</v>
      </c>
    </row>
    <row r="49" spans="1:30" x14ac:dyDescent="0.2">
      <c r="Q49" s="339"/>
      <c r="R49" s="340"/>
      <c r="S49" s="340"/>
      <c r="T49" s="340"/>
      <c r="U49" s="339"/>
      <c r="V49" s="339"/>
      <c r="Y49" s="376">
        <f>Voreinstellungen!J58</f>
        <v>0</v>
      </c>
      <c r="Z49" s="382">
        <f t="shared" si="11"/>
        <v>0</v>
      </c>
      <c r="AA49" s="382">
        <f t="shared" si="12"/>
        <v>0</v>
      </c>
      <c r="AB49" s="383">
        <f>SUM(AA49*Voreinstellungen!$C$44)</f>
        <v>0</v>
      </c>
    </row>
    <row r="51" spans="1:30" s="373" customFormat="1" x14ac:dyDescent="0.2">
      <c r="A51" s="45"/>
      <c r="B51" s="45"/>
      <c r="C51" s="45"/>
      <c r="D51" s="276"/>
      <c r="E51" s="301"/>
      <c r="F51" s="276"/>
      <c r="G51" s="276"/>
      <c r="H51" s="276"/>
      <c r="I51" s="276"/>
      <c r="J51" s="276"/>
      <c r="K51" s="276"/>
      <c r="L51" s="287"/>
      <c r="M51" s="287"/>
      <c r="N51" s="287"/>
      <c r="O51" s="287"/>
      <c r="P51" s="287"/>
      <c r="Q51" s="45"/>
      <c r="R51" s="46"/>
      <c r="S51" s="46"/>
      <c r="T51" s="46"/>
      <c r="U51" s="45"/>
      <c r="V51" s="45"/>
      <c r="W51" s="45"/>
      <c r="X51" s="45"/>
      <c r="Y51" s="367"/>
      <c r="Z51" s="368"/>
      <c r="AA51" s="368"/>
      <c r="AB51" s="369"/>
      <c r="AC51" s="45"/>
      <c r="AD51" s="45"/>
    </row>
    <row r="52" spans="1:30" x14ac:dyDescent="0.2">
      <c r="Y52" s="341" t="s">
        <v>153</v>
      </c>
      <c r="Z52" s="346">
        <f>SUM(Z37:Z49)</f>
        <v>0</v>
      </c>
      <c r="AA52" s="342">
        <f>SUM(AA37:AA49)</f>
        <v>0</v>
      </c>
      <c r="AB52" s="343">
        <f>SUM(AB37:AB49)</f>
        <v>0</v>
      </c>
    </row>
  </sheetData>
  <mergeCells count="3">
    <mergeCell ref="A1:C2"/>
    <mergeCell ref="V1:W1"/>
    <mergeCell ref="V2:W2"/>
  </mergeCells>
  <conditionalFormatting sqref="E4:E34">
    <cfRule type="expression" dxfId="254" priority="7">
      <formula>ISTEXT($E4)</formula>
    </cfRule>
  </conditionalFormatting>
  <conditionalFormatting sqref="F4:I34">
    <cfRule type="expression" dxfId="253" priority="6">
      <formula>ISTEXT($F4)</formula>
    </cfRule>
  </conditionalFormatting>
  <conditionalFormatting sqref="J4:J34">
    <cfRule type="expression" dxfId="252" priority="5">
      <formula>ISTEXT($J4)</formula>
    </cfRule>
  </conditionalFormatting>
  <conditionalFormatting sqref="K4:K34">
    <cfRule type="expression" dxfId="251" priority="4">
      <formula>ISTEXT($K4)</formula>
    </cfRule>
  </conditionalFormatting>
  <conditionalFormatting sqref="M5:O34">
    <cfRule type="expression" dxfId="250" priority="3">
      <formula>ISTEXT($F5)</formula>
    </cfRule>
  </conditionalFormatting>
  <conditionalFormatting sqref="N4:N34">
    <cfRule type="expression" dxfId="249" priority="2">
      <formula>ISTEXT($F4)</formula>
    </cfRule>
  </conditionalFormatting>
  <conditionalFormatting sqref="P36:P47">
    <cfRule type="expression" dxfId="248" priority="1">
      <formula>MOD(P36,1)=0</formula>
    </cfRule>
  </conditionalFormatting>
  <conditionalFormatting sqref="Q4:W34 A4:O34">
    <cfRule type="expression" dxfId="247" priority="16">
      <formula>WEEKDAY($A4,2)=6</formula>
    </cfRule>
    <cfRule type="expression" dxfId="246" priority="17">
      <formula>OR(WEEKDAY($A4,2)=7,$C4&lt;&gt;"")</formula>
    </cfRule>
  </conditionalFormatting>
  <conditionalFormatting sqref="P4:P34">
    <cfRule type="expression" dxfId="245" priority="26">
      <formula>WEEKDAY($A4,2)=6</formula>
    </cfRule>
    <cfRule type="expression" dxfId="244" priority="27">
      <formula>OR(WEEKDAY($A4,2)=7,$C4&lt;&gt;"")</formula>
    </cfRule>
  </conditionalFormatting>
  <dataValidations count="3">
    <dataValidation type="list" showErrorMessage="1" sqref="P4:P34" xr:uid="{00000000-0002-0000-0900-000000000000}">
      <formula1>CodeList</formula1>
    </dataValidation>
    <dataValidation type="list" allowBlank="1" showInputMessage="1" showErrorMessage="1" sqref="H4:H34 M4:M34" xr:uid="{12A8CA2B-DD6C-427F-BE34-4CEC660E0750}">
      <formula1>Tätigkeiten</formula1>
    </dataValidation>
    <dataValidation type="list" allowBlank="1" showInputMessage="1" showErrorMessage="1" sqref="D4:D34 G4:G34 L4:L34" xr:uid="{181E5D6D-9DE0-42FF-9F0E-379DE957BA0F}">
      <formula1>Einsatzorte</formula1>
    </dataValidation>
  </dataValidations>
  <printOptions horizontalCentered="1" verticalCentered="1"/>
  <pageMargins left="0.23622047244094491" right="0.23622047244094491" top="0.23622047244094491" bottom="0.23622047244094491" header="0.11811023622047245" footer="0.11811023622047245"/>
  <pageSetup paperSize="9" scale="95" firstPageNumber="0" orientation="landscape" r:id="rId1"/>
  <headerFooter alignWithMargins="0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8" id="{788EDEC4-A3E5-4C3C-A528-A7CCC6C853BC}">
            <xm:f>$P4=Voreinstellungen!$B$25</xm:f>
            <x14:dxf>
              <fill>
                <patternFill>
                  <bgColor rgb="FF0070C0"/>
                </patternFill>
              </fill>
            </x14:dxf>
          </x14:cfRule>
          <x14:cfRule type="expression" priority="9" id="{FD9F5222-2711-4A06-8A2C-636E537D02A4}">
            <xm:f>$P4=Voreinstellungen!$B$26</xm:f>
            <x14:dxf>
              <fill>
                <patternFill>
                  <bgColor rgb="FF00B0F0"/>
                </patternFill>
              </fill>
            </x14:dxf>
          </x14:cfRule>
          <x14:cfRule type="expression" priority="10" id="{CAA4AE0B-194D-4D69-A3F1-275300554DC5}">
            <xm:f>$P4=Voreinstellungen!$B$20</xm:f>
            <x14:dxf>
              <fill>
                <patternFill>
                  <bgColor theme="4" tint="0.59996337778862885"/>
                </patternFill>
              </fill>
            </x14:dxf>
          </x14:cfRule>
          <x14:cfRule type="expression" priority="11" id="{297FA541-3DBF-476C-AF27-F3D40252E999}">
            <xm:f>$P4=Voreinstellungen!$B$21</xm:f>
            <x14:dxf>
              <fill>
                <patternFill>
                  <bgColor indexed="13"/>
                </patternFill>
              </fill>
            </x14:dxf>
          </x14:cfRule>
          <x14:cfRule type="expression" priority="12" id="{D795E81E-B850-4485-8E8C-DD20066774BF}">
            <xm:f>$P4=Voreinstellungen!$B$22</xm:f>
            <x14:dxf>
              <fill>
                <patternFill>
                  <bgColor rgb="FFFFFF66"/>
                </patternFill>
              </fill>
            </x14:dxf>
          </x14:cfRule>
          <x14:cfRule type="expression" priority="13" id="{3E02330C-4BD2-42A2-AE4F-48091043EB55}">
            <xm:f>$P4=Voreinstellungen!$B$31</xm:f>
            <x14:dxf>
              <fill>
                <patternFill>
                  <bgColor theme="3" tint="0.59996337778862885"/>
                </patternFill>
              </fill>
            </x14:dxf>
          </x14:cfRule>
          <x14:cfRule type="expression" priority="14" id="{FAC40EA2-89D2-4EDA-B92D-5DE5DD33CB78}">
            <xm:f>$P4=Voreinstellungen!$B$32</xm:f>
            <x14:dxf>
              <fill>
                <patternFill>
                  <bgColor rgb="FF92D050"/>
                </patternFill>
              </fill>
            </x14:dxf>
          </x14:cfRule>
          <x14:cfRule type="expression" priority="15" id="{5030F26C-9775-4328-8D99-DC26A159C05F}">
            <xm:f>$P4=Voreinstellungen!$B$33</xm:f>
            <x14:dxf>
              <fill>
                <patternFill>
                  <bgColor theme="9" tint="0.39994506668294322"/>
                </patternFill>
              </fill>
            </x14:dxf>
          </x14:cfRule>
          <xm:sqref>Q4:W34 A4:O34</xm:sqref>
        </x14:conditionalFormatting>
        <x14:conditionalFormatting xmlns:xm="http://schemas.microsoft.com/office/excel/2006/main">
          <x14:cfRule type="expression" priority="18" id="{42371CB4-A6F6-4F59-BB77-1DF4741284AF}">
            <xm:f>$L4=Voreinstellungen!$B$25</xm:f>
            <x14:dxf>
              <fill>
                <patternFill>
                  <bgColor rgb="FF0070C0"/>
                </patternFill>
              </fill>
            </x14:dxf>
          </x14:cfRule>
          <x14:cfRule type="expression" priority="19" id="{11B684AF-A72E-41AF-B480-0EE4B2D3D089}">
            <xm:f>$L4=Voreinstellungen!$B$26</xm:f>
            <x14:dxf>
              <fill>
                <patternFill>
                  <bgColor rgb="FF00B0F0"/>
                </patternFill>
              </fill>
            </x14:dxf>
          </x14:cfRule>
          <x14:cfRule type="expression" priority="20" id="{7AA4ECEA-6B36-4F43-BB19-EAF2B2EF630D}">
            <xm:f>$L4=Voreinstellungen!$B$20</xm:f>
            <x14:dxf>
              <fill>
                <patternFill>
                  <bgColor theme="4" tint="0.59996337778862885"/>
                </patternFill>
              </fill>
            </x14:dxf>
          </x14:cfRule>
          <x14:cfRule type="expression" priority="21" id="{56742CAA-BAFD-480E-BA3A-E1761160F781}">
            <xm:f>$L4=Voreinstellungen!$B$21</xm:f>
            <x14:dxf>
              <fill>
                <patternFill>
                  <bgColor indexed="13"/>
                </patternFill>
              </fill>
            </x14:dxf>
          </x14:cfRule>
          <x14:cfRule type="expression" priority="22" id="{E2873856-9DF4-4247-BEFF-F3E24E14D482}">
            <xm:f>$L4=Voreinstellungen!$B$22</xm:f>
            <x14:dxf>
              <fill>
                <patternFill>
                  <bgColor rgb="FFFFFF66"/>
                </patternFill>
              </fill>
            </x14:dxf>
          </x14:cfRule>
          <x14:cfRule type="expression" priority="23" id="{D06AC73D-F458-4DDC-9778-96AFDF3589C8}">
            <xm:f>$L4=Voreinstellungen!$B$31</xm:f>
            <x14:dxf>
              <fill>
                <patternFill>
                  <bgColor theme="3" tint="0.59996337778862885"/>
                </patternFill>
              </fill>
            </x14:dxf>
          </x14:cfRule>
          <x14:cfRule type="expression" priority="24" id="{82E2C885-75A6-48D6-B384-261BC5A7CC10}">
            <xm:f>$L4=Voreinstellungen!$B$32</xm:f>
            <x14:dxf>
              <fill>
                <patternFill>
                  <bgColor rgb="FF92D050"/>
                </patternFill>
              </fill>
            </x14:dxf>
          </x14:cfRule>
          <x14:cfRule type="expression" priority="25" id="{17F337D8-7EDF-4DBC-ABDC-D3EC01025AAC}">
            <xm:f>$L4=Voreinstellungen!$B$33</xm:f>
            <x14:dxf>
              <fill>
                <patternFill>
                  <bgColor theme="9" tint="0.39994506668294322"/>
                </patternFill>
              </fill>
            </x14:dxf>
          </x14:cfRule>
          <xm:sqref>P4:P34</xm:sqref>
        </x14:conditionalFormatting>
      </x14:conditionalFormatting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0">
    <tabColor theme="2" tint="-0.249977111117893"/>
    <pageSetUpPr fitToPage="1"/>
  </sheetPr>
  <dimension ref="A1:AD52"/>
  <sheetViews>
    <sheetView showGridLines="0" showZeros="0" zoomScale="90" zoomScaleNormal="90" workbookViewId="0">
      <pane ySplit="3" topLeftCell="A4" activePane="bottomLeft" state="frozen"/>
      <selection activeCell="T6" sqref="T6"/>
      <selection pane="bottomLeft" activeCell="T6" sqref="T6"/>
    </sheetView>
  </sheetViews>
  <sheetFormatPr baseColWidth="10" defaultColWidth="11.5703125" defaultRowHeight="12.75" x14ac:dyDescent="0.2"/>
  <cols>
    <col min="1" max="1" width="9.28515625" style="45" customWidth="1"/>
    <col min="2" max="2" width="5.7109375" style="45" customWidth="1"/>
    <col min="3" max="3" width="18.7109375" style="45" customWidth="1"/>
    <col min="4" max="4" width="11.140625" style="276" bestFit="1" customWidth="1"/>
    <col min="5" max="5" width="7.7109375" style="301" customWidth="1"/>
    <col min="6" max="6" width="7.7109375" style="276" customWidth="1"/>
    <col min="7" max="8" width="12.7109375" style="276" customWidth="1"/>
    <col min="9" max="9" width="4.7109375" style="276" customWidth="1"/>
    <col min="10" max="11" width="7.7109375" style="276" customWidth="1"/>
    <col min="12" max="13" width="12.7109375" style="287" customWidth="1"/>
    <col min="14" max="14" width="4.7109375" style="287" customWidth="1"/>
    <col min="15" max="15" width="6.42578125" style="287" customWidth="1"/>
    <col min="16" max="16" width="3.7109375" style="287" customWidth="1"/>
    <col min="17" max="17" width="7.7109375" style="45" customWidth="1"/>
    <col min="18" max="20" width="7.7109375" style="46" customWidth="1"/>
    <col min="21" max="21" width="4.28515625" style="45" bestFit="1" customWidth="1"/>
    <col min="22" max="22" width="20.7109375" style="45" customWidth="1"/>
    <col min="23" max="23" width="7.7109375" style="45" customWidth="1"/>
    <col min="24" max="24" width="0.7109375" style="45" customWidth="1"/>
    <col min="25" max="25" width="14.7109375" style="45" customWidth="1"/>
    <col min="26" max="27" width="11.5703125" style="45"/>
    <col min="28" max="28" width="13.7109375" style="45" bestFit="1" customWidth="1"/>
    <col min="29" max="29" width="0.7109375" style="45" customWidth="1"/>
    <col min="30" max="16384" width="11.5703125" style="45"/>
  </cols>
  <sheetData>
    <row r="1" spans="1:29" ht="15" customHeight="1" x14ac:dyDescent="0.2">
      <c r="A1" s="678">
        <f>DATE(Jahr,9,1)</f>
        <v>44439</v>
      </c>
      <c r="B1" s="679"/>
      <c r="C1" s="679"/>
      <c r="D1" s="370"/>
      <c r="E1" s="370"/>
      <c r="F1" s="370"/>
      <c r="G1" s="370"/>
      <c r="H1" s="370"/>
      <c r="I1" s="370"/>
      <c r="J1" s="285"/>
      <c r="K1" s="285"/>
      <c r="L1" s="285"/>
      <c r="M1" s="285" t="str">
        <f>"Nettoarbeitstage: "&amp;NETWORKDAYS(A1,EOMONTH(A1,0),Feiertage!A4:A39)</f>
        <v>Nettoarbeitstage: 22</v>
      </c>
      <c r="N1" s="285"/>
      <c r="O1" s="285"/>
      <c r="P1" s="288"/>
      <c r="Q1" s="260"/>
      <c r="R1" s="260"/>
      <c r="S1" s="260"/>
      <c r="T1" s="260"/>
      <c r="U1" s="260"/>
      <c r="V1" s="684" t="str">
        <f>Voreinstellungen!C3</f>
        <v>Vivien Günther</v>
      </c>
      <c r="W1" s="685"/>
    </row>
    <row r="2" spans="1:29" ht="15" customHeight="1" x14ac:dyDescent="0.2">
      <c r="A2" s="680"/>
      <c r="B2" s="681"/>
      <c r="C2" s="681"/>
      <c r="D2" s="371"/>
      <c r="E2" s="371"/>
      <c r="F2" s="371"/>
      <c r="G2" s="371"/>
      <c r="H2" s="371"/>
      <c r="I2" s="371"/>
      <c r="J2" s="371"/>
      <c r="K2" s="371"/>
      <c r="L2" s="286"/>
      <c r="M2" s="286"/>
      <c r="N2" s="286"/>
      <c r="O2" s="286"/>
      <c r="P2" s="289"/>
      <c r="Q2" s="259"/>
      <c r="R2" s="259"/>
      <c r="S2" s="259"/>
      <c r="T2" s="259"/>
      <c r="U2" s="259"/>
      <c r="V2" s="686" t="str">
        <f>IF(ISBLANK(Voreinstellungen!C4),"","Personal-Nr.: "&amp;Voreinstellungen!C4)</f>
        <v>Personal-Nr.: 60161</v>
      </c>
      <c r="W2" s="687"/>
    </row>
    <row r="3" spans="1:29" s="47" customFormat="1" ht="36" customHeight="1" x14ac:dyDescent="0.2">
      <c r="A3" s="204" t="s">
        <v>73</v>
      </c>
      <c r="B3" s="205"/>
      <c r="C3" s="204" t="s">
        <v>26</v>
      </c>
      <c r="D3" s="284" t="s">
        <v>143</v>
      </c>
      <c r="E3" s="282" t="s">
        <v>74</v>
      </c>
      <c r="F3" s="253" t="s">
        <v>75</v>
      </c>
      <c r="G3" s="253" t="s">
        <v>141</v>
      </c>
      <c r="H3" s="110" t="s">
        <v>134</v>
      </c>
      <c r="I3" s="257" t="s">
        <v>135</v>
      </c>
      <c r="J3" s="282" t="s">
        <v>76</v>
      </c>
      <c r="K3" s="206" t="s">
        <v>77</v>
      </c>
      <c r="L3" s="258" t="s">
        <v>142</v>
      </c>
      <c r="M3" s="279" t="s">
        <v>134</v>
      </c>
      <c r="N3" s="257" t="s">
        <v>135</v>
      </c>
      <c r="O3" s="282" t="s">
        <v>144</v>
      </c>
      <c r="P3" s="283" t="s">
        <v>24</v>
      </c>
      <c r="Q3" s="171" t="s">
        <v>78</v>
      </c>
      <c r="R3" s="171" t="s">
        <v>79</v>
      </c>
      <c r="S3" s="171" t="s">
        <v>147</v>
      </c>
      <c r="T3" s="207" t="s">
        <v>80</v>
      </c>
      <c r="U3" s="208" t="s">
        <v>81</v>
      </c>
      <c r="V3" s="209" t="s">
        <v>82</v>
      </c>
      <c r="W3" s="171" t="s">
        <v>83</v>
      </c>
      <c r="X3" s="306">
        <f>PauseGWert</f>
        <v>3.125E-2</v>
      </c>
    </row>
    <row r="4" spans="1:29" s="19" customFormat="1" ht="12" x14ac:dyDescent="0.2">
      <c r="A4" s="311">
        <f>A1</f>
        <v>44439</v>
      </c>
      <c r="B4" s="210">
        <f t="shared" ref="B4:B34" si="0">A4</f>
        <v>44439</v>
      </c>
      <c r="C4" s="261" t="str">
        <f t="shared" ref="C4:C31" si="1">IF(ISERROR(VLOOKUP(B4,Feiertage,2,FALSE)),"",(VLOOKUP(B4,Feiertage,2,FALSE)))</f>
        <v/>
      </c>
      <c r="D4" s="366"/>
      <c r="E4" s="351"/>
      <c r="F4" s="254"/>
      <c r="G4" s="307"/>
      <c r="H4" s="318"/>
      <c r="I4" s="347">
        <f>IFERROR(VLOOKUP(D4&amp;G4,tbl_Entfernung[[Verketten]:[Entfernung]],2,FALSE),"")</f>
        <v>0</v>
      </c>
      <c r="J4" s="360"/>
      <c r="K4" s="351"/>
      <c r="L4" s="307"/>
      <c r="M4" s="314"/>
      <c r="N4" s="320">
        <f>IFERROR(VLOOKUP(G4&amp;L4,tbl_Entfernung[[Verketten]:[Entfernung]],2,FALSE),"")</f>
        <v>0</v>
      </c>
      <c r="O4" s="315">
        <f>IF(S4&gt;PauseGTime,PauseGWert,IF(S4&gt;PauseKTime,PauseKWert,IF(S4&lt;=PauseKTime,0,WENN)))</f>
        <v>0</v>
      </c>
      <c r="P4" s="363"/>
      <c r="Q4" s="355">
        <f t="shared" ref="Q4:Q34" si="2">IF(A4="",0,IF(IF(E4&lt;F4,F4-E4,IF(F4="",0,F4-E4+1))+IF(J4&lt;K4,K4-J4,IF(K4="",0,K4-J4+1))-O4&gt;0,IF(E4&lt;F4,F4-E4,IF(F4="",0,F4-E4+1))+IF(J4&lt;K4,K4-J4,IF(K4="",0,K4-J4+1))-O4,0))</f>
        <v>0</v>
      </c>
      <c r="R4" s="224">
        <f t="shared" ref="R4:R34" ca="1" si="3">IF(AND(C4&lt;&gt;"",P4=""),IF(ISERROR(VLOOKUP(B4,Feiertage,2,FALSE)),0,VLOOKUP(B4,Feiertage,3,FALSE)*U4),IF(A4="",0,IF(P4&lt;&gt;"",IF(UPPER(P4)=VLOOKUP(UPPER(P4),Code,1,FALSE),IF(OR(VLOOKUP(P4,Code,2,FALSE)="NONE",VLOOKUP(P4,Code,2,FALSE)="XTRA",VLOOKUP(P4,Code,2,FALSE)="REST"),Q4,IF(ISERROR(VLOOKUP(B4,Feiertage,2,FALSE)),VLOOKUP(P4,Code,2,FALSE)*U4,IF(VLOOKUP(B4,Feiertage,3,FALSE)=0.5,IF(OR(UPPER(P4)="G",UPPER(P4)="H"),VLOOKUP(B4,Feiertage,3,FALSE)*VLOOKUP(P4,Code,2,FALSE)*U4,0),VLOOKUP(B4,Feiertage,3,FALSE)*VLOOKUP(P4,Code,2,FALSE)*U4))),U4),U4)))</f>
        <v>0.29166666666666669</v>
      </c>
      <c r="S4" s="224">
        <f>IF(A4="",0,IF(IF(E4&lt;F4,F4-E4,IF(F4="",0,F4-E4+1))+IF(J4&lt;K4,K4-J4,IF(K4="",0,K4-J4+1))&gt;0,IF(E4&lt;F4,F4-E4,IF(F4="",0,F4-E4+1))+IF(J4&lt;K4,K4-J4,IF(K4="",0,K4-J4+1)),0))</f>
        <v>0</v>
      </c>
      <c r="T4" s="211">
        <f t="shared" ref="T4:T34" ca="1" si="4">IF(A4="",0,ROUND(Q4-R4,14))</f>
        <v>-0.29166666666667002</v>
      </c>
      <c r="U4" s="250">
        <f t="shared" ref="U4:U34" ca="1" si="5">IF(A4="",0,INDIRECT(ADDRESS(MATCH(A4,SOLL_AZ_Ab,1)+11,WEEKDAY(A4,2)+3,,,"Voreinstellungen"),TRUE))</f>
        <v>0.29166666666666669</v>
      </c>
      <c r="V4" s="212"/>
      <c r="W4" s="213" t="e">
        <f ca="1">IF(A4="","",IF(T4&lt;&gt;"",ROUND(J36+T4,14),J36))</f>
        <v>#REF!</v>
      </c>
      <c r="Y4" s="305"/>
      <c r="AB4" s="344">
        <f>MOD(F4-E4,1)*24</f>
        <v>0</v>
      </c>
      <c r="AC4" s="344">
        <f>MOD(K4-J4,1)*24</f>
        <v>0</v>
      </c>
    </row>
    <row r="5" spans="1:29" s="19" customFormat="1" ht="12" x14ac:dyDescent="0.2">
      <c r="A5" s="312">
        <f t="shared" ref="A5:A31" si="6">A4+1</f>
        <v>44440</v>
      </c>
      <c r="B5" s="129">
        <f t="shared" si="0"/>
        <v>44440</v>
      </c>
      <c r="C5" s="262" t="str">
        <f t="shared" si="1"/>
        <v/>
      </c>
      <c r="D5" s="358"/>
      <c r="E5" s="352"/>
      <c r="F5" s="255"/>
      <c r="G5" s="308"/>
      <c r="H5" s="308"/>
      <c r="I5" s="348">
        <f>IFERROR(VLOOKUP(D5&amp;G5,tbl_Entfernung[[Verketten]:[Entfernung]],2,FALSE),"")</f>
        <v>0</v>
      </c>
      <c r="J5" s="361"/>
      <c r="K5" s="352"/>
      <c r="L5" s="308"/>
      <c r="M5" s="308"/>
      <c r="N5" s="321">
        <f>IFERROR(VLOOKUP(G5&amp;L5,tbl_Entfernung[[Verketten]:[Entfernung]],2,FALSE),"")</f>
        <v>0</v>
      </c>
      <c r="O5" s="316">
        <f>IF(S5&gt;PauseGTime,PauseGWert,IF(S5&gt;PauseKTime,PauseKWert,IF(S5&lt;=PauseKTime,0,WENN)))</f>
        <v>0</v>
      </c>
      <c r="P5" s="364"/>
      <c r="Q5" s="356">
        <f t="shared" si="2"/>
        <v>0</v>
      </c>
      <c r="R5" s="225">
        <f t="shared" ca="1" si="3"/>
        <v>0.29166666666666669</v>
      </c>
      <c r="S5" s="225">
        <f t="shared" ref="S5:S34" si="7">IF(A5="",0,IF(IF(E5&lt;F5,F5-E5,IF(F5="",0,F5-E5+1))+IF(J5&lt;K5,K5-J5,IF(K5="",0,K5-J5+1))&gt;0,IF(E5&lt;F5,F5-E5,IF(F5="",0,F5-E5+1))+IF(J5&lt;K5,K5-J5,IF(K5="",0,K5-J5+1)),0))</f>
        <v>0</v>
      </c>
      <c r="T5" s="130">
        <f t="shared" ca="1" si="4"/>
        <v>-0.29166666666667002</v>
      </c>
      <c r="U5" s="251">
        <f t="shared" ca="1" si="5"/>
        <v>0.29166666666666669</v>
      </c>
      <c r="V5" s="131"/>
      <c r="W5" s="214" t="e">
        <f t="shared" ref="W5:W34" ca="1" si="8">IF(A5="","",IF(T5&lt;&gt;"",ROUND(W4+T5,14),W4))</f>
        <v>#REF!</v>
      </c>
      <c r="AB5" s="345">
        <f t="shared" ref="AB5:AB34" si="9">MOD(F5-E5,1)*24</f>
        <v>0</v>
      </c>
      <c r="AC5" s="345">
        <f t="shared" ref="AC5:AC34" si="10">MOD(K5-J5,1)*24</f>
        <v>0</v>
      </c>
    </row>
    <row r="6" spans="1:29" s="19" customFormat="1" ht="12" x14ac:dyDescent="0.2">
      <c r="A6" s="312">
        <f t="shared" si="6"/>
        <v>44441</v>
      </c>
      <c r="B6" s="129">
        <f t="shared" si="0"/>
        <v>44441</v>
      </c>
      <c r="C6" s="262" t="str">
        <f t="shared" si="1"/>
        <v/>
      </c>
      <c r="D6" s="358"/>
      <c r="E6" s="352"/>
      <c r="F6" s="255"/>
      <c r="G6" s="309"/>
      <c r="H6" s="309"/>
      <c r="I6" s="348">
        <f>IFERROR(VLOOKUP(D6&amp;G6,tbl_Entfernung[[Verketten]:[Entfernung]],2,FALSE),"")</f>
        <v>0</v>
      </c>
      <c r="J6" s="361"/>
      <c r="K6" s="352"/>
      <c r="L6" s="309"/>
      <c r="M6" s="309"/>
      <c r="N6" s="321">
        <f>IFERROR(VLOOKUP(G6&amp;L6,tbl_Entfernung[[Verketten]:[Entfernung]],2,FALSE),"")</f>
        <v>0</v>
      </c>
      <c r="O6" s="316">
        <f>IF(S6&gt;PauseGTime,PauseGWert,IF(S6&gt;PauseKTime,PauseKWert,IF(S6&lt;=PauseKTime,0,WENN)))</f>
        <v>0</v>
      </c>
      <c r="P6" s="364"/>
      <c r="Q6" s="356">
        <f t="shared" si="2"/>
        <v>0</v>
      </c>
      <c r="R6" s="225">
        <f t="shared" ca="1" si="3"/>
        <v>0.29166666666666669</v>
      </c>
      <c r="S6" s="225">
        <f t="shared" si="7"/>
        <v>0</v>
      </c>
      <c r="T6" s="130">
        <f t="shared" ca="1" si="4"/>
        <v>-0.29166666666667002</v>
      </c>
      <c r="U6" s="251">
        <f t="shared" ca="1" si="5"/>
        <v>0.29166666666666669</v>
      </c>
      <c r="V6" s="131"/>
      <c r="W6" s="214" t="e">
        <f t="shared" ca="1" si="8"/>
        <v>#REF!</v>
      </c>
      <c r="AB6" s="345">
        <f t="shared" si="9"/>
        <v>0</v>
      </c>
      <c r="AC6" s="345">
        <f t="shared" si="10"/>
        <v>0</v>
      </c>
    </row>
    <row r="7" spans="1:29" s="19" customFormat="1" ht="12" x14ac:dyDescent="0.2">
      <c r="A7" s="312">
        <f t="shared" si="6"/>
        <v>44442</v>
      </c>
      <c r="B7" s="129">
        <f t="shared" si="0"/>
        <v>44442</v>
      </c>
      <c r="C7" s="262" t="str">
        <f t="shared" si="1"/>
        <v/>
      </c>
      <c r="D7" s="358"/>
      <c r="E7" s="352"/>
      <c r="F7" s="255"/>
      <c r="G7" s="309"/>
      <c r="H7" s="309"/>
      <c r="I7" s="348">
        <f>IFERROR(VLOOKUP(D7&amp;G7,tbl_Entfernung[[Verketten]:[Entfernung]],2,FALSE),"")</f>
        <v>0</v>
      </c>
      <c r="J7" s="361"/>
      <c r="K7" s="352"/>
      <c r="L7" s="309"/>
      <c r="M7" s="309"/>
      <c r="N7" s="321">
        <f>IFERROR(VLOOKUP(G7&amp;L7,tbl_Entfernung[[Verketten]:[Entfernung]],2,FALSE),"")</f>
        <v>0</v>
      </c>
      <c r="O7" s="316">
        <f>IF(S7&gt;PauseGTime,PauseGWert,IF(S7&gt;PauseKTime,PauseKWert,IF(S7&lt;=PauseKTime,0,WENN)))</f>
        <v>0</v>
      </c>
      <c r="P7" s="364"/>
      <c r="Q7" s="356">
        <f t="shared" si="2"/>
        <v>0</v>
      </c>
      <c r="R7" s="225">
        <f t="shared" ca="1" si="3"/>
        <v>0.29166666666666669</v>
      </c>
      <c r="S7" s="225">
        <f t="shared" si="7"/>
        <v>0</v>
      </c>
      <c r="T7" s="130">
        <f t="shared" ca="1" si="4"/>
        <v>-0.29166666666667002</v>
      </c>
      <c r="U7" s="251">
        <f t="shared" ca="1" si="5"/>
        <v>0.29166666666666669</v>
      </c>
      <c r="V7" s="131"/>
      <c r="W7" s="214" t="e">
        <f t="shared" ca="1" si="8"/>
        <v>#REF!</v>
      </c>
      <c r="AB7" s="345">
        <f t="shared" si="9"/>
        <v>0</v>
      </c>
      <c r="AC7" s="345">
        <f t="shared" si="10"/>
        <v>0</v>
      </c>
    </row>
    <row r="8" spans="1:29" s="19" customFormat="1" ht="12" x14ac:dyDescent="0.2">
      <c r="A8" s="312">
        <f t="shared" si="6"/>
        <v>44443</v>
      </c>
      <c r="B8" s="129">
        <f t="shared" si="0"/>
        <v>44443</v>
      </c>
      <c r="C8" s="262" t="str">
        <f t="shared" si="1"/>
        <v/>
      </c>
      <c r="D8" s="358"/>
      <c r="E8" s="352"/>
      <c r="F8" s="255"/>
      <c r="G8" s="309"/>
      <c r="H8" s="309"/>
      <c r="I8" s="348">
        <f>IFERROR(VLOOKUP(D8&amp;G8,tbl_Entfernung[[Verketten]:[Entfernung]],2,FALSE),"")</f>
        <v>0</v>
      </c>
      <c r="J8" s="361"/>
      <c r="K8" s="352"/>
      <c r="L8" s="309"/>
      <c r="M8" s="309"/>
      <c r="N8" s="321">
        <f>IFERROR(VLOOKUP(G8&amp;L8,tbl_Entfernung[[Verketten]:[Entfernung]],2,FALSE),"")</f>
        <v>0</v>
      </c>
      <c r="O8" s="316">
        <f>IF(S8&gt;PauseGTime,PauseGWert,IF(S8&gt;PauseKTime,PauseKWert,IF(S8&lt;=PauseKTime,0,WENN)))</f>
        <v>0</v>
      </c>
      <c r="P8" s="364"/>
      <c r="Q8" s="356">
        <f t="shared" si="2"/>
        <v>0</v>
      </c>
      <c r="R8" s="225">
        <f t="shared" ca="1" si="3"/>
        <v>0.29166666666666669</v>
      </c>
      <c r="S8" s="225">
        <f t="shared" si="7"/>
        <v>0</v>
      </c>
      <c r="T8" s="130">
        <f t="shared" ca="1" si="4"/>
        <v>-0.29166666666667002</v>
      </c>
      <c r="U8" s="251">
        <f t="shared" ca="1" si="5"/>
        <v>0.29166666666666669</v>
      </c>
      <c r="V8" s="131"/>
      <c r="W8" s="214" t="e">
        <f t="shared" ca="1" si="8"/>
        <v>#REF!</v>
      </c>
      <c r="AB8" s="345">
        <f t="shared" si="9"/>
        <v>0</v>
      </c>
      <c r="AC8" s="345">
        <f t="shared" si="10"/>
        <v>0</v>
      </c>
    </row>
    <row r="9" spans="1:29" s="19" customFormat="1" ht="12" x14ac:dyDescent="0.2">
      <c r="A9" s="312">
        <f t="shared" si="6"/>
        <v>44444</v>
      </c>
      <c r="B9" s="129">
        <f t="shared" si="0"/>
        <v>44444</v>
      </c>
      <c r="C9" s="262" t="str">
        <f t="shared" si="1"/>
        <v/>
      </c>
      <c r="D9" s="358"/>
      <c r="E9" s="352"/>
      <c r="F9" s="255"/>
      <c r="G9" s="309"/>
      <c r="H9" s="309"/>
      <c r="I9" s="349">
        <f>IFERROR(VLOOKUP(D9&amp;G9,tbl_Entfernung[[Verketten]:[Entfernung]],2,FALSE),"")</f>
        <v>0</v>
      </c>
      <c r="J9" s="361"/>
      <c r="K9" s="352"/>
      <c r="L9" s="309"/>
      <c r="M9" s="309"/>
      <c r="N9" s="322">
        <f>IFERROR(VLOOKUP(G9&amp;L9,tbl_Entfernung[[Verketten]:[Entfernung]],2,FALSE),"")</f>
        <v>0</v>
      </c>
      <c r="O9" s="316">
        <f>IF(S9&gt;PauseGTime,PauseGWert,IF(S9&gt;PauseKTime,PauseKWert,IF(S9&lt;=PauseKTime,0,WENN)))</f>
        <v>0</v>
      </c>
      <c r="P9" s="364"/>
      <c r="Q9" s="356">
        <f t="shared" si="2"/>
        <v>0</v>
      </c>
      <c r="R9" s="225">
        <f t="shared" ca="1" si="3"/>
        <v>0</v>
      </c>
      <c r="S9" s="225">
        <f t="shared" si="7"/>
        <v>0</v>
      </c>
      <c r="T9" s="130">
        <f t="shared" ca="1" si="4"/>
        <v>0</v>
      </c>
      <c r="U9" s="251">
        <f t="shared" ca="1" si="5"/>
        <v>0</v>
      </c>
      <c r="V9" s="131"/>
      <c r="W9" s="214" t="e">
        <f t="shared" ca="1" si="8"/>
        <v>#REF!</v>
      </c>
      <c r="AB9" s="345">
        <f t="shared" si="9"/>
        <v>0</v>
      </c>
      <c r="AC9" s="345">
        <f t="shared" si="10"/>
        <v>0</v>
      </c>
    </row>
    <row r="10" spans="1:29" s="19" customFormat="1" ht="12" x14ac:dyDescent="0.2">
      <c r="A10" s="312">
        <f t="shared" si="6"/>
        <v>44445</v>
      </c>
      <c r="B10" s="129">
        <f t="shared" si="0"/>
        <v>44445</v>
      </c>
      <c r="C10" s="262" t="str">
        <f t="shared" si="1"/>
        <v/>
      </c>
      <c r="D10" s="358"/>
      <c r="E10" s="352"/>
      <c r="F10" s="255"/>
      <c r="G10" s="309"/>
      <c r="H10" s="309"/>
      <c r="I10" s="349">
        <f>IFERROR(VLOOKUP(D10&amp;G10,tbl_Entfernung[[Verketten]:[Entfernung]],2,FALSE),"")</f>
        <v>0</v>
      </c>
      <c r="J10" s="361"/>
      <c r="K10" s="352"/>
      <c r="L10" s="309"/>
      <c r="M10" s="309"/>
      <c r="N10" s="322">
        <f>IFERROR(VLOOKUP(G10&amp;L10,tbl_Entfernung[[Verketten]:[Entfernung]],2,FALSE),"")</f>
        <v>0</v>
      </c>
      <c r="O10" s="316">
        <f>IF(S10&gt;PauseGTime,PauseGWert,IF(S10&gt;PauseKTime,PauseKWert,IF(S10&lt;=PauseKTime,0,WENN)))</f>
        <v>0</v>
      </c>
      <c r="P10" s="364"/>
      <c r="Q10" s="356">
        <f t="shared" si="2"/>
        <v>0</v>
      </c>
      <c r="R10" s="225">
        <f t="shared" ca="1" si="3"/>
        <v>0</v>
      </c>
      <c r="S10" s="225">
        <f t="shared" si="7"/>
        <v>0</v>
      </c>
      <c r="T10" s="130">
        <f t="shared" ca="1" si="4"/>
        <v>0</v>
      </c>
      <c r="U10" s="251">
        <f t="shared" ca="1" si="5"/>
        <v>0</v>
      </c>
      <c r="V10" s="131"/>
      <c r="W10" s="214" t="e">
        <f t="shared" ca="1" si="8"/>
        <v>#REF!</v>
      </c>
      <c r="AB10" s="345">
        <f t="shared" si="9"/>
        <v>0</v>
      </c>
      <c r="AC10" s="345">
        <f t="shared" si="10"/>
        <v>0</v>
      </c>
    </row>
    <row r="11" spans="1:29" s="19" customFormat="1" ht="12" x14ac:dyDescent="0.2">
      <c r="A11" s="312">
        <f t="shared" si="6"/>
        <v>44446</v>
      </c>
      <c r="B11" s="129">
        <f t="shared" si="0"/>
        <v>44446</v>
      </c>
      <c r="C11" s="262" t="str">
        <f t="shared" si="1"/>
        <v/>
      </c>
      <c r="D11" s="358"/>
      <c r="E11" s="352"/>
      <c r="F11" s="255"/>
      <c r="G11" s="309"/>
      <c r="H11" s="309"/>
      <c r="I11" s="348">
        <f>IFERROR(VLOOKUP(D11&amp;G11,tbl_Entfernung[[Verketten]:[Entfernung]],2,FALSE),"")</f>
        <v>0</v>
      </c>
      <c r="J11" s="361"/>
      <c r="K11" s="352"/>
      <c r="L11" s="309"/>
      <c r="M11" s="309"/>
      <c r="N11" s="321">
        <f>IFERROR(VLOOKUP(G11&amp;L11,tbl_Entfernung[[Verketten]:[Entfernung]],2,FALSE),"")</f>
        <v>0</v>
      </c>
      <c r="O11" s="316">
        <f>IF(S11&gt;PauseGTime,PauseGWert,IF(S11&gt;PauseKTime,PauseKWert,IF(S11&lt;=PauseKTime,0,WENN)))</f>
        <v>0</v>
      </c>
      <c r="P11" s="364"/>
      <c r="Q11" s="356">
        <f t="shared" si="2"/>
        <v>0</v>
      </c>
      <c r="R11" s="225">
        <f t="shared" ca="1" si="3"/>
        <v>0.29166666666666669</v>
      </c>
      <c r="S11" s="225">
        <f t="shared" si="7"/>
        <v>0</v>
      </c>
      <c r="T11" s="130">
        <f t="shared" ca="1" si="4"/>
        <v>-0.29166666666667002</v>
      </c>
      <c r="U11" s="251">
        <f t="shared" ca="1" si="5"/>
        <v>0.29166666666666669</v>
      </c>
      <c r="V11" s="131"/>
      <c r="W11" s="214" t="e">
        <f t="shared" ca="1" si="8"/>
        <v>#REF!</v>
      </c>
      <c r="AB11" s="345">
        <f t="shared" si="9"/>
        <v>0</v>
      </c>
      <c r="AC11" s="345">
        <f t="shared" si="10"/>
        <v>0</v>
      </c>
    </row>
    <row r="12" spans="1:29" s="19" customFormat="1" ht="12" x14ac:dyDescent="0.2">
      <c r="A12" s="312">
        <f t="shared" si="6"/>
        <v>44447</v>
      </c>
      <c r="B12" s="129">
        <f t="shared" si="0"/>
        <v>44447</v>
      </c>
      <c r="C12" s="262" t="str">
        <f t="shared" si="1"/>
        <v/>
      </c>
      <c r="D12" s="358"/>
      <c r="E12" s="352"/>
      <c r="F12" s="255"/>
      <c r="G12" s="309"/>
      <c r="H12" s="309"/>
      <c r="I12" s="348">
        <f>IFERROR(VLOOKUP(D12&amp;G12,tbl_Entfernung[[Verketten]:[Entfernung]],2,FALSE),"")</f>
        <v>0</v>
      </c>
      <c r="J12" s="361"/>
      <c r="K12" s="352"/>
      <c r="L12" s="309"/>
      <c r="M12" s="309"/>
      <c r="N12" s="321">
        <f>IFERROR(VLOOKUP(G12&amp;L12,tbl_Entfernung[[Verketten]:[Entfernung]],2,FALSE),"")</f>
        <v>0</v>
      </c>
      <c r="O12" s="316">
        <f>IF(S12&gt;PauseGTime,PauseGWert,IF(S12&gt;PauseKTime,PauseKWert,IF(S12&lt;=PauseKTime,0,WENN)))</f>
        <v>0</v>
      </c>
      <c r="P12" s="364"/>
      <c r="Q12" s="356">
        <f t="shared" si="2"/>
        <v>0</v>
      </c>
      <c r="R12" s="225">
        <f t="shared" ca="1" si="3"/>
        <v>0.29166666666666669</v>
      </c>
      <c r="S12" s="225">
        <f t="shared" si="7"/>
        <v>0</v>
      </c>
      <c r="T12" s="130">
        <f t="shared" ca="1" si="4"/>
        <v>-0.29166666666667002</v>
      </c>
      <c r="U12" s="251">
        <f t="shared" ca="1" si="5"/>
        <v>0.29166666666666669</v>
      </c>
      <c r="V12" s="131"/>
      <c r="W12" s="214" t="e">
        <f t="shared" ca="1" si="8"/>
        <v>#REF!</v>
      </c>
      <c r="AB12" s="345">
        <f t="shared" si="9"/>
        <v>0</v>
      </c>
      <c r="AC12" s="345">
        <f t="shared" si="10"/>
        <v>0</v>
      </c>
    </row>
    <row r="13" spans="1:29" s="19" customFormat="1" ht="12" x14ac:dyDescent="0.2">
      <c r="A13" s="312">
        <f t="shared" si="6"/>
        <v>44448</v>
      </c>
      <c r="B13" s="129">
        <f t="shared" si="0"/>
        <v>44448</v>
      </c>
      <c r="C13" s="262" t="str">
        <f t="shared" si="1"/>
        <v/>
      </c>
      <c r="D13" s="358"/>
      <c r="E13" s="352"/>
      <c r="F13" s="255"/>
      <c r="G13" s="309"/>
      <c r="H13" s="309"/>
      <c r="I13" s="348">
        <f>IFERROR(VLOOKUP(D13&amp;G13,tbl_Entfernung[[Verketten]:[Entfernung]],2,FALSE),"")</f>
        <v>0</v>
      </c>
      <c r="J13" s="361"/>
      <c r="K13" s="352"/>
      <c r="L13" s="309"/>
      <c r="M13" s="309"/>
      <c r="N13" s="321">
        <f>IFERROR(VLOOKUP(G13&amp;L13,tbl_Entfernung[[Verketten]:[Entfernung]],2,FALSE),"")</f>
        <v>0</v>
      </c>
      <c r="O13" s="316">
        <f>IF(S13&gt;PauseGTime,PauseGWert,IF(S13&gt;PauseKTime,PauseKWert,IF(S13&lt;=PauseKTime,0,WENN)))</f>
        <v>0</v>
      </c>
      <c r="P13" s="364"/>
      <c r="Q13" s="356">
        <f t="shared" si="2"/>
        <v>0</v>
      </c>
      <c r="R13" s="225">
        <f t="shared" ca="1" si="3"/>
        <v>0.29166666666666669</v>
      </c>
      <c r="S13" s="225">
        <f t="shared" si="7"/>
        <v>0</v>
      </c>
      <c r="T13" s="130">
        <f t="shared" ca="1" si="4"/>
        <v>-0.29166666666667002</v>
      </c>
      <c r="U13" s="251">
        <f t="shared" ca="1" si="5"/>
        <v>0.29166666666666669</v>
      </c>
      <c r="V13" s="131"/>
      <c r="W13" s="214" t="e">
        <f t="shared" ca="1" si="8"/>
        <v>#REF!</v>
      </c>
      <c r="AB13" s="345">
        <f t="shared" si="9"/>
        <v>0</v>
      </c>
      <c r="AC13" s="345">
        <f t="shared" si="10"/>
        <v>0</v>
      </c>
    </row>
    <row r="14" spans="1:29" s="19" customFormat="1" ht="12" x14ac:dyDescent="0.2">
      <c r="A14" s="312">
        <f t="shared" si="6"/>
        <v>44449</v>
      </c>
      <c r="B14" s="129">
        <f t="shared" si="0"/>
        <v>44449</v>
      </c>
      <c r="C14" s="262" t="str">
        <f t="shared" si="1"/>
        <v/>
      </c>
      <c r="D14" s="358"/>
      <c r="E14" s="352"/>
      <c r="F14" s="255"/>
      <c r="G14" s="309"/>
      <c r="H14" s="309"/>
      <c r="I14" s="348">
        <f>IFERROR(VLOOKUP(D14&amp;G14,tbl_Entfernung[[Verketten]:[Entfernung]],2,FALSE),"")</f>
        <v>0</v>
      </c>
      <c r="J14" s="361"/>
      <c r="K14" s="352"/>
      <c r="L14" s="309"/>
      <c r="M14" s="309"/>
      <c r="N14" s="321">
        <f>IFERROR(VLOOKUP(G14&amp;L14,tbl_Entfernung[[Verketten]:[Entfernung]],2,FALSE),"")</f>
        <v>0</v>
      </c>
      <c r="O14" s="316">
        <f>IF(S14&gt;PauseGTime,PauseGWert,IF(S14&gt;PauseKTime,PauseKWert,IF(S14&lt;=PauseKTime,0,WENN)))</f>
        <v>0</v>
      </c>
      <c r="P14" s="364"/>
      <c r="Q14" s="356">
        <f t="shared" si="2"/>
        <v>0</v>
      </c>
      <c r="R14" s="225">
        <f t="shared" ca="1" si="3"/>
        <v>0.29166666666666669</v>
      </c>
      <c r="S14" s="225">
        <f t="shared" si="7"/>
        <v>0</v>
      </c>
      <c r="T14" s="130">
        <f t="shared" ca="1" si="4"/>
        <v>-0.29166666666667002</v>
      </c>
      <c r="U14" s="251">
        <f t="shared" ca="1" si="5"/>
        <v>0.29166666666666669</v>
      </c>
      <c r="V14" s="131"/>
      <c r="W14" s="214" t="e">
        <f t="shared" ca="1" si="8"/>
        <v>#REF!</v>
      </c>
      <c r="AB14" s="345">
        <f t="shared" si="9"/>
        <v>0</v>
      </c>
      <c r="AC14" s="345">
        <f t="shared" si="10"/>
        <v>0</v>
      </c>
    </row>
    <row r="15" spans="1:29" s="19" customFormat="1" ht="12" x14ac:dyDescent="0.2">
      <c r="A15" s="312">
        <f t="shared" si="6"/>
        <v>44450</v>
      </c>
      <c r="B15" s="129">
        <f t="shared" si="0"/>
        <v>44450</v>
      </c>
      <c r="C15" s="262" t="str">
        <f t="shared" si="1"/>
        <v/>
      </c>
      <c r="D15" s="358"/>
      <c r="E15" s="352"/>
      <c r="F15" s="255"/>
      <c r="G15" s="309"/>
      <c r="H15" s="309"/>
      <c r="I15" s="348">
        <f>IFERROR(VLOOKUP(D15&amp;G15,tbl_Entfernung[[Verketten]:[Entfernung]],2,FALSE),"")</f>
        <v>0</v>
      </c>
      <c r="J15" s="361"/>
      <c r="K15" s="352"/>
      <c r="L15" s="309"/>
      <c r="M15" s="309"/>
      <c r="N15" s="321">
        <f>IFERROR(VLOOKUP(G15&amp;L15,tbl_Entfernung[[Verketten]:[Entfernung]],2,FALSE),"")</f>
        <v>0</v>
      </c>
      <c r="O15" s="316">
        <f>IF(S15&gt;PauseGTime,PauseGWert,IF(S15&gt;PauseKTime,PauseKWert,IF(S15&lt;=PauseKTime,0,WENN)))</f>
        <v>0</v>
      </c>
      <c r="P15" s="364"/>
      <c r="Q15" s="356">
        <f t="shared" si="2"/>
        <v>0</v>
      </c>
      <c r="R15" s="225">
        <f t="shared" ca="1" si="3"/>
        <v>0.29166666666666669</v>
      </c>
      <c r="S15" s="225">
        <f t="shared" si="7"/>
        <v>0</v>
      </c>
      <c r="T15" s="130">
        <f t="shared" ca="1" si="4"/>
        <v>-0.29166666666667002</v>
      </c>
      <c r="U15" s="251">
        <f t="shared" ca="1" si="5"/>
        <v>0.29166666666666669</v>
      </c>
      <c r="V15" s="131"/>
      <c r="W15" s="214" t="e">
        <f t="shared" ca="1" si="8"/>
        <v>#REF!</v>
      </c>
      <c r="AB15" s="345">
        <f t="shared" si="9"/>
        <v>0</v>
      </c>
      <c r="AC15" s="345">
        <f t="shared" si="10"/>
        <v>0</v>
      </c>
    </row>
    <row r="16" spans="1:29" s="19" customFormat="1" ht="12" x14ac:dyDescent="0.2">
      <c r="A16" s="312">
        <f t="shared" si="6"/>
        <v>44451</v>
      </c>
      <c r="B16" s="129">
        <f t="shared" si="0"/>
        <v>44451</v>
      </c>
      <c r="C16" s="262" t="str">
        <f t="shared" si="1"/>
        <v/>
      </c>
      <c r="D16" s="358"/>
      <c r="E16" s="352"/>
      <c r="F16" s="255"/>
      <c r="G16" s="309"/>
      <c r="H16" s="309"/>
      <c r="I16" s="349">
        <f>IFERROR(VLOOKUP(D16&amp;G16,tbl_Entfernung[[Verketten]:[Entfernung]],2,FALSE),"")</f>
        <v>0</v>
      </c>
      <c r="J16" s="361"/>
      <c r="K16" s="352"/>
      <c r="L16" s="309"/>
      <c r="M16" s="309"/>
      <c r="N16" s="322">
        <f>IFERROR(VLOOKUP(G16&amp;L16,tbl_Entfernung[[Verketten]:[Entfernung]],2,FALSE),"")</f>
        <v>0</v>
      </c>
      <c r="O16" s="316">
        <f>IF(S16&gt;PauseGTime,PauseGWert,IF(S16&gt;PauseKTime,PauseKWert,IF(S16&lt;=PauseKTime,0,WENN)))</f>
        <v>0</v>
      </c>
      <c r="P16" s="364"/>
      <c r="Q16" s="356">
        <f t="shared" si="2"/>
        <v>0</v>
      </c>
      <c r="R16" s="225">
        <f t="shared" ca="1" si="3"/>
        <v>0</v>
      </c>
      <c r="S16" s="225">
        <f t="shared" si="7"/>
        <v>0</v>
      </c>
      <c r="T16" s="130">
        <f t="shared" ca="1" si="4"/>
        <v>0</v>
      </c>
      <c r="U16" s="251">
        <f t="shared" ca="1" si="5"/>
        <v>0</v>
      </c>
      <c r="V16" s="131"/>
      <c r="W16" s="214" t="e">
        <f t="shared" ca="1" si="8"/>
        <v>#REF!</v>
      </c>
      <c r="AB16" s="345">
        <f t="shared" si="9"/>
        <v>0</v>
      </c>
      <c r="AC16" s="345">
        <f t="shared" si="10"/>
        <v>0</v>
      </c>
    </row>
    <row r="17" spans="1:29" s="19" customFormat="1" ht="12" x14ac:dyDescent="0.2">
      <c r="A17" s="312">
        <f t="shared" si="6"/>
        <v>44452</v>
      </c>
      <c r="B17" s="129">
        <f t="shared" si="0"/>
        <v>44452</v>
      </c>
      <c r="C17" s="262" t="str">
        <f t="shared" si="1"/>
        <v/>
      </c>
      <c r="D17" s="358"/>
      <c r="E17" s="352"/>
      <c r="F17" s="255"/>
      <c r="G17" s="309"/>
      <c r="H17" s="309"/>
      <c r="I17" s="349">
        <f>IFERROR(VLOOKUP(D17&amp;G17,tbl_Entfernung[[Verketten]:[Entfernung]],2,FALSE),"")</f>
        <v>0</v>
      </c>
      <c r="J17" s="361"/>
      <c r="K17" s="352"/>
      <c r="L17" s="309"/>
      <c r="M17" s="309"/>
      <c r="N17" s="322">
        <f>IFERROR(VLOOKUP(G17&amp;L17,tbl_Entfernung[[Verketten]:[Entfernung]],2,FALSE),"")</f>
        <v>0</v>
      </c>
      <c r="O17" s="316">
        <f>IF(S17&gt;PauseGTime,PauseGWert,IF(S17&gt;PauseKTime,PauseKWert,IF(S17&lt;=PauseKTime,0,WENN)))</f>
        <v>0</v>
      </c>
      <c r="P17" s="364"/>
      <c r="Q17" s="356">
        <f t="shared" si="2"/>
        <v>0</v>
      </c>
      <c r="R17" s="225">
        <f t="shared" ca="1" si="3"/>
        <v>0</v>
      </c>
      <c r="S17" s="225">
        <f t="shared" si="7"/>
        <v>0</v>
      </c>
      <c r="T17" s="130">
        <f t="shared" ca="1" si="4"/>
        <v>0</v>
      </c>
      <c r="U17" s="251">
        <f t="shared" ca="1" si="5"/>
        <v>0</v>
      </c>
      <c r="V17" s="131"/>
      <c r="W17" s="214" t="e">
        <f t="shared" ca="1" si="8"/>
        <v>#REF!</v>
      </c>
      <c r="AB17" s="345">
        <f t="shared" si="9"/>
        <v>0</v>
      </c>
      <c r="AC17" s="345">
        <f t="shared" si="10"/>
        <v>0</v>
      </c>
    </row>
    <row r="18" spans="1:29" s="19" customFormat="1" ht="12" x14ac:dyDescent="0.2">
      <c r="A18" s="312">
        <f t="shared" si="6"/>
        <v>44453</v>
      </c>
      <c r="B18" s="129">
        <f t="shared" si="0"/>
        <v>44453</v>
      </c>
      <c r="C18" s="262" t="str">
        <f t="shared" si="1"/>
        <v/>
      </c>
      <c r="D18" s="358"/>
      <c r="E18" s="352"/>
      <c r="F18" s="255"/>
      <c r="G18" s="309"/>
      <c r="H18" s="309"/>
      <c r="I18" s="348">
        <f>IFERROR(VLOOKUP(D18&amp;G18,tbl_Entfernung[[Verketten]:[Entfernung]],2,FALSE),"")</f>
        <v>0</v>
      </c>
      <c r="J18" s="361"/>
      <c r="K18" s="352"/>
      <c r="L18" s="309"/>
      <c r="M18" s="309"/>
      <c r="N18" s="321">
        <f>IFERROR(VLOOKUP(G18&amp;L18,tbl_Entfernung[[Verketten]:[Entfernung]],2,FALSE),"")</f>
        <v>0</v>
      </c>
      <c r="O18" s="316">
        <f>IF(S18&gt;PauseGTime,PauseGWert,IF(S18&gt;PauseKTime,PauseKWert,IF(S18&lt;=PauseKTime,0,WENN)))</f>
        <v>0</v>
      </c>
      <c r="P18" s="364"/>
      <c r="Q18" s="356">
        <f t="shared" si="2"/>
        <v>0</v>
      </c>
      <c r="R18" s="225">
        <f t="shared" ca="1" si="3"/>
        <v>0.29166666666666669</v>
      </c>
      <c r="S18" s="225">
        <f t="shared" si="7"/>
        <v>0</v>
      </c>
      <c r="T18" s="130">
        <f t="shared" ca="1" si="4"/>
        <v>-0.29166666666667002</v>
      </c>
      <c r="U18" s="251">
        <f t="shared" ca="1" si="5"/>
        <v>0.29166666666666669</v>
      </c>
      <c r="V18" s="131"/>
      <c r="W18" s="214" t="e">
        <f t="shared" ca="1" si="8"/>
        <v>#REF!</v>
      </c>
      <c r="AB18" s="345">
        <f t="shared" si="9"/>
        <v>0</v>
      </c>
      <c r="AC18" s="345">
        <f t="shared" si="10"/>
        <v>0</v>
      </c>
    </row>
    <row r="19" spans="1:29" s="19" customFormat="1" ht="12" x14ac:dyDescent="0.2">
      <c r="A19" s="312">
        <f t="shared" si="6"/>
        <v>44454</v>
      </c>
      <c r="B19" s="129">
        <f t="shared" si="0"/>
        <v>44454</v>
      </c>
      <c r="C19" s="262" t="str">
        <f t="shared" si="1"/>
        <v/>
      </c>
      <c r="D19" s="358"/>
      <c r="E19" s="352"/>
      <c r="F19" s="255"/>
      <c r="G19" s="309"/>
      <c r="H19" s="309"/>
      <c r="I19" s="348">
        <f>IFERROR(VLOOKUP(D19&amp;G19,tbl_Entfernung[[Verketten]:[Entfernung]],2,FALSE),"")</f>
        <v>0</v>
      </c>
      <c r="J19" s="361"/>
      <c r="K19" s="352"/>
      <c r="L19" s="309"/>
      <c r="M19" s="309"/>
      <c r="N19" s="321">
        <f>IFERROR(VLOOKUP(G19&amp;L19,tbl_Entfernung[[Verketten]:[Entfernung]],2,FALSE),"")</f>
        <v>0</v>
      </c>
      <c r="O19" s="316">
        <f>IF(S19&gt;PauseGTime,PauseGWert,IF(S19&gt;PauseKTime,PauseKWert,IF(S19&lt;=PauseKTime,0,WENN)))</f>
        <v>0</v>
      </c>
      <c r="P19" s="364"/>
      <c r="Q19" s="356">
        <f t="shared" si="2"/>
        <v>0</v>
      </c>
      <c r="R19" s="225">
        <f t="shared" ca="1" si="3"/>
        <v>0.29166666666666669</v>
      </c>
      <c r="S19" s="225">
        <f t="shared" si="7"/>
        <v>0</v>
      </c>
      <c r="T19" s="130">
        <f t="shared" ca="1" si="4"/>
        <v>-0.29166666666667002</v>
      </c>
      <c r="U19" s="251">
        <f t="shared" ca="1" si="5"/>
        <v>0.29166666666666669</v>
      </c>
      <c r="V19" s="131"/>
      <c r="W19" s="214" t="e">
        <f t="shared" ca="1" si="8"/>
        <v>#REF!</v>
      </c>
      <c r="AB19" s="345">
        <f t="shared" si="9"/>
        <v>0</v>
      </c>
      <c r="AC19" s="345">
        <f t="shared" si="10"/>
        <v>0</v>
      </c>
    </row>
    <row r="20" spans="1:29" s="19" customFormat="1" ht="12" x14ac:dyDescent="0.2">
      <c r="A20" s="312">
        <f t="shared" si="6"/>
        <v>44455</v>
      </c>
      <c r="B20" s="129">
        <f t="shared" si="0"/>
        <v>44455</v>
      </c>
      <c r="C20" s="262" t="str">
        <f t="shared" si="1"/>
        <v/>
      </c>
      <c r="D20" s="358"/>
      <c r="E20" s="352"/>
      <c r="F20" s="255"/>
      <c r="G20" s="309"/>
      <c r="H20" s="309"/>
      <c r="I20" s="348">
        <f>IFERROR(VLOOKUP(D20&amp;G20,tbl_Entfernung[[Verketten]:[Entfernung]],2,FALSE),"")</f>
        <v>0</v>
      </c>
      <c r="J20" s="361"/>
      <c r="K20" s="352"/>
      <c r="L20" s="309"/>
      <c r="M20" s="309"/>
      <c r="N20" s="321">
        <f>IFERROR(VLOOKUP(G20&amp;L20,tbl_Entfernung[[Verketten]:[Entfernung]],2,FALSE),"")</f>
        <v>0</v>
      </c>
      <c r="O20" s="316">
        <f>IF(S20&gt;PauseGTime,PauseGWert,IF(S20&gt;PauseKTime,PauseKWert,IF(S20&lt;=PauseKTime,0,WENN)))</f>
        <v>0</v>
      </c>
      <c r="P20" s="364"/>
      <c r="Q20" s="356">
        <f t="shared" si="2"/>
        <v>0</v>
      </c>
      <c r="R20" s="225">
        <f t="shared" ca="1" si="3"/>
        <v>0.29166666666666669</v>
      </c>
      <c r="S20" s="225">
        <f t="shared" si="7"/>
        <v>0</v>
      </c>
      <c r="T20" s="130">
        <f t="shared" ca="1" si="4"/>
        <v>-0.29166666666667002</v>
      </c>
      <c r="U20" s="251">
        <f t="shared" ca="1" si="5"/>
        <v>0.29166666666666669</v>
      </c>
      <c r="V20" s="131"/>
      <c r="W20" s="214" t="e">
        <f t="shared" ca="1" si="8"/>
        <v>#REF!</v>
      </c>
      <c r="AB20" s="345">
        <f t="shared" si="9"/>
        <v>0</v>
      </c>
      <c r="AC20" s="345">
        <f t="shared" si="10"/>
        <v>0</v>
      </c>
    </row>
    <row r="21" spans="1:29" s="19" customFormat="1" ht="12" x14ac:dyDescent="0.2">
      <c r="A21" s="312">
        <f t="shared" si="6"/>
        <v>44456</v>
      </c>
      <c r="B21" s="129">
        <f t="shared" si="0"/>
        <v>44456</v>
      </c>
      <c r="C21" s="262" t="str">
        <f t="shared" si="1"/>
        <v/>
      </c>
      <c r="D21" s="358"/>
      <c r="E21" s="352"/>
      <c r="F21" s="255"/>
      <c r="G21" s="309"/>
      <c r="H21" s="309"/>
      <c r="I21" s="348">
        <f>IFERROR(VLOOKUP(D21&amp;G21,tbl_Entfernung[[Verketten]:[Entfernung]],2,FALSE),"")</f>
        <v>0</v>
      </c>
      <c r="J21" s="361"/>
      <c r="K21" s="352"/>
      <c r="L21" s="309"/>
      <c r="M21" s="309"/>
      <c r="N21" s="321">
        <f>IFERROR(VLOOKUP(G21&amp;L21,tbl_Entfernung[[Verketten]:[Entfernung]],2,FALSE),"")</f>
        <v>0</v>
      </c>
      <c r="O21" s="316">
        <f>IF(S21&gt;PauseGTime,PauseGWert,IF(S21&gt;PauseKTime,PauseKWert,IF(S21&lt;=PauseKTime,0,WENN)))</f>
        <v>0</v>
      </c>
      <c r="P21" s="364"/>
      <c r="Q21" s="356">
        <f t="shared" si="2"/>
        <v>0</v>
      </c>
      <c r="R21" s="225">
        <f t="shared" ca="1" si="3"/>
        <v>0.29166666666666669</v>
      </c>
      <c r="S21" s="225">
        <f t="shared" si="7"/>
        <v>0</v>
      </c>
      <c r="T21" s="130">
        <f t="shared" ca="1" si="4"/>
        <v>-0.29166666666667002</v>
      </c>
      <c r="U21" s="251">
        <f t="shared" ca="1" si="5"/>
        <v>0.29166666666666669</v>
      </c>
      <c r="V21" s="131"/>
      <c r="W21" s="214" t="e">
        <f t="shared" ca="1" si="8"/>
        <v>#REF!</v>
      </c>
      <c r="AB21" s="345">
        <f t="shared" si="9"/>
        <v>0</v>
      </c>
      <c r="AC21" s="345">
        <f t="shared" si="10"/>
        <v>0</v>
      </c>
    </row>
    <row r="22" spans="1:29" s="19" customFormat="1" ht="12" x14ac:dyDescent="0.2">
      <c r="A22" s="312">
        <f t="shared" si="6"/>
        <v>44457</v>
      </c>
      <c r="B22" s="129">
        <f t="shared" si="0"/>
        <v>44457</v>
      </c>
      <c r="C22" s="262" t="str">
        <f t="shared" si="1"/>
        <v/>
      </c>
      <c r="D22" s="358"/>
      <c r="E22" s="352"/>
      <c r="F22" s="255"/>
      <c r="G22" s="309"/>
      <c r="H22" s="309"/>
      <c r="I22" s="348">
        <f>IFERROR(VLOOKUP(D22&amp;G22,tbl_Entfernung[[Verketten]:[Entfernung]],2,FALSE),"")</f>
        <v>0</v>
      </c>
      <c r="J22" s="361"/>
      <c r="K22" s="352"/>
      <c r="L22" s="309"/>
      <c r="M22" s="309"/>
      <c r="N22" s="321">
        <f>IFERROR(VLOOKUP(G22&amp;L22,tbl_Entfernung[[Verketten]:[Entfernung]],2,FALSE),"")</f>
        <v>0</v>
      </c>
      <c r="O22" s="316">
        <f>IF(S22&gt;PauseGTime,PauseGWert,IF(S22&gt;PauseKTime,PauseKWert,IF(S22&lt;=PauseKTime,0,WENN)))</f>
        <v>0</v>
      </c>
      <c r="P22" s="364"/>
      <c r="Q22" s="356">
        <f t="shared" si="2"/>
        <v>0</v>
      </c>
      <c r="R22" s="225">
        <f t="shared" ca="1" si="3"/>
        <v>0.29166666666666669</v>
      </c>
      <c r="S22" s="225">
        <f t="shared" si="7"/>
        <v>0</v>
      </c>
      <c r="T22" s="130">
        <f t="shared" ca="1" si="4"/>
        <v>-0.29166666666667002</v>
      </c>
      <c r="U22" s="251">
        <f t="shared" ca="1" si="5"/>
        <v>0.29166666666666669</v>
      </c>
      <c r="V22" s="131"/>
      <c r="W22" s="214" t="e">
        <f t="shared" ca="1" si="8"/>
        <v>#REF!</v>
      </c>
      <c r="AB22" s="345">
        <f t="shared" si="9"/>
        <v>0</v>
      </c>
      <c r="AC22" s="345">
        <f t="shared" si="10"/>
        <v>0</v>
      </c>
    </row>
    <row r="23" spans="1:29" s="19" customFormat="1" ht="12" x14ac:dyDescent="0.2">
      <c r="A23" s="312">
        <f t="shared" si="6"/>
        <v>44458</v>
      </c>
      <c r="B23" s="129">
        <f t="shared" si="0"/>
        <v>44458</v>
      </c>
      <c r="C23" s="262" t="str">
        <f t="shared" si="1"/>
        <v/>
      </c>
      <c r="D23" s="358"/>
      <c r="E23" s="352"/>
      <c r="F23" s="255"/>
      <c r="G23" s="309"/>
      <c r="H23" s="309"/>
      <c r="I23" s="349">
        <f>IFERROR(VLOOKUP(D23&amp;G23,tbl_Entfernung[[Verketten]:[Entfernung]],2,FALSE),"")</f>
        <v>0</v>
      </c>
      <c r="J23" s="361"/>
      <c r="K23" s="352"/>
      <c r="L23" s="309"/>
      <c r="M23" s="309"/>
      <c r="N23" s="322">
        <f>IFERROR(VLOOKUP(G23&amp;L23,tbl_Entfernung[[Verketten]:[Entfernung]],2,FALSE),"")</f>
        <v>0</v>
      </c>
      <c r="O23" s="316">
        <f>IF(S23&gt;PauseGTime,PauseGWert,IF(S23&gt;PauseKTime,PauseKWert,IF(S23&lt;=PauseKTime,0,WENN)))</f>
        <v>0</v>
      </c>
      <c r="P23" s="364"/>
      <c r="Q23" s="356">
        <f t="shared" si="2"/>
        <v>0</v>
      </c>
      <c r="R23" s="225">
        <f t="shared" ca="1" si="3"/>
        <v>0</v>
      </c>
      <c r="S23" s="225">
        <f t="shared" si="7"/>
        <v>0</v>
      </c>
      <c r="T23" s="130">
        <f t="shared" ca="1" si="4"/>
        <v>0</v>
      </c>
      <c r="U23" s="251">
        <f t="shared" ca="1" si="5"/>
        <v>0</v>
      </c>
      <c r="V23" s="131"/>
      <c r="W23" s="214" t="e">
        <f t="shared" ca="1" si="8"/>
        <v>#REF!</v>
      </c>
      <c r="AB23" s="345">
        <f t="shared" si="9"/>
        <v>0</v>
      </c>
      <c r="AC23" s="345">
        <f t="shared" si="10"/>
        <v>0</v>
      </c>
    </row>
    <row r="24" spans="1:29" s="19" customFormat="1" ht="12" x14ac:dyDescent="0.2">
      <c r="A24" s="312">
        <f t="shared" si="6"/>
        <v>44459</v>
      </c>
      <c r="B24" s="129">
        <f t="shared" si="0"/>
        <v>44459</v>
      </c>
      <c r="C24" s="262" t="str">
        <f t="shared" si="1"/>
        <v/>
      </c>
      <c r="D24" s="358"/>
      <c r="E24" s="352"/>
      <c r="F24" s="255"/>
      <c r="G24" s="309"/>
      <c r="H24" s="309"/>
      <c r="I24" s="349">
        <f>IFERROR(VLOOKUP(D24&amp;G24,tbl_Entfernung[[Verketten]:[Entfernung]],2,FALSE),"")</f>
        <v>0</v>
      </c>
      <c r="J24" s="361"/>
      <c r="K24" s="352"/>
      <c r="L24" s="309"/>
      <c r="M24" s="309"/>
      <c r="N24" s="322">
        <f>IFERROR(VLOOKUP(G24&amp;L24,tbl_Entfernung[[Verketten]:[Entfernung]],2,FALSE),"")</f>
        <v>0</v>
      </c>
      <c r="O24" s="316">
        <f>IF(S24&gt;PauseGTime,PauseGWert,IF(S24&gt;PauseKTime,PauseKWert,IF(S24&lt;=PauseKTime,0,WENN)))</f>
        <v>0</v>
      </c>
      <c r="P24" s="364"/>
      <c r="Q24" s="356">
        <f t="shared" si="2"/>
        <v>0</v>
      </c>
      <c r="R24" s="225">
        <f t="shared" ca="1" si="3"/>
        <v>0</v>
      </c>
      <c r="S24" s="225">
        <f t="shared" si="7"/>
        <v>0</v>
      </c>
      <c r="T24" s="130">
        <f t="shared" ca="1" si="4"/>
        <v>0</v>
      </c>
      <c r="U24" s="251">
        <f t="shared" ca="1" si="5"/>
        <v>0</v>
      </c>
      <c r="V24" s="131"/>
      <c r="W24" s="214" t="e">
        <f t="shared" ca="1" si="8"/>
        <v>#REF!</v>
      </c>
      <c r="AB24" s="345">
        <f t="shared" si="9"/>
        <v>0</v>
      </c>
      <c r="AC24" s="345">
        <f t="shared" si="10"/>
        <v>0</v>
      </c>
    </row>
    <row r="25" spans="1:29" s="19" customFormat="1" ht="12" x14ac:dyDescent="0.2">
      <c r="A25" s="312">
        <f t="shared" si="6"/>
        <v>44460</v>
      </c>
      <c r="B25" s="129">
        <f t="shared" si="0"/>
        <v>44460</v>
      </c>
      <c r="C25" s="262" t="str">
        <f t="shared" si="1"/>
        <v/>
      </c>
      <c r="D25" s="358"/>
      <c r="E25" s="352"/>
      <c r="F25" s="255"/>
      <c r="G25" s="309"/>
      <c r="H25" s="309"/>
      <c r="I25" s="348">
        <f>IFERROR(VLOOKUP(D25&amp;G25,tbl_Entfernung[[Verketten]:[Entfernung]],2,FALSE),"")</f>
        <v>0</v>
      </c>
      <c r="J25" s="361"/>
      <c r="K25" s="352"/>
      <c r="L25" s="309"/>
      <c r="M25" s="309"/>
      <c r="N25" s="321">
        <f>IFERROR(VLOOKUP(G25&amp;L25,tbl_Entfernung[[Verketten]:[Entfernung]],2,FALSE),"")</f>
        <v>0</v>
      </c>
      <c r="O25" s="316">
        <f>IF(S25&gt;PauseGTime,PauseGWert,IF(S25&gt;PauseKTime,PauseKWert,IF(S25&lt;=PauseKTime,0,WENN)))</f>
        <v>0</v>
      </c>
      <c r="P25" s="364"/>
      <c r="Q25" s="356">
        <f t="shared" si="2"/>
        <v>0</v>
      </c>
      <c r="R25" s="225">
        <f t="shared" ca="1" si="3"/>
        <v>0.29166666666666669</v>
      </c>
      <c r="S25" s="225">
        <f t="shared" si="7"/>
        <v>0</v>
      </c>
      <c r="T25" s="130">
        <f t="shared" ca="1" si="4"/>
        <v>-0.29166666666667002</v>
      </c>
      <c r="U25" s="251">
        <f t="shared" ca="1" si="5"/>
        <v>0.29166666666666669</v>
      </c>
      <c r="V25" s="131"/>
      <c r="W25" s="214" t="e">
        <f t="shared" ca="1" si="8"/>
        <v>#REF!</v>
      </c>
      <c r="AB25" s="345">
        <f t="shared" si="9"/>
        <v>0</v>
      </c>
      <c r="AC25" s="345">
        <f t="shared" si="10"/>
        <v>0</v>
      </c>
    </row>
    <row r="26" spans="1:29" s="19" customFormat="1" ht="12" x14ac:dyDescent="0.2">
      <c r="A26" s="312">
        <f t="shared" si="6"/>
        <v>44461</v>
      </c>
      <c r="B26" s="129">
        <f t="shared" si="0"/>
        <v>44461</v>
      </c>
      <c r="C26" s="262" t="str">
        <f t="shared" si="1"/>
        <v/>
      </c>
      <c r="D26" s="358"/>
      <c r="E26" s="352"/>
      <c r="F26" s="255"/>
      <c r="G26" s="309"/>
      <c r="H26" s="309"/>
      <c r="I26" s="348">
        <f>IFERROR(VLOOKUP(D26&amp;G26,tbl_Entfernung[[Verketten]:[Entfernung]],2,FALSE),"")</f>
        <v>0</v>
      </c>
      <c r="J26" s="361"/>
      <c r="K26" s="352"/>
      <c r="L26" s="309"/>
      <c r="M26" s="309"/>
      <c r="N26" s="321">
        <f>IFERROR(VLOOKUP(G26&amp;L26,tbl_Entfernung[[Verketten]:[Entfernung]],2,FALSE),"")</f>
        <v>0</v>
      </c>
      <c r="O26" s="316">
        <f>IF(S26&gt;PauseGTime,PauseGWert,IF(S26&gt;PauseKTime,PauseKWert,IF(S26&lt;=PauseKTime,0,WENN)))</f>
        <v>0</v>
      </c>
      <c r="P26" s="364"/>
      <c r="Q26" s="356">
        <f t="shared" si="2"/>
        <v>0</v>
      </c>
      <c r="R26" s="225">
        <f t="shared" ca="1" si="3"/>
        <v>0.29166666666666669</v>
      </c>
      <c r="S26" s="225">
        <f t="shared" si="7"/>
        <v>0</v>
      </c>
      <c r="T26" s="130">
        <f t="shared" ca="1" si="4"/>
        <v>-0.29166666666667002</v>
      </c>
      <c r="U26" s="251">
        <f t="shared" ca="1" si="5"/>
        <v>0.29166666666666669</v>
      </c>
      <c r="V26" s="131"/>
      <c r="W26" s="214" t="e">
        <f t="shared" ca="1" si="8"/>
        <v>#REF!</v>
      </c>
      <c r="AB26" s="345">
        <f t="shared" si="9"/>
        <v>0</v>
      </c>
      <c r="AC26" s="345">
        <f t="shared" si="10"/>
        <v>0</v>
      </c>
    </row>
    <row r="27" spans="1:29" s="19" customFormat="1" ht="12" x14ac:dyDescent="0.2">
      <c r="A27" s="312">
        <f t="shared" si="6"/>
        <v>44462</v>
      </c>
      <c r="B27" s="129">
        <f t="shared" si="0"/>
        <v>44462</v>
      </c>
      <c r="C27" s="262" t="str">
        <f t="shared" si="1"/>
        <v/>
      </c>
      <c r="D27" s="358"/>
      <c r="E27" s="352"/>
      <c r="F27" s="255"/>
      <c r="G27" s="309"/>
      <c r="H27" s="309"/>
      <c r="I27" s="348">
        <f>IFERROR(VLOOKUP(D27&amp;G27,tbl_Entfernung[[Verketten]:[Entfernung]],2,FALSE),"")</f>
        <v>0</v>
      </c>
      <c r="J27" s="361"/>
      <c r="K27" s="352"/>
      <c r="L27" s="309"/>
      <c r="M27" s="309"/>
      <c r="N27" s="321">
        <f>IFERROR(VLOOKUP(G27&amp;L27,tbl_Entfernung[[Verketten]:[Entfernung]],2,FALSE),"")</f>
        <v>0</v>
      </c>
      <c r="O27" s="316">
        <f>IF(S27&gt;PauseGTime,PauseGWert,IF(S27&gt;PauseKTime,PauseKWert,IF(S27&lt;=PauseKTime,0,WENN)))</f>
        <v>0</v>
      </c>
      <c r="P27" s="364"/>
      <c r="Q27" s="356">
        <f t="shared" si="2"/>
        <v>0</v>
      </c>
      <c r="R27" s="225">
        <f t="shared" ca="1" si="3"/>
        <v>0.29166666666666669</v>
      </c>
      <c r="S27" s="225">
        <f t="shared" si="7"/>
        <v>0</v>
      </c>
      <c r="T27" s="130">
        <f t="shared" ca="1" si="4"/>
        <v>-0.29166666666667002</v>
      </c>
      <c r="U27" s="251">
        <f t="shared" ca="1" si="5"/>
        <v>0.29166666666666669</v>
      </c>
      <c r="V27" s="131"/>
      <c r="W27" s="214" t="e">
        <f t="shared" ca="1" si="8"/>
        <v>#REF!</v>
      </c>
      <c r="AB27" s="345">
        <f t="shared" si="9"/>
        <v>0</v>
      </c>
      <c r="AC27" s="345">
        <f t="shared" si="10"/>
        <v>0</v>
      </c>
    </row>
    <row r="28" spans="1:29" s="19" customFormat="1" ht="12" x14ac:dyDescent="0.2">
      <c r="A28" s="312">
        <f t="shared" si="6"/>
        <v>44463</v>
      </c>
      <c r="B28" s="129">
        <f t="shared" si="0"/>
        <v>44463</v>
      </c>
      <c r="C28" s="262" t="str">
        <f t="shared" si="1"/>
        <v/>
      </c>
      <c r="D28" s="358"/>
      <c r="E28" s="352"/>
      <c r="F28" s="255"/>
      <c r="G28" s="309"/>
      <c r="H28" s="309"/>
      <c r="I28" s="348">
        <f>IFERROR(VLOOKUP(D28&amp;G28,tbl_Entfernung[[Verketten]:[Entfernung]],2,FALSE),"")</f>
        <v>0</v>
      </c>
      <c r="J28" s="361"/>
      <c r="K28" s="352"/>
      <c r="L28" s="309"/>
      <c r="M28" s="309"/>
      <c r="N28" s="321">
        <f>IFERROR(VLOOKUP(G28&amp;L28,tbl_Entfernung[[Verketten]:[Entfernung]],2,FALSE),"")</f>
        <v>0</v>
      </c>
      <c r="O28" s="316">
        <f>IF(S28&gt;PauseGTime,PauseGWert,IF(S28&gt;PauseKTime,PauseKWert,IF(S28&lt;=PauseKTime,0,WENN)))</f>
        <v>0</v>
      </c>
      <c r="P28" s="364"/>
      <c r="Q28" s="356">
        <f t="shared" si="2"/>
        <v>0</v>
      </c>
      <c r="R28" s="225">
        <f t="shared" ca="1" si="3"/>
        <v>0.29166666666666669</v>
      </c>
      <c r="S28" s="225">
        <f t="shared" si="7"/>
        <v>0</v>
      </c>
      <c r="T28" s="130">
        <f t="shared" ca="1" si="4"/>
        <v>-0.29166666666667002</v>
      </c>
      <c r="U28" s="251">
        <f t="shared" ca="1" si="5"/>
        <v>0.29166666666666669</v>
      </c>
      <c r="V28" s="131"/>
      <c r="W28" s="214" t="e">
        <f t="shared" ca="1" si="8"/>
        <v>#REF!</v>
      </c>
      <c r="AB28" s="345">
        <f t="shared" si="9"/>
        <v>0</v>
      </c>
      <c r="AC28" s="345">
        <f t="shared" si="10"/>
        <v>0</v>
      </c>
    </row>
    <row r="29" spans="1:29" s="19" customFormat="1" ht="12" x14ac:dyDescent="0.2">
      <c r="A29" s="312">
        <f t="shared" si="6"/>
        <v>44464</v>
      </c>
      <c r="B29" s="129">
        <f t="shared" si="0"/>
        <v>44464</v>
      </c>
      <c r="C29" s="262" t="str">
        <f t="shared" si="1"/>
        <v/>
      </c>
      <c r="D29" s="358"/>
      <c r="E29" s="352"/>
      <c r="F29" s="255"/>
      <c r="G29" s="309"/>
      <c r="H29" s="309"/>
      <c r="I29" s="348">
        <f>IFERROR(VLOOKUP(D29&amp;G29,tbl_Entfernung[[Verketten]:[Entfernung]],2,FALSE),"")</f>
        <v>0</v>
      </c>
      <c r="J29" s="361"/>
      <c r="K29" s="352"/>
      <c r="L29" s="309"/>
      <c r="M29" s="309"/>
      <c r="N29" s="321">
        <f>IFERROR(VLOOKUP(G29&amp;L29,tbl_Entfernung[[Verketten]:[Entfernung]],2,FALSE),"")</f>
        <v>0</v>
      </c>
      <c r="O29" s="316">
        <f>IF(S29&gt;PauseGTime,PauseGWert,IF(S29&gt;PauseKTime,PauseKWert,IF(S29&lt;=PauseKTime,0,WENN)))</f>
        <v>0</v>
      </c>
      <c r="P29" s="364"/>
      <c r="Q29" s="356">
        <f t="shared" si="2"/>
        <v>0</v>
      </c>
      <c r="R29" s="225">
        <f t="shared" ca="1" si="3"/>
        <v>0.29166666666666669</v>
      </c>
      <c r="S29" s="225">
        <f t="shared" si="7"/>
        <v>0</v>
      </c>
      <c r="T29" s="130">
        <f t="shared" ca="1" si="4"/>
        <v>-0.29166666666667002</v>
      </c>
      <c r="U29" s="251">
        <f t="shared" ca="1" si="5"/>
        <v>0.29166666666666669</v>
      </c>
      <c r="V29" s="131"/>
      <c r="W29" s="214" t="e">
        <f t="shared" ca="1" si="8"/>
        <v>#REF!</v>
      </c>
      <c r="AB29" s="345">
        <f t="shared" si="9"/>
        <v>0</v>
      </c>
      <c r="AC29" s="345">
        <f t="shared" si="10"/>
        <v>0</v>
      </c>
    </row>
    <row r="30" spans="1:29" s="19" customFormat="1" ht="12" x14ac:dyDescent="0.2">
      <c r="A30" s="312">
        <f t="shared" si="6"/>
        <v>44465</v>
      </c>
      <c r="B30" s="129">
        <f t="shared" si="0"/>
        <v>44465</v>
      </c>
      <c r="C30" s="262" t="str">
        <f t="shared" si="1"/>
        <v/>
      </c>
      <c r="D30" s="358"/>
      <c r="E30" s="352"/>
      <c r="F30" s="255"/>
      <c r="G30" s="309"/>
      <c r="H30" s="309"/>
      <c r="I30" s="349">
        <f>IFERROR(VLOOKUP(D30&amp;G30,tbl_Entfernung[[Verketten]:[Entfernung]],2,FALSE),"")</f>
        <v>0</v>
      </c>
      <c r="J30" s="361"/>
      <c r="K30" s="352"/>
      <c r="L30" s="309"/>
      <c r="M30" s="309"/>
      <c r="N30" s="322">
        <f>IFERROR(VLOOKUP(G30&amp;L30,tbl_Entfernung[[Verketten]:[Entfernung]],2,FALSE),"")</f>
        <v>0</v>
      </c>
      <c r="O30" s="316">
        <f>IF(S30&gt;PauseGTime,PauseGWert,IF(S30&gt;PauseKTime,PauseKWert,IF(S30&lt;=PauseKTime,0,WENN)))</f>
        <v>0</v>
      </c>
      <c r="P30" s="364"/>
      <c r="Q30" s="356">
        <f t="shared" si="2"/>
        <v>0</v>
      </c>
      <c r="R30" s="225">
        <f t="shared" ca="1" si="3"/>
        <v>0</v>
      </c>
      <c r="S30" s="225">
        <f t="shared" si="7"/>
        <v>0</v>
      </c>
      <c r="T30" s="130">
        <f t="shared" ca="1" si="4"/>
        <v>0</v>
      </c>
      <c r="U30" s="251">
        <f t="shared" ca="1" si="5"/>
        <v>0</v>
      </c>
      <c r="V30" s="131"/>
      <c r="W30" s="214" t="e">
        <f t="shared" ca="1" si="8"/>
        <v>#REF!</v>
      </c>
      <c r="AB30" s="345">
        <f t="shared" si="9"/>
        <v>0</v>
      </c>
      <c r="AC30" s="345">
        <f t="shared" si="10"/>
        <v>0</v>
      </c>
    </row>
    <row r="31" spans="1:29" s="19" customFormat="1" ht="12" x14ac:dyDescent="0.2">
      <c r="A31" s="312">
        <f t="shared" si="6"/>
        <v>44466</v>
      </c>
      <c r="B31" s="129">
        <f t="shared" si="0"/>
        <v>44466</v>
      </c>
      <c r="C31" s="262" t="str">
        <f t="shared" si="1"/>
        <v/>
      </c>
      <c r="D31" s="358"/>
      <c r="E31" s="352"/>
      <c r="F31" s="255"/>
      <c r="G31" s="309"/>
      <c r="H31" s="309"/>
      <c r="I31" s="349">
        <f>IFERROR(VLOOKUP(D31&amp;G31,tbl_Entfernung[[Verketten]:[Entfernung]],2,FALSE),"")</f>
        <v>0</v>
      </c>
      <c r="J31" s="361"/>
      <c r="K31" s="352"/>
      <c r="L31" s="309"/>
      <c r="M31" s="309"/>
      <c r="N31" s="322">
        <f>IFERROR(VLOOKUP(G31&amp;L31,tbl_Entfernung[[Verketten]:[Entfernung]],2,FALSE),"")</f>
        <v>0</v>
      </c>
      <c r="O31" s="316">
        <f>IF(S31&gt;PauseGTime,PauseGWert,IF(S31&gt;PauseKTime,PauseKWert,IF(S31&lt;=PauseKTime,0,WENN)))</f>
        <v>0</v>
      </c>
      <c r="P31" s="364"/>
      <c r="Q31" s="356">
        <f t="shared" si="2"/>
        <v>0</v>
      </c>
      <c r="R31" s="225">
        <f t="shared" ca="1" si="3"/>
        <v>0</v>
      </c>
      <c r="S31" s="225">
        <f t="shared" si="7"/>
        <v>0</v>
      </c>
      <c r="T31" s="130">
        <f t="shared" ca="1" si="4"/>
        <v>0</v>
      </c>
      <c r="U31" s="251">
        <f t="shared" ca="1" si="5"/>
        <v>0</v>
      </c>
      <c r="V31" s="131"/>
      <c r="W31" s="214" t="e">
        <f t="shared" ca="1" si="8"/>
        <v>#REF!</v>
      </c>
      <c r="AB31" s="345">
        <f t="shared" si="9"/>
        <v>0</v>
      </c>
      <c r="AC31" s="345">
        <f t="shared" si="10"/>
        <v>0</v>
      </c>
    </row>
    <row r="32" spans="1:29" s="19" customFormat="1" ht="12" x14ac:dyDescent="0.2">
      <c r="A32" s="312">
        <f>IF(MONTH(A31+1)&gt;MONTH(A31),"",A31+1)</f>
        <v>44467</v>
      </c>
      <c r="B32" s="129">
        <f t="shared" si="0"/>
        <v>44467</v>
      </c>
      <c r="C32" s="262" t="str">
        <f>IF(ISERROR(VLOOKUP(A32,Feiertage,2,FALSE)),"",(VLOOKUP(A32,Feiertage,2,FALSE)))</f>
        <v/>
      </c>
      <c r="D32" s="358"/>
      <c r="E32" s="352"/>
      <c r="F32" s="255"/>
      <c r="G32" s="309"/>
      <c r="H32" s="309"/>
      <c r="I32" s="349">
        <f>IFERROR(VLOOKUP(D32&amp;G32,tbl_Entfernung[[Verketten]:[Entfernung]],2,FALSE),"")</f>
        <v>0</v>
      </c>
      <c r="J32" s="361"/>
      <c r="K32" s="352"/>
      <c r="L32" s="309"/>
      <c r="M32" s="309"/>
      <c r="N32" s="322">
        <f>IFERROR(VLOOKUP(G32&amp;L32,tbl_Entfernung[[Verketten]:[Entfernung]],2,FALSE),"")</f>
        <v>0</v>
      </c>
      <c r="O32" s="316">
        <f>IF(S32&gt;PauseGTime,PauseGWert,IF(S32&gt;PauseKTime,PauseKWert,IF(S32&lt;=PauseKTime,0,WENN)))</f>
        <v>0</v>
      </c>
      <c r="P32" s="364"/>
      <c r="Q32" s="356">
        <f t="shared" si="2"/>
        <v>0</v>
      </c>
      <c r="R32" s="225">
        <f t="shared" ca="1" si="3"/>
        <v>0.29166666666666669</v>
      </c>
      <c r="S32" s="225">
        <f t="shared" si="7"/>
        <v>0</v>
      </c>
      <c r="T32" s="130">
        <f t="shared" ca="1" si="4"/>
        <v>-0.29166666666667002</v>
      </c>
      <c r="U32" s="251">
        <f t="shared" ca="1" si="5"/>
        <v>0.29166666666666669</v>
      </c>
      <c r="V32" s="131"/>
      <c r="W32" s="214" t="e">
        <f t="shared" ca="1" si="8"/>
        <v>#REF!</v>
      </c>
      <c r="AB32" s="345">
        <f t="shared" si="9"/>
        <v>0</v>
      </c>
      <c r="AC32" s="345">
        <f t="shared" si="10"/>
        <v>0</v>
      </c>
    </row>
    <row r="33" spans="1:29" s="19" customFormat="1" ht="12" x14ac:dyDescent="0.2">
      <c r="A33" s="312">
        <f>IF(MONTH(A31+2)&gt;MONTH(A31),"",A31+2)</f>
        <v>44468</v>
      </c>
      <c r="B33" s="129">
        <f t="shared" si="0"/>
        <v>44468</v>
      </c>
      <c r="C33" s="262" t="str">
        <f>IF(ISERROR(VLOOKUP(A33,Feiertage,2,FALSE)),"",(VLOOKUP(A33,Feiertage,2,FALSE)))</f>
        <v/>
      </c>
      <c r="D33" s="358"/>
      <c r="E33" s="352"/>
      <c r="F33" s="255"/>
      <c r="G33" s="309"/>
      <c r="H33" s="309"/>
      <c r="I33" s="349">
        <f>IFERROR(VLOOKUP(D33&amp;G33,tbl_Entfernung[[Verketten]:[Entfernung]],2,FALSE),"")</f>
        <v>0</v>
      </c>
      <c r="J33" s="361"/>
      <c r="K33" s="352"/>
      <c r="L33" s="309"/>
      <c r="M33" s="309"/>
      <c r="N33" s="322">
        <f>IFERROR(VLOOKUP(G33&amp;L33,tbl_Entfernung[[Verketten]:[Entfernung]],2,FALSE),"")</f>
        <v>0</v>
      </c>
      <c r="O33" s="316">
        <f>IF(S33&gt;PauseGTime,PauseGWert,IF(S33&gt;PauseKTime,PauseKWert,IF(S33&lt;=PauseKTime,0,WENN)))</f>
        <v>0</v>
      </c>
      <c r="P33" s="364"/>
      <c r="Q33" s="356">
        <f t="shared" si="2"/>
        <v>0</v>
      </c>
      <c r="R33" s="225">
        <f t="shared" ca="1" si="3"/>
        <v>0.29166666666666669</v>
      </c>
      <c r="S33" s="225">
        <f t="shared" si="7"/>
        <v>0</v>
      </c>
      <c r="T33" s="130">
        <f t="shared" ca="1" si="4"/>
        <v>-0.29166666666667002</v>
      </c>
      <c r="U33" s="251">
        <f t="shared" ca="1" si="5"/>
        <v>0.29166666666666669</v>
      </c>
      <c r="V33" s="131"/>
      <c r="W33" s="214" t="e">
        <f t="shared" ca="1" si="8"/>
        <v>#REF!</v>
      </c>
      <c r="AB33" s="345">
        <f t="shared" si="9"/>
        <v>0</v>
      </c>
      <c r="AC33" s="345">
        <f t="shared" si="10"/>
        <v>0</v>
      </c>
    </row>
    <row r="34" spans="1:29" s="19" customFormat="1" ht="12" x14ac:dyDescent="0.2">
      <c r="A34" s="313" t="str">
        <f>IF(MONTH(A31+3)&gt;MONTH(A31),"",A31+3)</f>
        <v/>
      </c>
      <c r="B34" s="215" t="str">
        <f t="shared" si="0"/>
        <v/>
      </c>
      <c r="C34" s="263" t="str">
        <f>IF(ISERROR(VLOOKUP(A34,Feiertage,2,FALSE)),"",(VLOOKUP(A34,Feiertage,2,FALSE)))</f>
        <v/>
      </c>
      <c r="D34" s="359"/>
      <c r="E34" s="353"/>
      <c r="F34" s="256"/>
      <c r="G34" s="310"/>
      <c r="H34" s="310"/>
      <c r="I34" s="350">
        <f>IFERROR(VLOOKUP(D34&amp;G34,tbl_Entfernung[[Verketten]:[Entfernung]],2,FALSE),"")</f>
        <v>0</v>
      </c>
      <c r="J34" s="362"/>
      <c r="K34" s="354"/>
      <c r="L34" s="310"/>
      <c r="M34" s="310"/>
      <c r="N34" s="323">
        <f>IFERROR(VLOOKUP(G34&amp;L34,tbl_Entfernung[[Verketten]:[Entfernung]],2,FALSE),"")</f>
        <v>0</v>
      </c>
      <c r="O34" s="317">
        <f>IF(S34&gt;PauseGTime,PauseGWert,IF(S34&gt;PauseKTime,PauseKWert,IF(S34&lt;=PauseKTime,0,WENN)))</f>
        <v>0</v>
      </c>
      <c r="P34" s="365"/>
      <c r="Q34" s="357">
        <f t="shared" si="2"/>
        <v>0</v>
      </c>
      <c r="R34" s="226">
        <f t="shared" si="3"/>
        <v>0</v>
      </c>
      <c r="S34" s="226">
        <f t="shared" si="7"/>
        <v>0</v>
      </c>
      <c r="T34" s="216">
        <f t="shared" si="4"/>
        <v>0</v>
      </c>
      <c r="U34" s="252">
        <f t="shared" ca="1" si="5"/>
        <v>0</v>
      </c>
      <c r="V34" s="217"/>
      <c r="W34" s="218" t="str">
        <f t="shared" si="8"/>
        <v/>
      </c>
      <c r="AB34" s="345">
        <f t="shared" si="9"/>
        <v>0</v>
      </c>
      <c r="AC34" s="345">
        <f t="shared" si="10"/>
        <v>0</v>
      </c>
    </row>
    <row r="35" spans="1:29" s="19" customFormat="1" ht="4.5" customHeight="1" x14ac:dyDescent="0.2">
      <c r="B35" s="48"/>
      <c r="C35" s="48"/>
      <c r="D35" s="48"/>
      <c r="E35" s="48"/>
      <c r="F35" s="49"/>
      <c r="G35" s="49"/>
      <c r="H35" s="49"/>
      <c r="I35" s="49"/>
      <c r="J35" s="49"/>
      <c r="K35" s="49"/>
      <c r="L35" s="50"/>
      <c r="M35" s="50"/>
      <c r="N35" s="50"/>
      <c r="O35" s="50"/>
      <c r="P35" s="50"/>
      <c r="Q35" s="49"/>
      <c r="R35" s="51"/>
      <c r="S35" s="51"/>
      <c r="T35" s="51"/>
      <c r="U35" s="1"/>
      <c r="V35" s="1"/>
      <c r="W35" s="1"/>
    </row>
    <row r="36" spans="1:29" ht="12.75" customHeight="1" x14ac:dyDescent="0.2">
      <c r="A36" s="132"/>
      <c r="B36" s="133"/>
      <c r="C36" s="133"/>
      <c r="D36" s="290"/>
      <c r="E36" s="272"/>
      <c r="F36" s="291" t="str">
        <f>"Übertrag "&amp;TEXT(DATE(YEAR(A1),MONTH(A1)-1,1),"MMMM JJJJ")&amp;":"</f>
        <v>Übertrag August 2025:</v>
      </c>
      <c r="G36" s="272"/>
      <c r="H36" s="272"/>
      <c r="I36" s="272"/>
      <c r="J36" s="292" t="e">
        <f ca="1">August!J40</f>
        <v>#REF!</v>
      </c>
      <c r="K36" s="287"/>
      <c r="P36" s="293">
        <f>COUNTIF(P4:P34,Voreinstellungen!B21)+IF(COUNTIF(P4:P34,Voreinstellungen!B22)&gt;0,1-(SUMIF(P4:P34,Voreinstellungen!B22,R4:R34)/SUMIF(P4:P34,Voreinstellungen!B22,U4:U34)),0)</f>
        <v>0</v>
      </c>
      <c r="Q36" s="325" t="str">
        <f>Voreinstellungen!A21&amp;" ("&amp;Voreinstellungen!B21&amp;"/"&amp;Voreinstellungen!B22&amp;")"</f>
        <v>Krank (K/KK)</v>
      </c>
      <c r="R36" s="326"/>
      <c r="S36" s="326"/>
      <c r="T36" s="326"/>
      <c r="U36" s="326"/>
      <c r="V36" s="326"/>
      <c r="W36" s="173">
        <f>(SUMIF(P4:P34,Voreinstellungen!B21,R4:R34)-SUMIF(P4:P34,Voreinstellungen!B21,U4:U34)+SUMIF(P4:P34,Voreinstellungen!B22,R4:R34)-SUMIF(P4:P34,Voreinstellungen!B22,U4:U34))*-1</f>
        <v>0</v>
      </c>
      <c r="Y36" s="372" t="s">
        <v>145</v>
      </c>
      <c r="Z36" s="385" t="s">
        <v>150</v>
      </c>
      <c r="AA36" s="385" t="s">
        <v>151</v>
      </c>
      <c r="AB36" s="386" t="s">
        <v>152</v>
      </c>
    </row>
    <row r="37" spans="1:29" ht="12.75" customHeight="1" x14ac:dyDescent="0.2">
      <c r="A37" s="134"/>
      <c r="B37" s="135"/>
      <c r="C37" s="135"/>
      <c r="D37" s="135"/>
      <c r="E37" s="136"/>
      <c r="F37" s="294" t="str">
        <f>"SOLL Arbeitszeit ("&amp;TEXT(A1,"MMMM")&amp;"):"</f>
        <v>SOLL Arbeitszeit (September):</v>
      </c>
      <c r="G37" s="136"/>
      <c r="H37" s="136"/>
      <c r="I37" s="136"/>
      <c r="J37" s="295">
        <f ca="1">SUM(R4:R34)</f>
        <v>6.4166666666666687</v>
      </c>
      <c r="K37" s="287"/>
      <c r="P37" s="296">
        <f>COUNTIF(P4:P34,Voreinstellungen!B25)+(COUNTIF(P4:P34,Voreinstellungen!B26)*Voreinstellungen!C26)</f>
        <v>0</v>
      </c>
      <c r="Q37" s="327" t="str">
        <f>Voreinstellungen!A25&amp;" ("&amp;Voreinstellungen!B25&amp;"/"&amp;Voreinstellungen!B26&amp;") aktuell noch Verfügbar: "&amp;Voreinstellungen!C38&amp;" Tag(e)"</f>
        <v>Urlaub (U/UH) aktuell noch Verfügbar: 27 Tag(e)</v>
      </c>
      <c r="R37" s="328"/>
      <c r="S37" s="328"/>
      <c r="T37" s="328"/>
      <c r="U37" s="328"/>
      <c r="V37" s="328"/>
      <c r="W37" s="167">
        <f>SUMIF(P4:P34,Voreinstellungen!B25,U4:U34)+(SUMIF(P4:P34,Voreinstellungen!B26,U4:U34)*0.5)</f>
        <v>0</v>
      </c>
      <c r="Y37" s="374">
        <f>Voreinstellungen!J45</f>
        <v>0</v>
      </c>
      <c r="Z37" s="377">
        <f t="shared" ref="Z37:Z49" si="11">SUMIFS($AB$4:$AB$34,$G$4:$G$34,$Y37)+SUMIFS($AC$4:$AC$34,$L$4:$L$34,$Y37)</f>
        <v>0</v>
      </c>
      <c r="AA37" s="378">
        <f t="shared" ref="AA37:AA49" si="12">SUMIFS($I$4:$I$34,$G$4:$G$34,$Y37)+SUMIFS($N$4:$N$34,$L$4:$L$34,$Y37)</f>
        <v>0</v>
      </c>
      <c r="AB37" s="379">
        <f>SUM(AA37*Voreinstellungen!$C$44)</f>
        <v>0</v>
      </c>
    </row>
    <row r="38" spans="1:29" ht="12.75" customHeight="1" x14ac:dyDescent="0.2">
      <c r="A38" s="137"/>
      <c r="B38" s="138"/>
      <c r="C38" s="138"/>
      <c r="D38" s="138"/>
      <c r="E38" s="136"/>
      <c r="F38" s="294" t="str">
        <f>"IST Arbeitszeit ("&amp;TEXT(A1,"MMMM")&amp;"):"</f>
        <v>IST Arbeitszeit (September):</v>
      </c>
      <c r="G38" s="273"/>
      <c r="H38" s="273"/>
      <c r="I38" s="273"/>
      <c r="J38" s="297">
        <f>SUM(Q4:Q34)</f>
        <v>0</v>
      </c>
      <c r="K38" s="287"/>
      <c r="P38" s="296">
        <f>COUNTIF(P4:P34,Voreinstellungen!B20)</f>
        <v>0</v>
      </c>
      <c r="Q38" s="327" t="str">
        <f>Voreinstellungen!A20&amp;" ("&amp;Voreinstellungen!B20&amp;")"</f>
        <v>Gleittag (G)</v>
      </c>
      <c r="R38" s="328"/>
      <c r="S38" s="328"/>
      <c r="T38" s="328"/>
      <c r="U38" s="328"/>
      <c r="V38" s="328"/>
      <c r="W38" s="172"/>
      <c r="Y38" s="375">
        <f>Voreinstellungen!J46</f>
        <v>0</v>
      </c>
      <c r="Z38" s="380">
        <f t="shared" si="11"/>
        <v>0</v>
      </c>
      <c r="AA38" s="380">
        <f t="shared" si="12"/>
        <v>0</v>
      </c>
      <c r="AB38" s="381">
        <f>SUM(AA38*Voreinstellungen!$C$44)</f>
        <v>0</v>
      </c>
    </row>
    <row r="39" spans="1:29" ht="12.75" customHeight="1" x14ac:dyDescent="0.2">
      <c r="A39" s="137"/>
      <c r="B39" s="138"/>
      <c r="C39" s="138"/>
      <c r="D39" s="138"/>
      <c r="E39" s="136"/>
      <c r="F39" s="136" t="s">
        <v>84</v>
      </c>
      <c r="G39" s="274"/>
      <c r="H39" s="274"/>
      <c r="I39" s="274"/>
      <c r="J39" s="298"/>
      <c r="K39" s="287"/>
      <c r="P39" s="296">
        <f>COUNTIF(P4:P34,Voreinstellungen!B23)+IF(SUMIF(P4:P34,Voreinstellungen!B24,U4:U34)&lt;&gt;0,(1-(SUMIF(P4:P34,Voreinstellungen!B24,R4:R34)/SUMIF(P4:P34,Voreinstellungen!B24,U4:U34)))*COUNTIF(P4:P34,Voreinstellungen!B24),0)</f>
        <v>0</v>
      </c>
      <c r="Q39" s="327" t="str">
        <f>Voreinstellungen!A23&amp;" ("&amp;Voreinstellungen!B23&amp;")/("&amp;Voreinstellungen!B24&amp;")"</f>
        <v>Kurzarbeit (KU)/(KA)</v>
      </c>
      <c r="R39" s="329"/>
      <c r="S39" s="329"/>
      <c r="T39" s="329"/>
      <c r="U39" s="329"/>
      <c r="V39" s="329"/>
      <c r="W39" s="166">
        <f>(SUMIF(P4:P34,Voreinstellungen!B23,R4:R34)-SUMIF(P4:P34,Voreinstellungen!B23,U4:U34)+SUMIF(P4:P34,Voreinstellungen!B24,R4:R34)-SUMIF(P4:P34,Voreinstellungen!B24,U4:U34))*-1</f>
        <v>0</v>
      </c>
      <c r="Y39" s="375">
        <f>Voreinstellungen!J48</f>
        <v>0</v>
      </c>
      <c r="Z39" s="380">
        <f t="shared" si="11"/>
        <v>0</v>
      </c>
      <c r="AA39" s="380">
        <f t="shared" si="12"/>
        <v>0</v>
      </c>
      <c r="AB39" s="381">
        <f>SUM(AA39*Voreinstellungen!$C$44)</f>
        <v>0</v>
      </c>
    </row>
    <row r="40" spans="1:29" ht="12.75" customHeight="1" x14ac:dyDescent="0.2">
      <c r="A40" s="139"/>
      <c r="B40" s="140"/>
      <c r="C40" s="140"/>
      <c r="D40" s="140"/>
      <c r="E40" s="141"/>
      <c r="F40" s="299" t="s">
        <v>85</v>
      </c>
      <c r="G40" s="275"/>
      <c r="H40" s="275"/>
      <c r="I40" s="275"/>
      <c r="J40" s="300" t="e">
        <f ca="1">ROUND(J38+J36-J39-J37,14)</f>
        <v>#REF!</v>
      </c>
      <c r="K40" s="287"/>
      <c r="P40" s="296">
        <f>COUNTIF(Q4:Q34,"&gt;0")-IF(Voreinstellungen!C28="XTRA",COUNTIF(P4:P34,Voreinstellungen!B28),0)-IF(Voreinstellungen!C29="XTRA",COUNTIF(P4:P34,Voreinstellungen!B29),0)-IF(Voreinstellungen!C30="XTRA",COUNTIF(P4:P34,Voreinstellungen!B30),0)-IF(Voreinstellungen!C31="XTRA",COUNTIF(P4:P34,Voreinstellungen!B31),0)-IF(Voreinstellungen!C32="XTRA",COUNTIF(P4:P34,Voreinstellungen!B32),0)-IF(Voreinstellungen!C33="XTRA",COUNTIF(P4:P34,Voreinstellungen!B33),0)-COUNTIF(P4:P34,"H")</f>
        <v>0</v>
      </c>
      <c r="Q40" s="327" t="s">
        <v>86</v>
      </c>
      <c r="R40" s="328"/>
      <c r="S40" s="328"/>
      <c r="T40" s="328"/>
      <c r="U40" s="328"/>
      <c r="V40" s="328"/>
      <c r="W40" s="234"/>
      <c r="Y40" s="375">
        <f>Voreinstellungen!J49</f>
        <v>0</v>
      </c>
      <c r="Z40" s="380">
        <f t="shared" si="11"/>
        <v>0</v>
      </c>
      <c r="AA40" s="380">
        <f t="shared" si="12"/>
        <v>0</v>
      </c>
      <c r="AB40" s="381">
        <f>SUM(AA40*Voreinstellungen!$C$44)</f>
        <v>0</v>
      </c>
    </row>
    <row r="41" spans="1:29" ht="12.75" customHeight="1" x14ac:dyDescent="0.2">
      <c r="P41" s="296">
        <f>COUNTIF(P4:P34,Voreinstellungen!B27)</f>
        <v>0</v>
      </c>
      <c r="Q41" s="327" t="str">
        <f>Voreinstellungen!A27</f>
        <v>Homeoffice</v>
      </c>
      <c r="R41" s="328"/>
      <c r="S41" s="328"/>
      <c r="T41" s="328"/>
      <c r="U41" s="328"/>
      <c r="V41" s="328"/>
      <c r="W41" s="234"/>
      <c r="Y41" s="375">
        <f>Voreinstellungen!J50</f>
        <v>0</v>
      </c>
      <c r="Z41" s="380">
        <f t="shared" si="11"/>
        <v>0</v>
      </c>
      <c r="AA41" s="380">
        <f t="shared" si="12"/>
        <v>0</v>
      </c>
      <c r="AB41" s="381">
        <f>SUM(AA41*Voreinstellungen!$C$44)</f>
        <v>0</v>
      </c>
    </row>
    <row r="42" spans="1:29" ht="12.75" customHeight="1" x14ac:dyDescent="0.2">
      <c r="A42" s="169"/>
      <c r="B42" s="169"/>
      <c r="C42" s="169"/>
      <c r="D42" s="277"/>
      <c r="E42" s="277"/>
      <c r="F42" s="277"/>
      <c r="G42" s="277"/>
      <c r="H42" s="277"/>
      <c r="I42" s="277"/>
      <c r="J42" s="277"/>
      <c r="P42" s="302">
        <f>IF(Voreinstellungen!C28="","",IF(Voreinstellungen!C28="REST",IFERROR(SUMIF(P4:P34,Voreinstellungen!B28,Q4:Q34)/SUMIF(P4:P34,Voreinstellungen!B28,U4:U34),0),IF(Voreinstellungen!C28="NONE",COUNTIF(P4:P34,Voreinstellungen!B28),IF(Voreinstellungen!C28="XTRA",COUNTIF(P4:P34,Voreinstellungen!B28),COUNTIF(P4:P34,Voreinstellungen!B28)*IF(Voreinstellungen!C28=0,1,Voreinstellungen!C28)))))</f>
        <v>0</v>
      </c>
      <c r="Q42" s="330" t="str">
        <f>IF(Voreinstellungen!A28="","",REPT(Voreinstellungen!A28,1) &amp; " (" &amp; REPT(Voreinstellungen!B28,1) &amp; ")")</f>
        <v>Bereitschaft (B)</v>
      </c>
      <c r="R42" s="331"/>
      <c r="S42" s="331"/>
      <c r="T42" s="331"/>
      <c r="U42" s="331"/>
      <c r="V42" s="331"/>
      <c r="W42" s="168">
        <f>IF(ISBLANK(Voreinstellungen!C28),"",IF(Voreinstellungen!C28="REST",SUMIF(P4:P34,Voreinstellungen!B28,U4:U34)-SUMIF(P4:P34,Voreinstellungen!B28,Q4:Q34),IF(ISTEXT(Voreinstellungen!C28),SUMIF(P4:P34,Voreinstellungen!B28,Q4:Q34),"")))</f>
        <v>0</v>
      </c>
      <c r="Y42" s="375">
        <f>Voreinstellungen!J51</f>
        <v>0</v>
      </c>
      <c r="Z42" s="380">
        <f t="shared" si="11"/>
        <v>0</v>
      </c>
      <c r="AA42" s="380">
        <f t="shared" si="12"/>
        <v>0</v>
      </c>
      <c r="AB42" s="381">
        <f>SUM(AA42*Voreinstellungen!$C$44)</f>
        <v>0</v>
      </c>
    </row>
    <row r="43" spans="1:29" ht="12.75" customHeight="1" x14ac:dyDescent="0.2">
      <c r="A43" s="170"/>
      <c r="B43" s="170"/>
      <c r="C43" s="170"/>
      <c r="D43" s="278"/>
      <c r="E43" s="278"/>
      <c r="F43" s="278"/>
      <c r="G43" s="278"/>
      <c r="H43" s="278"/>
      <c r="I43" s="278"/>
      <c r="J43" s="278"/>
      <c r="P43" s="302">
        <f>IF(Voreinstellungen!C29="","",IF(Voreinstellungen!C29="REST",IFERROR(SUMIF(P4:P34,Voreinstellungen!B29,Q4:Q34)/SUMIF(P4:P34,Voreinstellungen!B29,U4:U34),0),IF(Voreinstellungen!C29="NONE",COUNTIF(P4:P34,Voreinstellungen!B29),IF(Voreinstellungen!C29="XTRA",COUNTIF(P4:P34,Voreinstellungen!B29),COUNTIF(P4:P34,Voreinstellungen!B29)*IF(Voreinstellungen!C29=0,1,Voreinstellungen!C29)))))</f>
        <v>0</v>
      </c>
      <c r="Q43" s="330" t="str">
        <f>IF(Voreinstellungen!A29="","",REPT(Voreinstellungen!A29,1) &amp; " (" &amp; REPT(Voreinstellungen!B29,1) &amp; ")")</f>
        <v>Eigener Code 1 (E1)</v>
      </c>
      <c r="R43" s="331"/>
      <c r="S43" s="331"/>
      <c r="T43" s="331"/>
      <c r="U43" s="331"/>
      <c r="V43" s="331"/>
      <c r="W43" s="168">
        <f>IF(ISBLANK(Voreinstellungen!C29),"",IF(Voreinstellungen!C29="REST",SUMIF(P4:P34,Voreinstellungen!B29,U4:U34)-SUMIF(P4:P34,Voreinstellungen!B29,Q4:Q34),IF(ISTEXT(Voreinstellungen!C29),SUMIF(P4:P34,Voreinstellungen!B29,Q4:Q34),"")))</f>
        <v>0</v>
      </c>
      <c r="Y43" s="375">
        <f>Voreinstellungen!J52</f>
        <v>0</v>
      </c>
      <c r="Z43" s="380">
        <f t="shared" si="11"/>
        <v>0</v>
      </c>
      <c r="AA43" s="380">
        <f t="shared" si="12"/>
        <v>0</v>
      </c>
      <c r="AB43" s="381">
        <f>SUM(AA43*Voreinstellungen!$C$44)</f>
        <v>0</v>
      </c>
    </row>
    <row r="44" spans="1:29" ht="12.75" customHeight="1" x14ac:dyDescent="0.2">
      <c r="A44" s="169" t="s">
        <v>46</v>
      </c>
      <c r="B44" s="169"/>
      <c r="C44" s="169"/>
      <c r="D44" s="277"/>
      <c r="E44" s="277"/>
      <c r="F44" s="277"/>
      <c r="G44" s="277"/>
      <c r="H44" s="277"/>
      <c r="I44" s="277"/>
      <c r="J44" s="277" t="s">
        <v>87</v>
      </c>
      <c r="P44" s="302">
        <f>IF(Voreinstellungen!C30="","",IF(Voreinstellungen!C30="REST",IFERROR(SUMIF(P4:P34,Voreinstellungen!B30,Q4:Q34)/SUMIF(P4:P34,Voreinstellungen!B30,U4:U34),0),IF(Voreinstellungen!C30="NONE",COUNTIF(P4:P34,Voreinstellungen!B30),IF(Voreinstellungen!C30="XTRA",COUNTIF(P4:P34,Voreinstellungen!B30),COUNTIF(P4:P34,Voreinstellungen!B30)*IF(Voreinstellungen!C30=0,1,Voreinstellungen!C30)))))</f>
        <v>0</v>
      </c>
      <c r="Q44" s="330" t="str">
        <f>IF(Voreinstellungen!A30="","",REPT(Voreinstellungen!A30,1) &amp; " (" &amp; REPT(Voreinstellungen!B30,1) &amp; ")")</f>
        <v>Eigener Code 2 (E2)</v>
      </c>
      <c r="R44" s="331"/>
      <c r="S44" s="331"/>
      <c r="T44" s="331"/>
      <c r="U44" s="331"/>
      <c r="V44" s="331"/>
      <c r="W44" s="168" t="str">
        <f>IF(ISBLANK(Voreinstellungen!C30),"",IF(Voreinstellungen!C30="REST",SUMIF(P4:P34,Voreinstellungen!B30,U4:U34)-SUMIF(P4:P34,Voreinstellungen!B30,Q4:Q34),IF(ISTEXT(Voreinstellungen!C30),SUMIF(P4:P34,Voreinstellungen!B30,Q4:Q34),"")))</f>
        <v/>
      </c>
      <c r="Y44" s="375">
        <f>Voreinstellungen!J53</f>
        <v>0</v>
      </c>
      <c r="Z44" s="380">
        <f t="shared" si="11"/>
        <v>0</v>
      </c>
      <c r="AA44" s="380">
        <f t="shared" si="12"/>
        <v>0</v>
      </c>
      <c r="AB44" s="381">
        <f>SUM(AA44*Voreinstellungen!$C$44)</f>
        <v>0</v>
      </c>
    </row>
    <row r="45" spans="1:29" ht="12.75" customHeight="1" x14ac:dyDescent="0.2">
      <c r="A45" s="169"/>
      <c r="B45" s="169"/>
      <c r="C45" s="169"/>
      <c r="D45" s="277"/>
      <c r="E45" s="277"/>
      <c r="F45" s="277"/>
      <c r="G45" s="277"/>
      <c r="H45" s="277"/>
      <c r="I45" s="277"/>
      <c r="J45" s="277"/>
      <c r="P45" s="302">
        <f>IF(Voreinstellungen!C31="","",IF(Voreinstellungen!C31="REST",IFERROR(SUMIF(P4:P34,Voreinstellungen!B31,Q4:Q34)/SUMIF(P4:P34,Voreinstellungen!B31,U4:U34),0),IF(Voreinstellungen!C31="NONE",COUNTIF(P4:P34,Voreinstellungen!B31),IF(Voreinstellungen!C31="XTRA",COUNTIF(P4:P34,Voreinstellungen!B31),COUNTIF(P4:P34,Voreinstellungen!B31)*IF(Voreinstellungen!C31=0,1,Voreinstellungen!C31)))))</f>
        <v>0</v>
      </c>
      <c r="Q45" s="330" t="str">
        <f>IF(Voreinstellungen!A31="","",REPT(Voreinstellungen!A31,1) &amp; " (" &amp; REPT(Voreinstellungen!B31,1) &amp; ")")</f>
        <v>Eigener Code 3 (E3)</v>
      </c>
      <c r="R45" s="331"/>
      <c r="S45" s="331"/>
      <c r="T45" s="331"/>
      <c r="U45" s="331"/>
      <c r="V45" s="331"/>
      <c r="W45" s="168" t="str">
        <f>IF(ISBLANK(Voreinstellungen!C31),"",IF(Voreinstellungen!C31="REST",SUMIF(P4:P34,Voreinstellungen!B31,U4:U34)-SUMIF(P4:P34,Voreinstellungen!B31,Q4:Q34),IF(ISTEXT(Voreinstellungen!C31),SUMIF(P4:P34,Voreinstellungen!B31,Q4:Q34),"")))</f>
        <v/>
      </c>
      <c r="Y45" s="375">
        <f>Voreinstellungen!J54</f>
        <v>0</v>
      </c>
      <c r="Z45" s="380">
        <f t="shared" si="11"/>
        <v>0</v>
      </c>
      <c r="AA45" s="380">
        <f t="shared" si="12"/>
        <v>0</v>
      </c>
      <c r="AB45" s="381">
        <f>SUM(AA45*Voreinstellungen!$C$44)</f>
        <v>0</v>
      </c>
    </row>
    <row r="46" spans="1:29" ht="12.75" customHeight="1" x14ac:dyDescent="0.2">
      <c r="A46" s="170"/>
      <c r="B46" s="170"/>
      <c r="C46" s="170"/>
      <c r="D46" s="278"/>
      <c r="E46" s="278"/>
      <c r="F46" s="278"/>
      <c r="G46" s="278"/>
      <c r="H46" s="278"/>
      <c r="I46" s="278"/>
      <c r="J46" s="278"/>
      <c r="P46" s="302">
        <f>IF(Voreinstellungen!C32="","",IF(Voreinstellungen!C32="REST",IFERROR(SUMIF(P4:P34,Voreinstellungen!B32,Q4:Q34)/SUMIF(P4:P34,Voreinstellungen!B32,U4:U34),0),IF(Voreinstellungen!C32="NONE",COUNTIF(P4:P34,Voreinstellungen!B32),IF(Voreinstellungen!C32="XTRA",COUNTIF(P4:P34,Voreinstellungen!B32),COUNTIF(P4:P34,Voreinstellungen!B32)*IF(Voreinstellungen!C32=0,1,Voreinstellungen!C32)))))</f>
        <v>0</v>
      </c>
      <c r="Q46" s="330" t="str">
        <f>IF(Voreinstellungen!A32="","",REPT(Voreinstellungen!A32,1) &amp; " (" &amp; REPT(Voreinstellungen!B32,1) &amp; ")")</f>
        <v>Eigener Code 4 (E4)</v>
      </c>
      <c r="R46" s="331"/>
      <c r="S46" s="331"/>
      <c r="T46" s="331"/>
      <c r="U46" s="331"/>
      <c r="V46" s="331"/>
      <c r="W46" s="168" t="str">
        <f>IF(ISBLANK(Voreinstellungen!C32),"",IF(Voreinstellungen!C32="REST",SUMIF(P4:P34,Voreinstellungen!B32,U4:U34)-SUMIF(P4:P34,Voreinstellungen!B32,Q4:Q34),IF(ISTEXT(Voreinstellungen!C32),SUMIF(P4:P34,Voreinstellungen!B32,Q4:Q34),"")))</f>
        <v/>
      </c>
      <c r="Y46" s="375">
        <f>Voreinstellungen!J55</f>
        <v>0</v>
      </c>
      <c r="Z46" s="380">
        <f t="shared" si="11"/>
        <v>0</v>
      </c>
      <c r="AA46" s="380">
        <f t="shared" si="12"/>
        <v>0</v>
      </c>
      <c r="AB46" s="381">
        <f>SUM(AA46*Voreinstellungen!$C$44)</f>
        <v>0</v>
      </c>
    </row>
    <row r="47" spans="1:29" ht="12.75" customHeight="1" x14ac:dyDescent="0.2">
      <c r="A47" s="169" t="s">
        <v>46</v>
      </c>
      <c r="B47" s="169"/>
      <c r="C47" s="169"/>
      <c r="D47" s="277"/>
      <c r="E47" s="277"/>
      <c r="F47" s="277"/>
      <c r="G47" s="277"/>
      <c r="H47" s="277"/>
      <c r="I47" s="277"/>
      <c r="J47" s="277" t="s">
        <v>88</v>
      </c>
      <c r="P47" s="303">
        <f>IF(Voreinstellungen!C33="","",IF(Voreinstellungen!C33="REST",IFERROR(SUMIF(P4:P34,Voreinstellungen!B33,Q4:Q34)/SUMIF(P4:P34,Voreinstellungen!B33,U4:U34),0),IF(Voreinstellungen!C33="NONE",COUNTIF(P4:P34,Voreinstellungen!B33),IF(Voreinstellungen!C33="XTRA",COUNTIF(P4:P34,Voreinstellungen!B33),COUNTIF(P4:P34,Voreinstellungen!B33)*IF(Voreinstellungen!C33=0,1,Voreinstellungen!C33)))))</f>
        <v>0</v>
      </c>
      <c r="Q47" s="332" t="str">
        <f>IF(Voreinstellungen!A33="","",REPT(Voreinstellungen!A33,1) &amp; " (" &amp; REPT(Voreinstellungen!B33,1) &amp; ")")</f>
        <v>Eigener Code 5 (E5)</v>
      </c>
      <c r="R47" s="333"/>
      <c r="S47" s="333"/>
      <c r="T47" s="333"/>
      <c r="U47" s="333"/>
      <c r="V47" s="333"/>
      <c r="W47" s="319" t="str">
        <f>IF(ISBLANK(Voreinstellungen!C33),"",IF(Voreinstellungen!C33="REST",SUMIF(P4:P34,Voreinstellungen!B33,U4:U34)-SUMIF(P4:P34,Voreinstellungen!B33,Q4:Q34),IF(ISTEXT(Voreinstellungen!C33),SUMIF(P4:P34,Voreinstellungen!B33,Q4:Q34),"")))</f>
        <v/>
      </c>
      <c r="Y47" s="375">
        <f>Voreinstellungen!J56</f>
        <v>0</v>
      </c>
      <c r="Z47" s="380">
        <f t="shared" si="11"/>
        <v>0</v>
      </c>
      <c r="AA47" s="380">
        <f t="shared" si="12"/>
        <v>0</v>
      </c>
      <c r="AB47" s="381">
        <f>SUM(AA47*Voreinstellungen!$C$44)</f>
        <v>0</v>
      </c>
    </row>
    <row r="48" spans="1:29" x14ac:dyDescent="0.2">
      <c r="P48" s="334"/>
      <c r="Q48" s="45" t="s">
        <v>148</v>
      </c>
      <c r="R48" s="335"/>
      <c r="S48" s="335"/>
      <c r="T48" s="335"/>
      <c r="U48" s="335"/>
      <c r="V48" s="336"/>
      <c r="W48" s="337">
        <f>SUM(I7:I34,N7:N34)</f>
        <v>0</v>
      </c>
      <c r="X48" s="338"/>
      <c r="Y48" s="375">
        <f>Voreinstellungen!J57</f>
        <v>0</v>
      </c>
      <c r="Z48" s="380">
        <f t="shared" si="11"/>
        <v>0</v>
      </c>
      <c r="AA48" s="380">
        <f t="shared" si="12"/>
        <v>0</v>
      </c>
      <c r="AB48" s="381">
        <f>SUM(AA48*Voreinstellungen!$C$44)</f>
        <v>0</v>
      </c>
    </row>
    <row r="49" spans="1:30" x14ac:dyDescent="0.2">
      <c r="Q49" s="339"/>
      <c r="R49" s="340"/>
      <c r="S49" s="340"/>
      <c r="T49" s="340"/>
      <c r="U49" s="339"/>
      <c r="V49" s="339"/>
      <c r="Y49" s="376">
        <f>Voreinstellungen!J58</f>
        <v>0</v>
      </c>
      <c r="Z49" s="382">
        <f t="shared" si="11"/>
        <v>0</v>
      </c>
      <c r="AA49" s="382">
        <f t="shared" si="12"/>
        <v>0</v>
      </c>
      <c r="AB49" s="383">
        <f>SUM(AA49*Voreinstellungen!$C$44)</f>
        <v>0</v>
      </c>
    </row>
    <row r="51" spans="1:30" s="373" customFormat="1" x14ac:dyDescent="0.2">
      <c r="A51" s="45"/>
      <c r="B51" s="45"/>
      <c r="C51" s="45"/>
      <c r="D51" s="276"/>
      <c r="E51" s="301"/>
      <c r="F51" s="276"/>
      <c r="G51" s="276"/>
      <c r="H51" s="276"/>
      <c r="I51" s="276"/>
      <c r="J51" s="276"/>
      <c r="K51" s="276"/>
      <c r="L51" s="287"/>
      <c r="M51" s="287"/>
      <c r="N51" s="287"/>
      <c r="O51" s="287"/>
      <c r="P51" s="287"/>
      <c r="Q51" s="45"/>
      <c r="R51" s="46"/>
      <c r="S51" s="46"/>
      <c r="T51" s="46"/>
      <c r="U51" s="45"/>
      <c r="V51" s="45"/>
      <c r="W51" s="45"/>
      <c r="X51" s="45"/>
      <c r="Y51" s="367"/>
      <c r="Z51" s="368"/>
      <c r="AA51" s="368"/>
      <c r="AB51" s="369"/>
      <c r="AC51" s="45"/>
      <c r="AD51" s="45"/>
    </row>
    <row r="52" spans="1:30" x14ac:dyDescent="0.2">
      <c r="Y52" s="341" t="s">
        <v>153</v>
      </c>
      <c r="Z52" s="346">
        <f>SUM(Z37:Z49)</f>
        <v>0</v>
      </c>
      <c r="AA52" s="342">
        <f>SUM(AA37:AA49)</f>
        <v>0</v>
      </c>
      <c r="AB52" s="343">
        <f>SUM(AB37:AB49)</f>
        <v>0</v>
      </c>
    </row>
  </sheetData>
  <mergeCells count="3">
    <mergeCell ref="A1:C2"/>
    <mergeCell ref="V1:W1"/>
    <mergeCell ref="V2:W2"/>
  </mergeCells>
  <conditionalFormatting sqref="E4:E34">
    <cfRule type="expression" dxfId="227" priority="7">
      <formula>ISTEXT($E4)</formula>
    </cfRule>
  </conditionalFormatting>
  <conditionalFormatting sqref="F4:I34">
    <cfRule type="expression" dxfId="226" priority="6">
      <formula>ISTEXT($F4)</formula>
    </cfRule>
  </conditionalFormatting>
  <conditionalFormatting sqref="J4:J34">
    <cfRule type="expression" dxfId="225" priority="5">
      <formula>ISTEXT($J4)</formula>
    </cfRule>
  </conditionalFormatting>
  <conditionalFormatting sqref="K4:K34">
    <cfRule type="expression" dxfId="224" priority="4">
      <formula>ISTEXT($K4)</formula>
    </cfRule>
  </conditionalFormatting>
  <conditionalFormatting sqref="M5:O34">
    <cfRule type="expression" dxfId="223" priority="3">
      <formula>ISTEXT($F5)</formula>
    </cfRule>
  </conditionalFormatting>
  <conditionalFormatting sqref="N4:N34">
    <cfRule type="expression" dxfId="222" priority="2">
      <formula>ISTEXT($F4)</formula>
    </cfRule>
  </conditionalFormatting>
  <conditionalFormatting sqref="P36:P47">
    <cfRule type="expression" dxfId="221" priority="1">
      <formula>MOD(P36,1)=0</formula>
    </cfRule>
  </conditionalFormatting>
  <conditionalFormatting sqref="Q4:W34 A4:O34">
    <cfRule type="expression" dxfId="220" priority="16">
      <formula>WEEKDAY($A4,2)=6</formula>
    </cfRule>
    <cfRule type="expression" dxfId="219" priority="17">
      <formula>OR(WEEKDAY($A4,2)=7,$C4&lt;&gt;"")</formula>
    </cfRule>
  </conditionalFormatting>
  <conditionalFormatting sqref="P4:P34">
    <cfRule type="expression" dxfId="218" priority="26">
      <formula>WEEKDAY($A4,2)=6</formula>
    </cfRule>
    <cfRule type="expression" dxfId="217" priority="27">
      <formula>OR(WEEKDAY($A4,2)=7,$C4&lt;&gt;"")</formula>
    </cfRule>
  </conditionalFormatting>
  <dataValidations count="3">
    <dataValidation type="list" showErrorMessage="1" sqref="P4:P34" xr:uid="{8D81A9CB-7B0F-4165-9EF6-3CC71FB73EE1}">
      <formula1>CodeList</formula1>
    </dataValidation>
    <dataValidation type="list" allowBlank="1" showInputMessage="1" showErrorMessage="1" sqref="H4:H34 M4:M34" xr:uid="{D024A84A-573C-48FA-A903-7C03F7243A8A}">
      <formula1>Tätigkeiten</formula1>
    </dataValidation>
    <dataValidation type="list" showErrorMessage="1" sqref="D4:D34 G4:G34 L4:L34" xr:uid="{76D69FCB-8AB3-435F-8671-578B1F95CE45}">
      <formula1>Einsatzorte</formula1>
    </dataValidation>
  </dataValidations>
  <printOptions horizontalCentered="1" verticalCentered="1"/>
  <pageMargins left="0.23622047244094491" right="0.23622047244094491" top="0.23622047244094491" bottom="0.23622047244094491" header="0.11811023622047245" footer="0.11811023622047245"/>
  <pageSetup paperSize="9" scale="95" firstPageNumber="0" orientation="landscape" r:id="rId1"/>
  <headerFooter alignWithMargins="0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8" id="{B6C51735-4FC0-4B97-A8B7-5B46F1849F36}">
            <xm:f>$P4=Voreinstellungen!$B$25</xm:f>
            <x14:dxf>
              <fill>
                <patternFill>
                  <bgColor rgb="FF0070C0"/>
                </patternFill>
              </fill>
            </x14:dxf>
          </x14:cfRule>
          <x14:cfRule type="expression" priority="9" id="{41C02AAA-6F1D-4494-87C1-81A371526631}">
            <xm:f>$P4=Voreinstellungen!$B$26</xm:f>
            <x14:dxf>
              <fill>
                <patternFill>
                  <bgColor rgb="FF00B0F0"/>
                </patternFill>
              </fill>
            </x14:dxf>
          </x14:cfRule>
          <x14:cfRule type="expression" priority="10" id="{3D6A628E-7675-4DB4-BF9B-3B733937D484}">
            <xm:f>$P4=Voreinstellungen!$B$20</xm:f>
            <x14:dxf>
              <fill>
                <patternFill>
                  <bgColor theme="4" tint="0.59996337778862885"/>
                </patternFill>
              </fill>
            </x14:dxf>
          </x14:cfRule>
          <x14:cfRule type="expression" priority="11" id="{874A8D2C-E469-49D7-BAB3-48CAAF7F7BE7}">
            <xm:f>$P4=Voreinstellungen!$B$21</xm:f>
            <x14:dxf>
              <fill>
                <patternFill>
                  <bgColor indexed="13"/>
                </patternFill>
              </fill>
            </x14:dxf>
          </x14:cfRule>
          <x14:cfRule type="expression" priority="12" id="{561FF89A-6E0E-4798-B287-C87EF9362355}">
            <xm:f>$P4=Voreinstellungen!$B$22</xm:f>
            <x14:dxf>
              <fill>
                <patternFill>
                  <bgColor rgb="FFFFFF66"/>
                </patternFill>
              </fill>
            </x14:dxf>
          </x14:cfRule>
          <x14:cfRule type="expression" priority="13" id="{3DE6C0D5-FEFF-48E6-AFBF-AD6E77A1324F}">
            <xm:f>$P4=Voreinstellungen!$B$31</xm:f>
            <x14:dxf>
              <fill>
                <patternFill>
                  <bgColor theme="3" tint="0.59996337778862885"/>
                </patternFill>
              </fill>
            </x14:dxf>
          </x14:cfRule>
          <x14:cfRule type="expression" priority="14" id="{1CCEA471-CDAE-4874-9CE8-C0DF579168B0}">
            <xm:f>$P4=Voreinstellungen!$B$32</xm:f>
            <x14:dxf>
              <fill>
                <patternFill>
                  <bgColor rgb="FF92D050"/>
                </patternFill>
              </fill>
            </x14:dxf>
          </x14:cfRule>
          <x14:cfRule type="expression" priority="15" id="{72B00199-0DCA-4BC9-906B-0873607F2081}">
            <xm:f>$P4=Voreinstellungen!$B$33</xm:f>
            <x14:dxf>
              <fill>
                <patternFill>
                  <bgColor theme="9" tint="0.39994506668294322"/>
                </patternFill>
              </fill>
            </x14:dxf>
          </x14:cfRule>
          <xm:sqref>Q4:W34 A4:O34</xm:sqref>
        </x14:conditionalFormatting>
        <x14:conditionalFormatting xmlns:xm="http://schemas.microsoft.com/office/excel/2006/main">
          <x14:cfRule type="expression" priority="18" id="{958B70BF-60D2-4996-8454-D36B8FED82BF}">
            <xm:f>$L4=Voreinstellungen!$B$25</xm:f>
            <x14:dxf>
              <fill>
                <patternFill>
                  <bgColor rgb="FF0070C0"/>
                </patternFill>
              </fill>
            </x14:dxf>
          </x14:cfRule>
          <x14:cfRule type="expression" priority="19" id="{FE3BF9B7-8002-4A6D-A136-12C0AF0CB5A6}">
            <xm:f>$L4=Voreinstellungen!$B$26</xm:f>
            <x14:dxf>
              <fill>
                <patternFill>
                  <bgColor rgb="FF00B0F0"/>
                </patternFill>
              </fill>
            </x14:dxf>
          </x14:cfRule>
          <x14:cfRule type="expression" priority="20" id="{24C7AF4F-4931-4EBB-B5C7-DB33937CA918}">
            <xm:f>$L4=Voreinstellungen!$B$20</xm:f>
            <x14:dxf>
              <fill>
                <patternFill>
                  <bgColor theme="4" tint="0.59996337778862885"/>
                </patternFill>
              </fill>
            </x14:dxf>
          </x14:cfRule>
          <x14:cfRule type="expression" priority="21" id="{8829C08C-2288-4003-B2EB-436056DEBDC6}">
            <xm:f>$L4=Voreinstellungen!$B$21</xm:f>
            <x14:dxf>
              <fill>
                <patternFill>
                  <bgColor indexed="13"/>
                </patternFill>
              </fill>
            </x14:dxf>
          </x14:cfRule>
          <x14:cfRule type="expression" priority="22" id="{DFCA321B-B3FC-46CF-9C06-64C49130A6FC}">
            <xm:f>$L4=Voreinstellungen!$B$22</xm:f>
            <x14:dxf>
              <fill>
                <patternFill>
                  <bgColor rgb="FFFFFF66"/>
                </patternFill>
              </fill>
            </x14:dxf>
          </x14:cfRule>
          <x14:cfRule type="expression" priority="23" id="{F0975304-E87A-428B-BE5C-D52627DDEB1B}">
            <xm:f>$L4=Voreinstellungen!$B$31</xm:f>
            <x14:dxf>
              <fill>
                <patternFill>
                  <bgColor theme="3" tint="0.59996337778862885"/>
                </patternFill>
              </fill>
            </x14:dxf>
          </x14:cfRule>
          <x14:cfRule type="expression" priority="24" id="{91D36F51-D9A6-42AF-99BB-FC30347AB93A}">
            <xm:f>$L4=Voreinstellungen!$B$32</xm:f>
            <x14:dxf>
              <fill>
                <patternFill>
                  <bgColor rgb="FF92D050"/>
                </patternFill>
              </fill>
            </x14:dxf>
          </x14:cfRule>
          <x14:cfRule type="expression" priority="25" id="{3D243136-5276-400D-A73D-010FA1997875}">
            <xm:f>$L4=Voreinstellungen!$B$33</xm:f>
            <x14:dxf>
              <fill>
                <patternFill>
                  <bgColor theme="9" tint="0.39994506668294322"/>
                </patternFill>
              </fill>
            </x14:dxf>
          </x14:cfRule>
          <xm:sqref>P4:P34</xm:sqref>
        </x14:conditionalFormatting>
      </x14:conditionalFormatting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1">
    <tabColor theme="2" tint="-0.249977111117893"/>
    <pageSetUpPr fitToPage="1"/>
  </sheetPr>
  <dimension ref="A1:AD52"/>
  <sheetViews>
    <sheetView showGridLines="0" showZeros="0" zoomScale="90" zoomScaleNormal="90" workbookViewId="0">
      <pane ySplit="3" topLeftCell="A4" activePane="bottomLeft" state="frozen"/>
      <selection activeCell="T6" sqref="T6"/>
      <selection pane="bottomLeft" activeCell="T6" sqref="T6"/>
    </sheetView>
  </sheetViews>
  <sheetFormatPr baseColWidth="10" defaultColWidth="11.5703125" defaultRowHeight="12.75" x14ac:dyDescent="0.2"/>
  <cols>
    <col min="1" max="1" width="9.28515625" style="45" customWidth="1"/>
    <col min="2" max="2" width="5.7109375" style="45" customWidth="1"/>
    <col min="3" max="3" width="18.7109375" style="45" customWidth="1"/>
    <col min="4" max="4" width="11.140625" style="276" bestFit="1" customWidth="1"/>
    <col min="5" max="5" width="7.7109375" style="301" customWidth="1"/>
    <col min="6" max="6" width="7.7109375" style="276" customWidth="1"/>
    <col min="7" max="8" width="12.7109375" style="276" customWidth="1"/>
    <col min="9" max="9" width="4.7109375" style="276" customWidth="1"/>
    <col min="10" max="11" width="7.7109375" style="276" customWidth="1"/>
    <col min="12" max="13" width="12.7109375" style="287" customWidth="1"/>
    <col min="14" max="14" width="4.7109375" style="287" customWidth="1"/>
    <col min="15" max="15" width="6.42578125" style="287" customWidth="1"/>
    <col min="16" max="16" width="3.7109375" style="287" customWidth="1"/>
    <col min="17" max="17" width="7.7109375" style="45" customWidth="1"/>
    <col min="18" max="20" width="7.7109375" style="46" customWidth="1"/>
    <col min="21" max="21" width="4.28515625" style="45" bestFit="1" customWidth="1"/>
    <col min="22" max="22" width="20.7109375" style="45" customWidth="1"/>
    <col min="23" max="23" width="7.7109375" style="45" customWidth="1"/>
    <col min="24" max="24" width="0.7109375" style="45" customWidth="1"/>
    <col min="25" max="25" width="14.7109375" style="45" customWidth="1"/>
    <col min="26" max="27" width="11.5703125" style="45"/>
    <col min="28" max="28" width="13.7109375" style="45" bestFit="1" customWidth="1"/>
    <col min="29" max="29" width="0.7109375" style="45" customWidth="1"/>
    <col min="30" max="16384" width="11.5703125" style="45"/>
  </cols>
  <sheetData>
    <row r="1" spans="1:29" ht="15" customHeight="1" x14ac:dyDescent="0.2">
      <c r="A1" s="678">
        <f>DATE(Jahr,10,1)</f>
        <v>44469</v>
      </c>
      <c r="B1" s="679"/>
      <c r="C1" s="679"/>
      <c r="D1" s="370"/>
      <c r="E1" s="370"/>
      <c r="F1" s="370"/>
      <c r="G1" s="370"/>
      <c r="H1" s="370"/>
      <c r="I1" s="370"/>
      <c r="J1" s="285"/>
      <c r="K1" s="285"/>
      <c r="L1" s="285"/>
      <c r="M1" s="285" t="str">
        <f>"Nettoarbeitstage: "&amp;NETWORKDAYS(A1,EOMONTH(A1,0),Feiertage!A4:A39)</f>
        <v>Nettoarbeitstage: 21</v>
      </c>
      <c r="N1" s="285"/>
      <c r="O1" s="285"/>
      <c r="P1" s="288"/>
      <c r="Q1" s="260"/>
      <c r="R1" s="260"/>
      <c r="S1" s="260"/>
      <c r="T1" s="260"/>
      <c r="U1" s="260"/>
      <c r="V1" s="684" t="str">
        <f>Voreinstellungen!C3</f>
        <v>Vivien Günther</v>
      </c>
      <c r="W1" s="685"/>
    </row>
    <row r="2" spans="1:29" ht="15" customHeight="1" x14ac:dyDescent="0.2">
      <c r="A2" s="680"/>
      <c r="B2" s="681"/>
      <c r="C2" s="681"/>
      <c r="D2" s="371"/>
      <c r="E2" s="371"/>
      <c r="F2" s="371"/>
      <c r="G2" s="371"/>
      <c r="H2" s="371"/>
      <c r="I2" s="371"/>
      <c r="J2" s="371"/>
      <c r="K2" s="371"/>
      <c r="L2" s="286"/>
      <c r="M2" s="286"/>
      <c r="N2" s="286"/>
      <c r="O2" s="286"/>
      <c r="P2" s="289"/>
      <c r="Q2" s="259"/>
      <c r="R2" s="259"/>
      <c r="S2" s="259"/>
      <c r="T2" s="259"/>
      <c r="U2" s="259"/>
      <c r="V2" s="686" t="str">
        <f>IF(ISBLANK(Voreinstellungen!C4),"","Personal-Nr.: "&amp;Voreinstellungen!C4)</f>
        <v>Personal-Nr.: 60161</v>
      </c>
      <c r="W2" s="687"/>
    </row>
    <row r="3" spans="1:29" s="47" customFormat="1" ht="36" customHeight="1" x14ac:dyDescent="0.2">
      <c r="A3" s="204" t="s">
        <v>73</v>
      </c>
      <c r="B3" s="205"/>
      <c r="C3" s="204" t="s">
        <v>26</v>
      </c>
      <c r="D3" s="284" t="s">
        <v>143</v>
      </c>
      <c r="E3" s="282" t="s">
        <v>74</v>
      </c>
      <c r="F3" s="253" t="s">
        <v>75</v>
      </c>
      <c r="G3" s="253" t="s">
        <v>141</v>
      </c>
      <c r="H3" s="110" t="s">
        <v>134</v>
      </c>
      <c r="I3" s="257" t="s">
        <v>135</v>
      </c>
      <c r="J3" s="282" t="s">
        <v>76</v>
      </c>
      <c r="K3" s="206" t="s">
        <v>77</v>
      </c>
      <c r="L3" s="258" t="s">
        <v>142</v>
      </c>
      <c r="M3" s="279" t="s">
        <v>134</v>
      </c>
      <c r="N3" s="257" t="s">
        <v>135</v>
      </c>
      <c r="O3" s="282" t="s">
        <v>144</v>
      </c>
      <c r="P3" s="283" t="s">
        <v>24</v>
      </c>
      <c r="Q3" s="171" t="s">
        <v>78</v>
      </c>
      <c r="R3" s="171" t="s">
        <v>79</v>
      </c>
      <c r="S3" s="171" t="s">
        <v>147</v>
      </c>
      <c r="T3" s="207" t="s">
        <v>80</v>
      </c>
      <c r="U3" s="208" t="s">
        <v>81</v>
      </c>
      <c r="V3" s="209" t="s">
        <v>82</v>
      </c>
      <c r="W3" s="171" t="s">
        <v>83</v>
      </c>
      <c r="X3" s="306">
        <f>PauseGWert</f>
        <v>3.125E-2</v>
      </c>
    </row>
    <row r="4" spans="1:29" s="19" customFormat="1" ht="12" x14ac:dyDescent="0.2">
      <c r="A4" s="311">
        <f>A1</f>
        <v>44469</v>
      </c>
      <c r="B4" s="210">
        <f t="shared" ref="B4:B34" si="0">A4</f>
        <v>44469</v>
      </c>
      <c r="C4" s="261" t="str">
        <f t="shared" ref="C4:C31" si="1">IF(ISERROR(VLOOKUP(B4,Feiertage,2,FALSE)),"",(VLOOKUP(B4,Feiertage,2,FALSE)))</f>
        <v/>
      </c>
      <c r="D4" s="366"/>
      <c r="E4" s="351"/>
      <c r="F4" s="254"/>
      <c r="G4" s="307"/>
      <c r="H4" s="318"/>
      <c r="I4" s="347"/>
      <c r="J4" s="360"/>
      <c r="K4" s="351"/>
      <c r="L4" s="307"/>
      <c r="M4" s="314"/>
      <c r="N4" s="320">
        <f>IFERROR(VLOOKUP(G4&amp;L4,tbl_Entfernung[[Verketten]:[Entfernung]],2,FALSE),"")</f>
        <v>0</v>
      </c>
      <c r="O4" s="315">
        <f>IF(S4&gt;PauseGTime,PauseGWert,IF(S4&gt;PauseKTime,PauseKWert,IF(S4&lt;=PauseKTime,0,WENN)))</f>
        <v>0</v>
      </c>
      <c r="P4" s="363"/>
      <c r="Q4" s="355">
        <f t="shared" ref="Q4:Q34" si="2">IF(A4="",0,IF(IF(E4&lt;F4,F4-E4,IF(F4="",0,F4-E4+1))+IF(J4&lt;K4,K4-J4,IF(K4="",0,K4-J4+1))-O4&gt;0,IF(E4&lt;F4,F4-E4,IF(F4="",0,F4-E4+1))+IF(J4&lt;K4,K4-J4,IF(K4="",0,K4-J4+1))-O4,0))</f>
        <v>0</v>
      </c>
      <c r="R4" s="224">
        <f t="shared" ref="R4:R34" ca="1" si="3">IF(AND(C4&lt;&gt;"",P4=""),IF(ISERROR(VLOOKUP(B4,Feiertage,2,FALSE)),0,VLOOKUP(B4,Feiertage,3,FALSE)*U4),IF(A4="",0,IF(P4&lt;&gt;"",IF(UPPER(P4)=VLOOKUP(UPPER(P4),Code,1,FALSE),IF(OR(VLOOKUP(P4,Code,2,FALSE)="NONE",VLOOKUP(P4,Code,2,FALSE)="XTRA",VLOOKUP(P4,Code,2,FALSE)="REST"),Q4,IF(ISERROR(VLOOKUP(B4,Feiertage,2,FALSE)),VLOOKUP(P4,Code,2,FALSE)*U4,IF(VLOOKUP(B4,Feiertage,3,FALSE)=0.5,IF(OR(UPPER(P4)="G",UPPER(P4)="H"),VLOOKUP(B4,Feiertage,3,FALSE)*VLOOKUP(P4,Code,2,FALSE)*U4,0),VLOOKUP(B4,Feiertage,3,FALSE)*VLOOKUP(P4,Code,2,FALSE)*U4))),U4),U4)))</f>
        <v>0.29166666666666669</v>
      </c>
      <c r="S4" s="224">
        <f>IF(A4="",0,IF(IF(E4&lt;F4,F4-E4,IF(F4="",0,F4-E4+1))+IF(J4&lt;K4,K4-J4,IF(K4="",0,K4-J4+1))&gt;0,IF(E4&lt;F4,F4-E4,IF(F4="",0,F4-E4+1))+IF(J4&lt;K4,K4-J4,IF(K4="",0,K4-J4+1)),0))</f>
        <v>0</v>
      </c>
      <c r="T4" s="211">
        <f t="shared" ref="T4:T34" ca="1" si="4">IF(A4="",0,ROUND(Q4-R4,14))</f>
        <v>-0.29166666666667002</v>
      </c>
      <c r="U4" s="250">
        <f t="shared" ref="U4:U34" ca="1" si="5">IF(A4="",0,INDIRECT(ADDRESS(MATCH(A4,SOLL_AZ_Ab,1)+11,WEEKDAY(A4,2)+3,,,"Voreinstellungen"),TRUE))</f>
        <v>0.29166666666666669</v>
      </c>
      <c r="V4" s="212"/>
      <c r="W4" s="213" t="e">
        <f ca="1">IF(A4="","",IF(T4&lt;&gt;"",ROUND(J36+T4,14),J36))</f>
        <v>#REF!</v>
      </c>
      <c r="Y4" s="305"/>
      <c r="AB4" s="344">
        <f>MOD(F4-E4,1)*24</f>
        <v>0</v>
      </c>
      <c r="AC4" s="344">
        <f>MOD(K4-J4,1)*24</f>
        <v>0</v>
      </c>
    </row>
    <row r="5" spans="1:29" s="19" customFormat="1" ht="12" x14ac:dyDescent="0.2">
      <c r="A5" s="312">
        <f t="shared" ref="A5:A31" si="6">A4+1</f>
        <v>44470</v>
      </c>
      <c r="B5" s="129">
        <f t="shared" si="0"/>
        <v>44470</v>
      </c>
      <c r="C5" s="262" t="str">
        <f t="shared" si="1"/>
        <v/>
      </c>
      <c r="D5" s="358"/>
      <c r="E5" s="352"/>
      <c r="F5" s="255"/>
      <c r="G5" s="308"/>
      <c r="H5" s="308"/>
      <c r="I5" s="348"/>
      <c r="J5" s="361"/>
      <c r="K5" s="352"/>
      <c r="L5" s="308"/>
      <c r="M5" s="308"/>
      <c r="N5" s="321">
        <f>IFERROR(VLOOKUP(G5&amp;L5,tbl_Entfernung[[Verketten]:[Entfernung]],2,FALSE),"")</f>
        <v>0</v>
      </c>
      <c r="O5" s="316">
        <f>IF(S5&gt;PauseGTime,PauseGWert,IF(S5&gt;PauseKTime,PauseKWert,IF(S5&lt;=PauseKTime,0,WENN)))</f>
        <v>0</v>
      </c>
      <c r="P5" s="364"/>
      <c r="Q5" s="356">
        <f t="shared" si="2"/>
        <v>0</v>
      </c>
      <c r="R5" s="225">
        <f t="shared" ca="1" si="3"/>
        <v>0.29166666666666669</v>
      </c>
      <c r="S5" s="225">
        <f t="shared" ref="S5:S34" si="7">IF(A5="",0,IF(IF(E5&lt;F5,F5-E5,IF(F5="",0,F5-E5+1))+IF(J5&lt;K5,K5-J5,IF(K5="",0,K5-J5+1))&gt;0,IF(E5&lt;F5,F5-E5,IF(F5="",0,F5-E5+1))+IF(J5&lt;K5,K5-J5,IF(K5="",0,K5-J5+1)),0))</f>
        <v>0</v>
      </c>
      <c r="T5" s="130">
        <f t="shared" ca="1" si="4"/>
        <v>-0.29166666666667002</v>
      </c>
      <c r="U5" s="251">
        <f t="shared" ca="1" si="5"/>
        <v>0.29166666666666669</v>
      </c>
      <c r="V5" s="131"/>
      <c r="W5" s="214" t="e">
        <f t="shared" ref="W5:W34" ca="1" si="8">IF(A5="","",IF(T5&lt;&gt;"",ROUND(W4+T5,14),W4))</f>
        <v>#REF!</v>
      </c>
      <c r="AB5" s="345">
        <f t="shared" ref="AB5:AB34" si="9">MOD(F5-E5,1)*24</f>
        <v>0</v>
      </c>
      <c r="AC5" s="345">
        <f t="shared" ref="AC5:AC34" si="10">MOD(K5-J5,1)*24</f>
        <v>0</v>
      </c>
    </row>
    <row r="6" spans="1:29" s="19" customFormat="1" ht="12" x14ac:dyDescent="0.2">
      <c r="A6" s="312">
        <f t="shared" si="6"/>
        <v>44471</v>
      </c>
      <c r="B6" s="129">
        <f t="shared" si="0"/>
        <v>44471</v>
      </c>
      <c r="C6" s="262" t="str">
        <f t="shared" si="1"/>
        <v>Tag der dt. Einheit</v>
      </c>
      <c r="D6" s="358"/>
      <c r="E6" s="352"/>
      <c r="F6" s="255"/>
      <c r="G6" s="309"/>
      <c r="H6" s="309"/>
      <c r="I6" s="348"/>
      <c r="J6" s="361"/>
      <c r="K6" s="352"/>
      <c r="L6" s="309"/>
      <c r="M6" s="309"/>
      <c r="N6" s="321">
        <f>IFERROR(VLOOKUP(G6&amp;L6,tbl_Entfernung[[Verketten]:[Entfernung]],2,FALSE),"")</f>
        <v>0</v>
      </c>
      <c r="O6" s="316">
        <f>IF(S6&gt;PauseGTime,PauseGWert,IF(S6&gt;PauseKTime,PauseKWert,IF(S6&lt;=PauseKTime,0,WENN)))</f>
        <v>0</v>
      </c>
      <c r="P6" s="364"/>
      <c r="Q6" s="356">
        <f t="shared" si="2"/>
        <v>0</v>
      </c>
      <c r="R6" s="225">
        <f t="shared" ca="1" si="3"/>
        <v>0</v>
      </c>
      <c r="S6" s="225">
        <f t="shared" si="7"/>
        <v>0</v>
      </c>
      <c r="T6" s="130">
        <f t="shared" ca="1" si="4"/>
        <v>0</v>
      </c>
      <c r="U6" s="251">
        <f t="shared" ca="1" si="5"/>
        <v>0.29166666666666669</v>
      </c>
      <c r="V6" s="131"/>
      <c r="W6" s="214" t="e">
        <f t="shared" ca="1" si="8"/>
        <v>#REF!</v>
      </c>
      <c r="AB6" s="345">
        <f t="shared" si="9"/>
        <v>0</v>
      </c>
      <c r="AC6" s="345">
        <f t="shared" si="10"/>
        <v>0</v>
      </c>
    </row>
    <row r="7" spans="1:29" s="19" customFormat="1" ht="12" x14ac:dyDescent="0.2">
      <c r="A7" s="312">
        <f t="shared" si="6"/>
        <v>44472</v>
      </c>
      <c r="B7" s="129">
        <f t="shared" si="0"/>
        <v>44472</v>
      </c>
      <c r="C7" s="262" t="str">
        <f t="shared" si="1"/>
        <v/>
      </c>
      <c r="D7" s="358"/>
      <c r="E7" s="352"/>
      <c r="F7" s="255"/>
      <c r="G7" s="309"/>
      <c r="H7" s="309"/>
      <c r="I7" s="348"/>
      <c r="J7" s="361"/>
      <c r="K7" s="352"/>
      <c r="L7" s="309"/>
      <c r="M7" s="309"/>
      <c r="N7" s="321">
        <f>IFERROR(VLOOKUP(G7&amp;L7,tbl_Entfernung[[Verketten]:[Entfernung]],2,FALSE),"")</f>
        <v>0</v>
      </c>
      <c r="O7" s="316">
        <f>IF(S7&gt;PauseGTime,PauseGWert,IF(S7&gt;PauseKTime,PauseKWert,IF(S7&lt;=PauseKTime,0,WENN)))</f>
        <v>0</v>
      </c>
      <c r="P7" s="364"/>
      <c r="Q7" s="356">
        <f t="shared" si="2"/>
        <v>0</v>
      </c>
      <c r="R7" s="225">
        <f t="shared" ca="1" si="3"/>
        <v>0</v>
      </c>
      <c r="S7" s="225">
        <f t="shared" si="7"/>
        <v>0</v>
      </c>
      <c r="T7" s="130">
        <f t="shared" ca="1" si="4"/>
        <v>0</v>
      </c>
      <c r="U7" s="251">
        <f t="shared" ca="1" si="5"/>
        <v>0</v>
      </c>
      <c r="V7" s="131"/>
      <c r="W7" s="214" t="e">
        <f t="shared" ca="1" si="8"/>
        <v>#REF!</v>
      </c>
      <c r="AB7" s="345">
        <f t="shared" si="9"/>
        <v>0</v>
      </c>
      <c r="AC7" s="345">
        <f t="shared" si="10"/>
        <v>0</v>
      </c>
    </row>
    <row r="8" spans="1:29" s="19" customFormat="1" ht="12" x14ac:dyDescent="0.2">
      <c r="A8" s="312">
        <f t="shared" si="6"/>
        <v>44473</v>
      </c>
      <c r="B8" s="129">
        <f t="shared" si="0"/>
        <v>44473</v>
      </c>
      <c r="C8" s="262" t="str">
        <f t="shared" si="1"/>
        <v/>
      </c>
      <c r="D8" s="358"/>
      <c r="E8" s="352"/>
      <c r="F8" s="255"/>
      <c r="G8" s="309"/>
      <c r="H8" s="309"/>
      <c r="I8" s="348"/>
      <c r="J8" s="361"/>
      <c r="K8" s="352"/>
      <c r="L8" s="309"/>
      <c r="M8" s="309"/>
      <c r="N8" s="321">
        <f>IFERROR(VLOOKUP(G8&amp;L8,tbl_Entfernung[[Verketten]:[Entfernung]],2,FALSE),"")</f>
        <v>0</v>
      </c>
      <c r="O8" s="316">
        <f>IF(S8&gt;PauseGTime,PauseGWert,IF(S8&gt;PauseKTime,PauseKWert,IF(S8&lt;=PauseKTime,0,WENN)))</f>
        <v>0</v>
      </c>
      <c r="P8" s="364"/>
      <c r="Q8" s="356">
        <f t="shared" si="2"/>
        <v>0</v>
      </c>
      <c r="R8" s="225">
        <f t="shared" ca="1" si="3"/>
        <v>0</v>
      </c>
      <c r="S8" s="225">
        <f t="shared" si="7"/>
        <v>0</v>
      </c>
      <c r="T8" s="130">
        <f t="shared" ca="1" si="4"/>
        <v>0</v>
      </c>
      <c r="U8" s="251">
        <f t="shared" ca="1" si="5"/>
        <v>0</v>
      </c>
      <c r="V8" s="131"/>
      <c r="W8" s="214" t="e">
        <f t="shared" ca="1" si="8"/>
        <v>#REF!</v>
      </c>
      <c r="AB8" s="345">
        <f t="shared" si="9"/>
        <v>0</v>
      </c>
      <c r="AC8" s="345">
        <f t="shared" si="10"/>
        <v>0</v>
      </c>
    </row>
    <row r="9" spans="1:29" s="19" customFormat="1" ht="12" x14ac:dyDescent="0.2">
      <c r="A9" s="312">
        <f t="shared" si="6"/>
        <v>44474</v>
      </c>
      <c r="B9" s="129">
        <f t="shared" si="0"/>
        <v>44474</v>
      </c>
      <c r="C9" s="262" t="str">
        <f t="shared" si="1"/>
        <v/>
      </c>
      <c r="D9" s="358"/>
      <c r="E9" s="352"/>
      <c r="F9" s="255"/>
      <c r="G9" s="309"/>
      <c r="H9" s="309"/>
      <c r="I9" s="349"/>
      <c r="J9" s="361"/>
      <c r="K9" s="352"/>
      <c r="L9" s="309"/>
      <c r="M9" s="309"/>
      <c r="N9" s="322">
        <f>IFERROR(VLOOKUP(G9&amp;L9,tbl_Entfernung[[Verketten]:[Entfernung]],2,FALSE),"")</f>
        <v>0</v>
      </c>
      <c r="O9" s="316">
        <f>IF(S9&gt;PauseGTime,PauseGWert,IF(S9&gt;PauseKTime,PauseKWert,IF(S9&lt;=PauseKTime,0,WENN)))</f>
        <v>0</v>
      </c>
      <c r="P9" s="364"/>
      <c r="Q9" s="356">
        <f t="shared" si="2"/>
        <v>0</v>
      </c>
      <c r="R9" s="225">
        <f t="shared" ca="1" si="3"/>
        <v>0.29166666666666669</v>
      </c>
      <c r="S9" s="225">
        <f t="shared" si="7"/>
        <v>0</v>
      </c>
      <c r="T9" s="130">
        <f t="shared" ca="1" si="4"/>
        <v>-0.29166666666667002</v>
      </c>
      <c r="U9" s="251">
        <f t="shared" ca="1" si="5"/>
        <v>0.29166666666666669</v>
      </c>
      <c r="V9" s="131"/>
      <c r="W9" s="214" t="e">
        <f t="shared" ca="1" si="8"/>
        <v>#REF!</v>
      </c>
      <c r="AB9" s="345">
        <f t="shared" si="9"/>
        <v>0</v>
      </c>
      <c r="AC9" s="345">
        <f t="shared" si="10"/>
        <v>0</v>
      </c>
    </row>
    <row r="10" spans="1:29" s="19" customFormat="1" ht="12" x14ac:dyDescent="0.2">
      <c r="A10" s="312">
        <f t="shared" si="6"/>
        <v>44475</v>
      </c>
      <c r="B10" s="129">
        <f t="shared" si="0"/>
        <v>44475</v>
      </c>
      <c r="C10" s="262" t="str">
        <f t="shared" si="1"/>
        <v/>
      </c>
      <c r="D10" s="358"/>
      <c r="E10" s="352"/>
      <c r="F10" s="255"/>
      <c r="G10" s="309"/>
      <c r="H10" s="309"/>
      <c r="I10" s="349"/>
      <c r="J10" s="361"/>
      <c r="K10" s="352"/>
      <c r="L10" s="309"/>
      <c r="M10" s="309"/>
      <c r="N10" s="322">
        <f>IFERROR(VLOOKUP(G10&amp;L10,tbl_Entfernung[[Verketten]:[Entfernung]],2,FALSE),"")</f>
        <v>0</v>
      </c>
      <c r="O10" s="316">
        <f>IF(S10&gt;PauseGTime,PauseGWert,IF(S10&gt;PauseKTime,PauseKWert,IF(S10&lt;=PauseKTime,0,WENN)))</f>
        <v>0</v>
      </c>
      <c r="P10" s="364"/>
      <c r="Q10" s="356">
        <f t="shared" si="2"/>
        <v>0</v>
      </c>
      <c r="R10" s="225">
        <f t="shared" ca="1" si="3"/>
        <v>0.29166666666666669</v>
      </c>
      <c r="S10" s="225">
        <f t="shared" si="7"/>
        <v>0</v>
      </c>
      <c r="T10" s="130">
        <f t="shared" ca="1" si="4"/>
        <v>-0.29166666666667002</v>
      </c>
      <c r="U10" s="251">
        <f t="shared" ca="1" si="5"/>
        <v>0.29166666666666669</v>
      </c>
      <c r="V10" s="131"/>
      <c r="W10" s="214" t="e">
        <f t="shared" ca="1" si="8"/>
        <v>#REF!</v>
      </c>
      <c r="AB10" s="345">
        <f t="shared" si="9"/>
        <v>0</v>
      </c>
      <c r="AC10" s="345">
        <f t="shared" si="10"/>
        <v>0</v>
      </c>
    </row>
    <row r="11" spans="1:29" s="19" customFormat="1" ht="12" x14ac:dyDescent="0.2">
      <c r="A11" s="312">
        <f t="shared" si="6"/>
        <v>44476</v>
      </c>
      <c r="B11" s="129">
        <f t="shared" si="0"/>
        <v>44476</v>
      </c>
      <c r="C11" s="262" t="str">
        <f t="shared" si="1"/>
        <v/>
      </c>
      <c r="D11" s="358"/>
      <c r="E11" s="352"/>
      <c r="F11" s="255"/>
      <c r="G11" s="309"/>
      <c r="H11" s="309"/>
      <c r="I11" s="348"/>
      <c r="J11" s="361"/>
      <c r="K11" s="352"/>
      <c r="L11" s="309"/>
      <c r="M11" s="309"/>
      <c r="N11" s="321">
        <f>IFERROR(VLOOKUP(G11&amp;L11,tbl_Entfernung[[Verketten]:[Entfernung]],2,FALSE),"")</f>
        <v>0</v>
      </c>
      <c r="O11" s="316">
        <f>IF(S11&gt;PauseGTime,PauseGWert,IF(S11&gt;PauseKTime,PauseKWert,IF(S11&lt;=PauseKTime,0,WENN)))</f>
        <v>0</v>
      </c>
      <c r="P11" s="364"/>
      <c r="Q11" s="356">
        <f t="shared" si="2"/>
        <v>0</v>
      </c>
      <c r="R11" s="225">
        <f t="shared" ca="1" si="3"/>
        <v>0.29166666666666669</v>
      </c>
      <c r="S11" s="225">
        <f t="shared" si="7"/>
        <v>0</v>
      </c>
      <c r="T11" s="130">
        <f t="shared" ca="1" si="4"/>
        <v>-0.29166666666667002</v>
      </c>
      <c r="U11" s="251">
        <f t="shared" ca="1" si="5"/>
        <v>0.29166666666666669</v>
      </c>
      <c r="V11" s="131"/>
      <c r="W11" s="214" t="e">
        <f t="shared" ca="1" si="8"/>
        <v>#REF!</v>
      </c>
      <c r="AB11" s="345">
        <f t="shared" si="9"/>
        <v>0</v>
      </c>
      <c r="AC11" s="345">
        <f t="shared" si="10"/>
        <v>0</v>
      </c>
    </row>
    <row r="12" spans="1:29" s="19" customFormat="1" ht="12" x14ac:dyDescent="0.2">
      <c r="A12" s="312">
        <f t="shared" si="6"/>
        <v>44477</v>
      </c>
      <c r="B12" s="129">
        <f t="shared" si="0"/>
        <v>44477</v>
      </c>
      <c r="C12" s="262" t="str">
        <f t="shared" si="1"/>
        <v/>
      </c>
      <c r="D12" s="358"/>
      <c r="E12" s="352"/>
      <c r="F12" s="255"/>
      <c r="G12" s="309"/>
      <c r="H12" s="309"/>
      <c r="I12" s="348"/>
      <c r="J12" s="361"/>
      <c r="K12" s="352"/>
      <c r="L12" s="309"/>
      <c r="M12" s="309"/>
      <c r="N12" s="321">
        <f>IFERROR(VLOOKUP(G12&amp;L12,tbl_Entfernung[[Verketten]:[Entfernung]],2,FALSE),"")</f>
        <v>0</v>
      </c>
      <c r="O12" s="316">
        <f>IF(S12&gt;PauseGTime,PauseGWert,IF(S12&gt;PauseKTime,PauseKWert,IF(S12&lt;=PauseKTime,0,WENN)))</f>
        <v>0</v>
      </c>
      <c r="P12" s="364"/>
      <c r="Q12" s="356">
        <f t="shared" si="2"/>
        <v>0</v>
      </c>
      <c r="R12" s="225">
        <f t="shared" ca="1" si="3"/>
        <v>0.29166666666666669</v>
      </c>
      <c r="S12" s="225">
        <f t="shared" si="7"/>
        <v>0</v>
      </c>
      <c r="T12" s="130">
        <f t="shared" ca="1" si="4"/>
        <v>-0.29166666666667002</v>
      </c>
      <c r="U12" s="251">
        <f t="shared" ca="1" si="5"/>
        <v>0.29166666666666669</v>
      </c>
      <c r="V12" s="131"/>
      <c r="W12" s="214" t="e">
        <f t="shared" ca="1" si="8"/>
        <v>#REF!</v>
      </c>
      <c r="AB12" s="345">
        <f t="shared" si="9"/>
        <v>0</v>
      </c>
      <c r="AC12" s="345">
        <f t="shared" si="10"/>
        <v>0</v>
      </c>
    </row>
    <row r="13" spans="1:29" s="19" customFormat="1" ht="12" x14ac:dyDescent="0.2">
      <c r="A13" s="312">
        <f t="shared" si="6"/>
        <v>44478</v>
      </c>
      <c r="B13" s="129">
        <f t="shared" si="0"/>
        <v>44478</v>
      </c>
      <c r="C13" s="262" t="str">
        <f t="shared" si="1"/>
        <v/>
      </c>
      <c r="D13" s="358"/>
      <c r="E13" s="352"/>
      <c r="F13" s="255"/>
      <c r="G13" s="309"/>
      <c r="H13" s="309"/>
      <c r="I13" s="348"/>
      <c r="J13" s="361"/>
      <c r="K13" s="352"/>
      <c r="L13" s="309"/>
      <c r="M13" s="309"/>
      <c r="N13" s="321">
        <f>IFERROR(VLOOKUP(G13&amp;L13,tbl_Entfernung[[Verketten]:[Entfernung]],2,FALSE),"")</f>
        <v>0</v>
      </c>
      <c r="O13" s="316">
        <f>IF(S13&gt;PauseGTime,PauseGWert,IF(S13&gt;PauseKTime,PauseKWert,IF(S13&lt;=PauseKTime,0,WENN)))</f>
        <v>0</v>
      </c>
      <c r="P13" s="364"/>
      <c r="Q13" s="356">
        <f t="shared" si="2"/>
        <v>0</v>
      </c>
      <c r="R13" s="225">
        <f t="shared" ca="1" si="3"/>
        <v>0.29166666666666669</v>
      </c>
      <c r="S13" s="225">
        <f t="shared" si="7"/>
        <v>0</v>
      </c>
      <c r="T13" s="130">
        <f t="shared" ca="1" si="4"/>
        <v>-0.29166666666667002</v>
      </c>
      <c r="U13" s="251">
        <f t="shared" ca="1" si="5"/>
        <v>0.29166666666666669</v>
      </c>
      <c r="V13" s="131"/>
      <c r="W13" s="214" t="e">
        <f t="shared" ca="1" si="8"/>
        <v>#REF!</v>
      </c>
      <c r="AB13" s="345">
        <f t="shared" si="9"/>
        <v>0</v>
      </c>
      <c r="AC13" s="345">
        <f t="shared" si="10"/>
        <v>0</v>
      </c>
    </row>
    <row r="14" spans="1:29" s="19" customFormat="1" ht="12" x14ac:dyDescent="0.2">
      <c r="A14" s="312">
        <f t="shared" si="6"/>
        <v>44479</v>
      </c>
      <c r="B14" s="129">
        <f t="shared" si="0"/>
        <v>44479</v>
      </c>
      <c r="C14" s="262" t="str">
        <f t="shared" si="1"/>
        <v/>
      </c>
      <c r="D14" s="358"/>
      <c r="E14" s="352"/>
      <c r="F14" s="255"/>
      <c r="G14" s="309"/>
      <c r="H14" s="309"/>
      <c r="I14" s="348"/>
      <c r="J14" s="361"/>
      <c r="K14" s="352"/>
      <c r="L14" s="309"/>
      <c r="M14" s="309"/>
      <c r="N14" s="321">
        <f>IFERROR(VLOOKUP(G14&amp;L14,tbl_Entfernung[[Verketten]:[Entfernung]],2,FALSE),"")</f>
        <v>0</v>
      </c>
      <c r="O14" s="316">
        <f>IF(S14&gt;PauseGTime,PauseGWert,IF(S14&gt;PauseKTime,PauseKWert,IF(S14&lt;=PauseKTime,0,WENN)))</f>
        <v>0</v>
      </c>
      <c r="P14" s="364"/>
      <c r="Q14" s="356">
        <f t="shared" si="2"/>
        <v>0</v>
      </c>
      <c r="R14" s="225">
        <f t="shared" ca="1" si="3"/>
        <v>0</v>
      </c>
      <c r="S14" s="225">
        <f t="shared" si="7"/>
        <v>0</v>
      </c>
      <c r="T14" s="130">
        <f t="shared" ca="1" si="4"/>
        <v>0</v>
      </c>
      <c r="U14" s="251">
        <f t="shared" ca="1" si="5"/>
        <v>0</v>
      </c>
      <c r="V14" s="131"/>
      <c r="W14" s="214" t="e">
        <f t="shared" ca="1" si="8"/>
        <v>#REF!</v>
      </c>
      <c r="AB14" s="345">
        <f t="shared" si="9"/>
        <v>0</v>
      </c>
      <c r="AC14" s="345">
        <f t="shared" si="10"/>
        <v>0</v>
      </c>
    </row>
    <row r="15" spans="1:29" s="19" customFormat="1" ht="12" x14ac:dyDescent="0.2">
      <c r="A15" s="312">
        <f t="shared" si="6"/>
        <v>44480</v>
      </c>
      <c r="B15" s="129">
        <f t="shared" si="0"/>
        <v>44480</v>
      </c>
      <c r="C15" s="262" t="str">
        <f t="shared" si="1"/>
        <v/>
      </c>
      <c r="D15" s="358"/>
      <c r="E15" s="352"/>
      <c r="F15" s="255"/>
      <c r="G15" s="309"/>
      <c r="H15" s="309"/>
      <c r="I15" s="348"/>
      <c r="J15" s="361"/>
      <c r="K15" s="352"/>
      <c r="L15" s="309"/>
      <c r="M15" s="309"/>
      <c r="N15" s="321">
        <f>IFERROR(VLOOKUP(G15&amp;L15,tbl_Entfernung[[Verketten]:[Entfernung]],2,FALSE),"")</f>
        <v>0</v>
      </c>
      <c r="O15" s="316">
        <f>IF(S15&gt;PauseGTime,PauseGWert,IF(S15&gt;PauseKTime,PauseKWert,IF(S15&lt;=PauseKTime,0,WENN)))</f>
        <v>0</v>
      </c>
      <c r="P15" s="364"/>
      <c r="Q15" s="356">
        <f t="shared" si="2"/>
        <v>0</v>
      </c>
      <c r="R15" s="225">
        <f t="shared" ca="1" si="3"/>
        <v>0</v>
      </c>
      <c r="S15" s="225">
        <f t="shared" si="7"/>
        <v>0</v>
      </c>
      <c r="T15" s="130">
        <f t="shared" ca="1" si="4"/>
        <v>0</v>
      </c>
      <c r="U15" s="251">
        <f t="shared" ca="1" si="5"/>
        <v>0</v>
      </c>
      <c r="V15" s="131"/>
      <c r="W15" s="214" t="e">
        <f t="shared" ca="1" si="8"/>
        <v>#REF!</v>
      </c>
      <c r="AB15" s="345">
        <f t="shared" si="9"/>
        <v>0</v>
      </c>
      <c r="AC15" s="345">
        <f t="shared" si="10"/>
        <v>0</v>
      </c>
    </row>
    <row r="16" spans="1:29" s="19" customFormat="1" ht="12" x14ac:dyDescent="0.2">
      <c r="A16" s="312">
        <f t="shared" si="6"/>
        <v>44481</v>
      </c>
      <c r="B16" s="129">
        <f t="shared" si="0"/>
        <v>44481</v>
      </c>
      <c r="C16" s="262" t="str">
        <f t="shared" si="1"/>
        <v/>
      </c>
      <c r="D16" s="358"/>
      <c r="E16" s="352"/>
      <c r="F16" s="255"/>
      <c r="G16" s="309"/>
      <c r="H16" s="309"/>
      <c r="I16" s="349"/>
      <c r="J16" s="361"/>
      <c r="K16" s="352"/>
      <c r="L16" s="309"/>
      <c r="M16" s="309"/>
      <c r="N16" s="322">
        <f>IFERROR(VLOOKUP(G16&amp;L16,tbl_Entfernung[[Verketten]:[Entfernung]],2,FALSE),"")</f>
        <v>0</v>
      </c>
      <c r="O16" s="316">
        <f>IF(S16&gt;PauseGTime,PauseGWert,IF(S16&gt;PauseKTime,PauseKWert,IF(S16&lt;=PauseKTime,0,WENN)))</f>
        <v>0</v>
      </c>
      <c r="P16" s="364"/>
      <c r="Q16" s="356">
        <f t="shared" si="2"/>
        <v>0</v>
      </c>
      <c r="R16" s="225">
        <f t="shared" ca="1" si="3"/>
        <v>0.29166666666666669</v>
      </c>
      <c r="S16" s="225">
        <f t="shared" si="7"/>
        <v>0</v>
      </c>
      <c r="T16" s="130">
        <f t="shared" ca="1" si="4"/>
        <v>-0.29166666666667002</v>
      </c>
      <c r="U16" s="251">
        <f t="shared" ca="1" si="5"/>
        <v>0.29166666666666669</v>
      </c>
      <c r="V16" s="131"/>
      <c r="W16" s="214" t="e">
        <f t="shared" ca="1" si="8"/>
        <v>#REF!</v>
      </c>
      <c r="AB16" s="345">
        <f t="shared" si="9"/>
        <v>0</v>
      </c>
      <c r="AC16" s="345">
        <f t="shared" si="10"/>
        <v>0</v>
      </c>
    </row>
    <row r="17" spans="1:29" s="19" customFormat="1" ht="12" x14ac:dyDescent="0.2">
      <c r="A17" s="312">
        <f t="shared" si="6"/>
        <v>44482</v>
      </c>
      <c r="B17" s="129">
        <f t="shared" si="0"/>
        <v>44482</v>
      </c>
      <c r="C17" s="262" t="str">
        <f t="shared" si="1"/>
        <v/>
      </c>
      <c r="D17" s="358"/>
      <c r="E17" s="352"/>
      <c r="F17" s="255"/>
      <c r="G17" s="309"/>
      <c r="H17" s="309"/>
      <c r="I17" s="349"/>
      <c r="J17" s="361"/>
      <c r="K17" s="352"/>
      <c r="L17" s="309"/>
      <c r="M17" s="309"/>
      <c r="N17" s="322">
        <f>IFERROR(VLOOKUP(G17&amp;L17,tbl_Entfernung[[Verketten]:[Entfernung]],2,FALSE),"")</f>
        <v>0</v>
      </c>
      <c r="O17" s="316">
        <f>IF(S17&gt;PauseGTime,PauseGWert,IF(S17&gt;PauseKTime,PauseKWert,IF(S17&lt;=PauseKTime,0,WENN)))</f>
        <v>0</v>
      </c>
      <c r="P17" s="364"/>
      <c r="Q17" s="356">
        <f t="shared" si="2"/>
        <v>0</v>
      </c>
      <c r="R17" s="225">
        <f t="shared" ca="1" si="3"/>
        <v>0.29166666666666669</v>
      </c>
      <c r="S17" s="225">
        <f t="shared" si="7"/>
        <v>0</v>
      </c>
      <c r="T17" s="130">
        <f t="shared" ca="1" si="4"/>
        <v>-0.29166666666667002</v>
      </c>
      <c r="U17" s="251">
        <f t="shared" ca="1" si="5"/>
        <v>0.29166666666666669</v>
      </c>
      <c r="V17" s="131"/>
      <c r="W17" s="214" t="e">
        <f t="shared" ca="1" si="8"/>
        <v>#REF!</v>
      </c>
      <c r="AB17" s="345">
        <f t="shared" si="9"/>
        <v>0</v>
      </c>
      <c r="AC17" s="345">
        <f t="shared" si="10"/>
        <v>0</v>
      </c>
    </row>
    <row r="18" spans="1:29" s="19" customFormat="1" ht="12" x14ac:dyDescent="0.2">
      <c r="A18" s="312">
        <f t="shared" si="6"/>
        <v>44483</v>
      </c>
      <c r="B18" s="129">
        <f t="shared" si="0"/>
        <v>44483</v>
      </c>
      <c r="C18" s="262" t="str">
        <f t="shared" si="1"/>
        <v/>
      </c>
      <c r="D18" s="358"/>
      <c r="E18" s="352"/>
      <c r="F18" s="255"/>
      <c r="G18" s="309"/>
      <c r="H18" s="309"/>
      <c r="I18" s="348"/>
      <c r="J18" s="361"/>
      <c r="K18" s="352"/>
      <c r="L18" s="309"/>
      <c r="M18" s="309"/>
      <c r="N18" s="321">
        <f>IFERROR(VLOOKUP(G18&amp;L18,tbl_Entfernung[[Verketten]:[Entfernung]],2,FALSE),"")</f>
        <v>0</v>
      </c>
      <c r="O18" s="316">
        <f>IF(S18&gt;PauseGTime,PauseGWert,IF(S18&gt;PauseKTime,PauseKWert,IF(S18&lt;=PauseKTime,0,WENN)))</f>
        <v>0</v>
      </c>
      <c r="P18" s="364"/>
      <c r="Q18" s="356">
        <f t="shared" si="2"/>
        <v>0</v>
      </c>
      <c r="R18" s="225">
        <f t="shared" ca="1" si="3"/>
        <v>0.29166666666666669</v>
      </c>
      <c r="S18" s="225">
        <f t="shared" si="7"/>
        <v>0</v>
      </c>
      <c r="T18" s="130">
        <f t="shared" ca="1" si="4"/>
        <v>-0.29166666666667002</v>
      </c>
      <c r="U18" s="251">
        <f t="shared" ca="1" si="5"/>
        <v>0.29166666666666669</v>
      </c>
      <c r="V18" s="131"/>
      <c r="W18" s="214" t="e">
        <f t="shared" ca="1" si="8"/>
        <v>#REF!</v>
      </c>
      <c r="AB18" s="345">
        <f t="shared" si="9"/>
        <v>0</v>
      </c>
      <c r="AC18" s="345">
        <f t="shared" si="10"/>
        <v>0</v>
      </c>
    </row>
    <row r="19" spans="1:29" s="19" customFormat="1" ht="12" x14ac:dyDescent="0.2">
      <c r="A19" s="312">
        <f t="shared" si="6"/>
        <v>44484</v>
      </c>
      <c r="B19" s="129">
        <f t="shared" si="0"/>
        <v>44484</v>
      </c>
      <c r="C19" s="262" t="str">
        <f t="shared" si="1"/>
        <v/>
      </c>
      <c r="D19" s="358"/>
      <c r="E19" s="352"/>
      <c r="F19" s="255"/>
      <c r="G19" s="309"/>
      <c r="H19" s="309"/>
      <c r="I19" s="348"/>
      <c r="J19" s="361"/>
      <c r="K19" s="352"/>
      <c r="L19" s="309"/>
      <c r="M19" s="309"/>
      <c r="N19" s="321">
        <f>IFERROR(VLOOKUP(G19&amp;L19,tbl_Entfernung[[Verketten]:[Entfernung]],2,FALSE),"")</f>
        <v>0</v>
      </c>
      <c r="O19" s="316">
        <f>IF(S19&gt;PauseGTime,PauseGWert,IF(S19&gt;PauseKTime,PauseKWert,IF(S19&lt;=PauseKTime,0,WENN)))</f>
        <v>0</v>
      </c>
      <c r="P19" s="364"/>
      <c r="Q19" s="356">
        <f t="shared" si="2"/>
        <v>0</v>
      </c>
      <c r="R19" s="225">
        <f t="shared" ca="1" si="3"/>
        <v>0.29166666666666669</v>
      </c>
      <c r="S19" s="225">
        <f t="shared" si="7"/>
        <v>0</v>
      </c>
      <c r="T19" s="130">
        <f t="shared" ca="1" si="4"/>
        <v>-0.29166666666667002</v>
      </c>
      <c r="U19" s="251">
        <f t="shared" ca="1" si="5"/>
        <v>0.29166666666666669</v>
      </c>
      <c r="V19" s="131"/>
      <c r="W19" s="214" t="e">
        <f t="shared" ca="1" si="8"/>
        <v>#REF!</v>
      </c>
      <c r="AB19" s="345">
        <f t="shared" si="9"/>
        <v>0</v>
      </c>
      <c r="AC19" s="345">
        <f t="shared" si="10"/>
        <v>0</v>
      </c>
    </row>
    <row r="20" spans="1:29" s="19" customFormat="1" ht="12" x14ac:dyDescent="0.2">
      <c r="A20" s="312">
        <f t="shared" si="6"/>
        <v>44485</v>
      </c>
      <c r="B20" s="129">
        <f t="shared" si="0"/>
        <v>44485</v>
      </c>
      <c r="C20" s="262" t="str">
        <f t="shared" si="1"/>
        <v/>
      </c>
      <c r="D20" s="358"/>
      <c r="E20" s="352"/>
      <c r="F20" s="255"/>
      <c r="G20" s="309"/>
      <c r="H20" s="309"/>
      <c r="I20" s="348"/>
      <c r="J20" s="361"/>
      <c r="K20" s="352"/>
      <c r="L20" s="309"/>
      <c r="M20" s="309"/>
      <c r="N20" s="321">
        <f>IFERROR(VLOOKUP(G20&amp;L20,tbl_Entfernung[[Verketten]:[Entfernung]],2,FALSE),"")</f>
        <v>0</v>
      </c>
      <c r="O20" s="316">
        <f>IF(S20&gt;PauseGTime,PauseGWert,IF(S20&gt;PauseKTime,PauseKWert,IF(S20&lt;=PauseKTime,0,WENN)))</f>
        <v>0</v>
      </c>
      <c r="P20" s="364"/>
      <c r="Q20" s="356">
        <f t="shared" si="2"/>
        <v>0</v>
      </c>
      <c r="R20" s="225">
        <f t="shared" ca="1" si="3"/>
        <v>0.29166666666666669</v>
      </c>
      <c r="S20" s="225">
        <f t="shared" si="7"/>
        <v>0</v>
      </c>
      <c r="T20" s="130">
        <f t="shared" ca="1" si="4"/>
        <v>-0.29166666666667002</v>
      </c>
      <c r="U20" s="251">
        <f t="shared" ca="1" si="5"/>
        <v>0.29166666666666669</v>
      </c>
      <c r="V20" s="131"/>
      <c r="W20" s="214" t="e">
        <f t="shared" ca="1" si="8"/>
        <v>#REF!</v>
      </c>
      <c r="AB20" s="345">
        <f t="shared" si="9"/>
        <v>0</v>
      </c>
      <c r="AC20" s="345">
        <f t="shared" si="10"/>
        <v>0</v>
      </c>
    </row>
    <row r="21" spans="1:29" s="19" customFormat="1" ht="12" x14ac:dyDescent="0.2">
      <c r="A21" s="312">
        <f t="shared" si="6"/>
        <v>44486</v>
      </c>
      <c r="B21" s="129">
        <f t="shared" si="0"/>
        <v>44486</v>
      </c>
      <c r="C21" s="262" t="str">
        <f t="shared" si="1"/>
        <v/>
      </c>
      <c r="D21" s="358"/>
      <c r="E21" s="352"/>
      <c r="F21" s="255"/>
      <c r="G21" s="309"/>
      <c r="H21" s="309"/>
      <c r="I21" s="348"/>
      <c r="J21" s="361"/>
      <c r="K21" s="352"/>
      <c r="L21" s="309"/>
      <c r="M21" s="309"/>
      <c r="N21" s="321">
        <f>IFERROR(VLOOKUP(G21&amp;L21,tbl_Entfernung[[Verketten]:[Entfernung]],2,FALSE),"")</f>
        <v>0</v>
      </c>
      <c r="O21" s="316">
        <f>IF(S21&gt;PauseGTime,PauseGWert,IF(S21&gt;PauseKTime,PauseKWert,IF(S21&lt;=PauseKTime,0,WENN)))</f>
        <v>0</v>
      </c>
      <c r="P21" s="364"/>
      <c r="Q21" s="356">
        <f t="shared" si="2"/>
        <v>0</v>
      </c>
      <c r="R21" s="225">
        <f t="shared" ca="1" si="3"/>
        <v>0</v>
      </c>
      <c r="S21" s="225">
        <f t="shared" si="7"/>
        <v>0</v>
      </c>
      <c r="T21" s="130">
        <f t="shared" ca="1" si="4"/>
        <v>0</v>
      </c>
      <c r="U21" s="251">
        <f t="shared" ca="1" si="5"/>
        <v>0</v>
      </c>
      <c r="V21" s="131"/>
      <c r="W21" s="214" t="e">
        <f t="shared" ca="1" si="8"/>
        <v>#REF!</v>
      </c>
      <c r="AB21" s="345">
        <f t="shared" si="9"/>
        <v>0</v>
      </c>
      <c r="AC21" s="345">
        <f t="shared" si="10"/>
        <v>0</v>
      </c>
    </row>
    <row r="22" spans="1:29" s="19" customFormat="1" ht="12" x14ac:dyDescent="0.2">
      <c r="A22" s="312">
        <f t="shared" si="6"/>
        <v>44487</v>
      </c>
      <c r="B22" s="129">
        <f t="shared" si="0"/>
        <v>44487</v>
      </c>
      <c r="C22" s="262" t="str">
        <f t="shared" si="1"/>
        <v/>
      </c>
      <c r="D22" s="358"/>
      <c r="E22" s="352"/>
      <c r="F22" s="255"/>
      <c r="G22" s="309"/>
      <c r="H22" s="309"/>
      <c r="I22" s="348"/>
      <c r="J22" s="361"/>
      <c r="K22" s="352"/>
      <c r="L22" s="309"/>
      <c r="M22" s="309"/>
      <c r="N22" s="321">
        <f>IFERROR(VLOOKUP(G22&amp;L22,tbl_Entfernung[[Verketten]:[Entfernung]],2,FALSE),"")</f>
        <v>0</v>
      </c>
      <c r="O22" s="316">
        <f>IF(S22&gt;PauseGTime,PauseGWert,IF(S22&gt;PauseKTime,PauseKWert,IF(S22&lt;=PauseKTime,0,WENN)))</f>
        <v>0</v>
      </c>
      <c r="P22" s="364"/>
      <c r="Q22" s="356">
        <f t="shared" si="2"/>
        <v>0</v>
      </c>
      <c r="R22" s="225">
        <f t="shared" ca="1" si="3"/>
        <v>0</v>
      </c>
      <c r="S22" s="225">
        <f t="shared" si="7"/>
        <v>0</v>
      </c>
      <c r="T22" s="130">
        <f t="shared" ca="1" si="4"/>
        <v>0</v>
      </c>
      <c r="U22" s="251">
        <f t="shared" ca="1" si="5"/>
        <v>0</v>
      </c>
      <c r="V22" s="131"/>
      <c r="W22" s="214" t="e">
        <f t="shared" ca="1" si="8"/>
        <v>#REF!</v>
      </c>
      <c r="AB22" s="345">
        <f t="shared" si="9"/>
        <v>0</v>
      </c>
      <c r="AC22" s="345">
        <f t="shared" si="10"/>
        <v>0</v>
      </c>
    </row>
    <row r="23" spans="1:29" s="19" customFormat="1" ht="12" x14ac:dyDescent="0.2">
      <c r="A23" s="312">
        <f t="shared" si="6"/>
        <v>44488</v>
      </c>
      <c r="B23" s="129">
        <f t="shared" si="0"/>
        <v>44488</v>
      </c>
      <c r="C23" s="262" t="str">
        <f t="shared" si="1"/>
        <v/>
      </c>
      <c r="D23" s="358"/>
      <c r="E23" s="352"/>
      <c r="F23" s="255"/>
      <c r="G23" s="309"/>
      <c r="H23" s="309"/>
      <c r="I23" s="349"/>
      <c r="J23" s="361"/>
      <c r="K23" s="352"/>
      <c r="L23" s="309"/>
      <c r="M23" s="309"/>
      <c r="N23" s="322">
        <f>IFERROR(VLOOKUP(G23&amp;L23,tbl_Entfernung[[Verketten]:[Entfernung]],2,FALSE),"")</f>
        <v>0</v>
      </c>
      <c r="O23" s="316">
        <f>IF(S23&gt;PauseGTime,PauseGWert,IF(S23&gt;PauseKTime,PauseKWert,IF(S23&lt;=PauseKTime,0,WENN)))</f>
        <v>0</v>
      </c>
      <c r="P23" s="364"/>
      <c r="Q23" s="356">
        <f t="shared" si="2"/>
        <v>0</v>
      </c>
      <c r="R23" s="225">
        <f t="shared" ca="1" si="3"/>
        <v>0.29166666666666669</v>
      </c>
      <c r="S23" s="225">
        <f t="shared" si="7"/>
        <v>0</v>
      </c>
      <c r="T23" s="130">
        <f t="shared" ca="1" si="4"/>
        <v>-0.29166666666667002</v>
      </c>
      <c r="U23" s="251">
        <f t="shared" ca="1" si="5"/>
        <v>0.29166666666666669</v>
      </c>
      <c r="V23" s="131"/>
      <c r="W23" s="214" t="e">
        <f t="shared" ca="1" si="8"/>
        <v>#REF!</v>
      </c>
      <c r="AB23" s="345">
        <f t="shared" si="9"/>
        <v>0</v>
      </c>
      <c r="AC23" s="345">
        <f t="shared" si="10"/>
        <v>0</v>
      </c>
    </row>
    <row r="24" spans="1:29" s="19" customFormat="1" ht="12" x14ac:dyDescent="0.2">
      <c r="A24" s="312">
        <f t="shared" si="6"/>
        <v>44489</v>
      </c>
      <c r="B24" s="129">
        <f t="shared" si="0"/>
        <v>44489</v>
      </c>
      <c r="C24" s="262" t="str">
        <f t="shared" si="1"/>
        <v/>
      </c>
      <c r="D24" s="358"/>
      <c r="E24" s="352"/>
      <c r="F24" s="255"/>
      <c r="G24" s="309"/>
      <c r="H24" s="309"/>
      <c r="I24" s="349"/>
      <c r="J24" s="361"/>
      <c r="K24" s="352"/>
      <c r="L24" s="309"/>
      <c r="M24" s="309"/>
      <c r="N24" s="322">
        <f>IFERROR(VLOOKUP(G24&amp;L24,tbl_Entfernung[[Verketten]:[Entfernung]],2,FALSE),"")</f>
        <v>0</v>
      </c>
      <c r="O24" s="316">
        <f>IF(S24&gt;PauseGTime,PauseGWert,IF(S24&gt;PauseKTime,PauseKWert,IF(S24&lt;=PauseKTime,0,WENN)))</f>
        <v>0</v>
      </c>
      <c r="P24" s="364"/>
      <c r="Q24" s="356">
        <f>IF(A24="",0,IF(IF(E24&lt;F24,F24-E24,IF(F24="",0,F24-E24+1))+IF(J24&lt;K24,K24-J24,IF(K24="",0,K24-J24+1))-O24&gt;0,IF(E24&lt;F24,F24-E24,IF(F24="",0,F24-E24+1))+IF(J24&lt;K24,K24-J24,IF(K24="",0,K24-J24+1))-O24,0))</f>
        <v>0</v>
      </c>
      <c r="R24" s="225">
        <f t="shared" ca="1" si="3"/>
        <v>0.29166666666666669</v>
      </c>
      <c r="S24" s="225">
        <f t="shared" si="7"/>
        <v>0</v>
      </c>
      <c r="T24" s="130">
        <f t="shared" ca="1" si="4"/>
        <v>-0.29166666666667002</v>
      </c>
      <c r="U24" s="251">
        <f t="shared" ca="1" si="5"/>
        <v>0.29166666666666669</v>
      </c>
      <c r="V24" s="131"/>
      <c r="W24" s="214" t="e">
        <f t="shared" ca="1" si="8"/>
        <v>#REF!</v>
      </c>
      <c r="AB24" s="345">
        <f t="shared" si="9"/>
        <v>0</v>
      </c>
      <c r="AC24" s="345">
        <f t="shared" si="10"/>
        <v>0</v>
      </c>
    </row>
    <row r="25" spans="1:29" s="19" customFormat="1" ht="12" x14ac:dyDescent="0.2">
      <c r="A25" s="312">
        <f t="shared" si="6"/>
        <v>44490</v>
      </c>
      <c r="B25" s="129">
        <f t="shared" si="0"/>
        <v>44490</v>
      </c>
      <c r="C25" s="262" t="str">
        <f t="shared" si="1"/>
        <v/>
      </c>
      <c r="D25" s="358"/>
      <c r="E25" s="352"/>
      <c r="F25" s="255"/>
      <c r="G25" s="309"/>
      <c r="H25" s="309"/>
      <c r="I25" s="348"/>
      <c r="J25" s="361"/>
      <c r="K25" s="352"/>
      <c r="L25" s="309"/>
      <c r="M25" s="309"/>
      <c r="N25" s="321">
        <f>IFERROR(VLOOKUP(G25&amp;L25,tbl_Entfernung[[Verketten]:[Entfernung]],2,FALSE),"")</f>
        <v>0</v>
      </c>
      <c r="O25" s="316">
        <f>IF(S25&gt;PauseGTime,PauseGWert,IF(S25&gt;PauseKTime,PauseKWert,IF(S25&lt;=PauseKTime,0,WENN)))</f>
        <v>0</v>
      </c>
      <c r="P25" s="364"/>
      <c r="Q25" s="356">
        <f t="shared" si="2"/>
        <v>0</v>
      </c>
      <c r="R25" s="225">
        <f t="shared" ca="1" si="3"/>
        <v>0.29166666666666669</v>
      </c>
      <c r="S25" s="225">
        <f t="shared" si="7"/>
        <v>0</v>
      </c>
      <c r="T25" s="130">
        <f t="shared" ca="1" si="4"/>
        <v>-0.29166666666667002</v>
      </c>
      <c r="U25" s="251">
        <f t="shared" ca="1" si="5"/>
        <v>0.29166666666666669</v>
      </c>
      <c r="V25" s="131"/>
      <c r="W25" s="214" t="e">
        <f t="shared" ca="1" si="8"/>
        <v>#REF!</v>
      </c>
      <c r="AB25" s="345">
        <f t="shared" si="9"/>
        <v>0</v>
      </c>
      <c r="AC25" s="345">
        <f t="shared" si="10"/>
        <v>0</v>
      </c>
    </row>
    <row r="26" spans="1:29" s="19" customFormat="1" ht="12" x14ac:dyDescent="0.2">
      <c r="A26" s="312">
        <f t="shared" si="6"/>
        <v>44491</v>
      </c>
      <c r="B26" s="129">
        <f t="shared" si="0"/>
        <v>44491</v>
      </c>
      <c r="C26" s="262" t="str">
        <f t="shared" si="1"/>
        <v/>
      </c>
      <c r="D26" s="358"/>
      <c r="E26" s="352"/>
      <c r="F26" s="255"/>
      <c r="G26" s="309"/>
      <c r="H26" s="309"/>
      <c r="I26" s="348"/>
      <c r="J26" s="361"/>
      <c r="K26" s="352"/>
      <c r="L26" s="309"/>
      <c r="M26" s="309"/>
      <c r="N26" s="321">
        <f>IFERROR(VLOOKUP(G26&amp;L26,tbl_Entfernung[[Verketten]:[Entfernung]],2,FALSE),"")</f>
        <v>0</v>
      </c>
      <c r="O26" s="316">
        <f>IF(S26&gt;PauseGTime,PauseGWert,IF(S26&gt;PauseKTime,PauseKWert,IF(S26&lt;=PauseKTime,0,WENN)))</f>
        <v>0</v>
      </c>
      <c r="P26" s="364"/>
      <c r="Q26" s="356">
        <f t="shared" si="2"/>
        <v>0</v>
      </c>
      <c r="R26" s="225">
        <f t="shared" ca="1" si="3"/>
        <v>0.29166666666666669</v>
      </c>
      <c r="S26" s="225">
        <f t="shared" si="7"/>
        <v>0</v>
      </c>
      <c r="T26" s="130">
        <f t="shared" ca="1" si="4"/>
        <v>-0.29166666666667002</v>
      </c>
      <c r="U26" s="251">
        <f t="shared" ca="1" si="5"/>
        <v>0.29166666666666669</v>
      </c>
      <c r="V26" s="131"/>
      <c r="W26" s="214" t="e">
        <f t="shared" ca="1" si="8"/>
        <v>#REF!</v>
      </c>
      <c r="AB26" s="345">
        <f t="shared" si="9"/>
        <v>0</v>
      </c>
      <c r="AC26" s="345">
        <f t="shared" si="10"/>
        <v>0</v>
      </c>
    </row>
    <row r="27" spans="1:29" s="19" customFormat="1" ht="12" x14ac:dyDescent="0.2">
      <c r="A27" s="312">
        <f t="shared" si="6"/>
        <v>44492</v>
      </c>
      <c r="B27" s="129">
        <f t="shared" si="0"/>
        <v>44492</v>
      </c>
      <c r="C27" s="262" t="str">
        <f t="shared" si="1"/>
        <v/>
      </c>
      <c r="D27" s="358"/>
      <c r="E27" s="352"/>
      <c r="F27" s="255"/>
      <c r="G27" s="309"/>
      <c r="H27" s="309"/>
      <c r="I27" s="348"/>
      <c r="J27" s="361"/>
      <c r="K27" s="352"/>
      <c r="L27" s="309"/>
      <c r="M27" s="309"/>
      <c r="N27" s="321">
        <f>IFERROR(VLOOKUP(G27&amp;L27,tbl_Entfernung[[Verketten]:[Entfernung]],2,FALSE),"")</f>
        <v>0</v>
      </c>
      <c r="O27" s="316">
        <f>IF(S27&gt;PauseGTime,PauseGWert,IF(S27&gt;PauseKTime,PauseKWert,IF(S27&lt;=PauseKTime,0,WENN)))</f>
        <v>0</v>
      </c>
      <c r="P27" s="364"/>
      <c r="Q27" s="356">
        <f t="shared" si="2"/>
        <v>0</v>
      </c>
      <c r="R27" s="225">
        <f t="shared" ca="1" si="3"/>
        <v>0.29166666666666669</v>
      </c>
      <c r="S27" s="225">
        <f t="shared" si="7"/>
        <v>0</v>
      </c>
      <c r="T27" s="130">
        <f t="shared" ca="1" si="4"/>
        <v>-0.29166666666667002</v>
      </c>
      <c r="U27" s="251">
        <f t="shared" ca="1" si="5"/>
        <v>0.29166666666666669</v>
      </c>
      <c r="V27" s="131"/>
      <c r="W27" s="214" t="e">
        <f t="shared" ca="1" si="8"/>
        <v>#REF!</v>
      </c>
      <c r="AB27" s="345">
        <f t="shared" si="9"/>
        <v>0</v>
      </c>
      <c r="AC27" s="345">
        <f t="shared" si="10"/>
        <v>0</v>
      </c>
    </row>
    <row r="28" spans="1:29" s="19" customFormat="1" ht="12" x14ac:dyDescent="0.2">
      <c r="A28" s="312">
        <f t="shared" si="6"/>
        <v>44493</v>
      </c>
      <c r="B28" s="129">
        <f t="shared" si="0"/>
        <v>44493</v>
      </c>
      <c r="C28" s="262" t="str">
        <f t="shared" si="1"/>
        <v/>
      </c>
      <c r="D28" s="358"/>
      <c r="E28" s="352"/>
      <c r="F28" s="255"/>
      <c r="G28" s="309"/>
      <c r="H28" s="309"/>
      <c r="I28" s="348"/>
      <c r="J28" s="361"/>
      <c r="K28" s="352"/>
      <c r="L28" s="309"/>
      <c r="M28" s="309"/>
      <c r="N28" s="321">
        <f>IFERROR(VLOOKUP(G28&amp;L28,tbl_Entfernung[[Verketten]:[Entfernung]],2,FALSE),"")</f>
        <v>0</v>
      </c>
      <c r="O28" s="316">
        <f>IF(S28&gt;PauseGTime,PauseGWert,IF(S28&gt;PauseKTime,PauseKWert,IF(S28&lt;=PauseKTime,0,WENN)))</f>
        <v>0</v>
      </c>
      <c r="P28" s="364"/>
      <c r="Q28" s="356">
        <f t="shared" si="2"/>
        <v>0</v>
      </c>
      <c r="R28" s="225">
        <f t="shared" ca="1" si="3"/>
        <v>0</v>
      </c>
      <c r="S28" s="225">
        <f t="shared" si="7"/>
        <v>0</v>
      </c>
      <c r="T28" s="130">
        <f t="shared" ca="1" si="4"/>
        <v>0</v>
      </c>
      <c r="U28" s="251">
        <f t="shared" ca="1" si="5"/>
        <v>0</v>
      </c>
      <c r="V28" s="131"/>
      <c r="W28" s="214" t="e">
        <f t="shared" ca="1" si="8"/>
        <v>#REF!</v>
      </c>
      <c r="AB28" s="345">
        <f t="shared" si="9"/>
        <v>0</v>
      </c>
      <c r="AC28" s="345">
        <f t="shared" si="10"/>
        <v>0</v>
      </c>
    </row>
    <row r="29" spans="1:29" s="19" customFormat="1" ht="12" x14ac:dyDescent="0.2">
      <c r="A29" s="312">
        <f t="shared" si="6"/>
        <v>44494</v>
      </c>
      <c r="B29" s="129">
        <f t="shared" si="0"/>
        <v>44494</v>
      </c>
      <c r="C29" s="262" t="str">
        <f t="shared" si="1"/>
        <v/>
      </c>
      <c r="D29" s="358"/>
      <c r="E29" s="352"/>
      <c r="F29" s="255"/>
      <c r="G29" s="309"/>
      <c r="H29" s="309"/>
      <c r="I29" s="348"/>
      <c r="J29" s="361"/>
      <c r="K29" s="352"/>
      <c r="L29" s="309"/>
      <c r="M29" s="309"/>
      <c r="N29" s="321">
        <f>IFERROR(VLOOKUP(G29&amp;L29,tbl_Entfernung[[Verketten]:[Entfernung]],2,FALSE),"")</f>
        <v>0</v>
      </c>
      <c r="O29" s="316">
        <f>IF(S29&gt;PauseGTime,PauseGWert,IF(S29&gt;PauseKTime,PauseKWert,IF(S29&lt;=PauseKTime,0,WENN)))</f>
        <v>0</v>
      </c>
      <c r="P29" s="364"/>
      <c r="Q29" s="356">
        <f t="shared" si="2"/>
        <v>0</v>
      </c>
      <c r="R29" s="225">
        <f t="shared" ca="1" si="3"/>
        <v>0</v>
      </c>
      <c r="S29" s="225">
        <f t="shared" si="7"/>
        <v>0</v>
      </c>
      <c r="T29" s="130">
        <f t="shared" ca="1" si="4"/>
        <v>0</v>
      </c>
      <c r="U29" s="251">
        <f t="shared" ca="1" si="5"/>
        <v>0</v>
      </c>
      <c r="V29" s="131"/>
      <c r="W29" s="214" t="e">
        <f t="shared" ca="1" si="8"/>
        <v>#REF!</v>
      </c>
      <c r="AB29" s="345">
        <f t="shared" si="9"/>
        <v>0</v>
      </c>
      <c r="AC29" s="345">
        <f t="shared" si="10"/>
        <v>0</v>
      </c>
    </row>
    <row r="30" spans="1:29" s="19" customFormat="1" ht="12" x14ac:dyDescent="0.2">
      <c r="A30" s="312">
        <f t="shared" si="6"/>
        <v>44495</v>
      </c>
      <c r="B30" s="129">
        <f t="shared" si="0"/>
        <v>44495</v>
      </c>
      <c r="C30" s="262" t="str">
        <f t="shared" si="1"/>
        <v/>
      </c>
      <c r="D30" s="358"/>
      <c r="E30" s="352"/>
      <c r="F30" s="255"/>
      <c r="G30" s="309"/>
      <c r="H30" s="309"/>
      <c r="I30" s="349"/>
      <c r="J30" s="361"/>
      <c r="K30" s="352"/>
      <c r="L30" s="309"/>
      <c r="M30" s="309"/>
      <c r="N30" s="322">
        <f>IFERROR(VLOOKUP(G30&amp;L30,tbl_Entfernung[[Verketten]:[Entfernung]],2,FALSE),"")</f>
        <v>0</v>
      </c>
      <c r="O30" s="316">
        <f>IF(S30&gt;PauseGTime,PauseGWert,IF(S30&gt;PauseKTime,PauseKWert,IF(S30&lt;=PauseKTime,0,WENN)))</f>
        <v>0</v>
      </c>
      <c r="P30" s="364"/>
      <c r="Q30" s="356">
        <f t="shared" si="2"/>
        <v>0</v>
      </c>
      <c r="R30" s="225">
        <f t="shared" ca="1" si="3"/>
        <v>0.29166666666666669</v>
      </c>
      <c r="S30" s="225">
        <f t="shared" si="7"/>
        <v>0</v>
      </c>
      <c r="T30" s="130">
        <f t="shared" ca="1" si="4"/>
        <v>-0.29166666666667002</v>
      </c>
      <c r="U30" s="251">
        <f t="shared" ca="1" si="5"/>
        <v>0.29166666666666669</v>
      </c>
      <c r="V30" s="131"/>
      <c r="W30" s="214" t="e">
        <f t="shared" ca="1" si="8"/>
        <v>#REF!</v>
      </c>
      <c r="AB30" s="345">
        <f t="shared" si="9"/>
        <v>0</v>
      </c>
      <c r="AC30" s="345">
        <f t="shared" si="10"/>
        <v>0</v>
      </c>
    </row>
    <row r="31" spans="1:29" s="19" customFormat="1" ht="12" x14ac:dyDescent="0.2">
      <c r="A31" s="312">
        <f t="shared" si="6"/>
        <v>44496</v>
      </c>
      <c r="B31" s="129">
        <f t="shared" si="0"/>
        <v>44496</v>
      </c>
      <c r="C31" s="262" t="str">
        <f t="shared" si="1"/>
        <v/>
      </c>
      <c r="D31" s="358"/>
      <c r="E31" s="352"/>
      <c r="F31" s="255"/>
      <c r="G31" s="309"/>
      <c r="H31" s="309"/>
      <c r="I31" s="349"/>
      <c r="J31" s="361"/>
      <c r="K31" s="352"/>
      <c r="L31" s="309"/>
      <c r="M31" s="309"/>
      <c r="N31" s="322">
        <f>IFERROR(VLOOKUP(G31&amp;L31,tbl_Entfernung[[Verketten]:[Entfernung]],2,FALSE),"")</f>
        <v>0</v>
      </c>
      <c r="O31" s="316">
        <f>IF(S31&gt;PauseGTime,PauseGWert,IF(S31&gt;PauseKTime,PauseKWert,IF(S31&lt;=PauseKTime,0,WENN)))</f>
        <v>0</v>
      </c>
      <c r="P31" s="364"/>
      <c r="Q31" s="356">
        <f t="shared" si="2"/>
        <v>0</v>
      </c>
      <c r="R31" s="225">
        <f t="shared" ca="1" si="3"/>
        <v>0.29166666666666669</v>
      </c>
      <c r="S31" s="225">
        <f t="shared" si="7"/>
        <v>0</v>
      </c>
      <c r="T31" s="130">
        <f t="shared" ca="1" si="4"/>
        <v>-0.29166666666667002</v>
      </c>
      <c r="U31" s="251">
        <f t="shared" ca="1" si="5"/>
        <v>0.29166666666666669</v>
      </c>
      <c r="V31" s="131"/>
      <c r="W31" s="214" t="e">
        <f t="shared" ca="1" si="8"/>
        <v>#REF!</v>
      </c>
      <c r="AB31" s="345">
        <f t="shared" si="9"/>
        <v>0</v>
      </c>
      <c r="AC31" s="345">
        <f t="shared" si="10"/>
        <v>0</v>
      </c>
    </row>
    <row r="32" spans="1:29" s="19" customFormat="1" ht="12" x14ac:dyDescent="0.2">
      <c r="A32" s="312">
        <f>IF(MONTH(A31+1)&gt;MONTH(A31),"",A31+1)</f>
        <v>44497</v>
      </c>
      <c r="B32" s="129">
        <f t="shared" si="0"/>
        <v>44497</v>
      </c>
      <c r="C32" s="262" t="str">
        <f>IF(ISERROR(VLOOKUP(A32,Feiertage,2,FALSE)),"",(VLOOKUP(A32,Feiertage,2,FALSE)))</f>
        <v/>
      </c>
      <c r="D32" s="358"/>
      <c r="E32" s="352"/>
      <c r="F32" s="255"/>
      <c r="G32" s="309"/>
      <c r="H32" s="309"/>
      <c r="I32" s="349"/>
      <c r="J32" s="361"/>
      <c r="K32" s="352"/>
      <c r="L32" s="309"/>
      <c r="M32" s="309"/>
      <c r="N32" s="322">
        <f>IFERROR(VLOOKUP(G32&amp;L32,tbl_Entfernung[[Verketten]:[Entfernung]],2,FALSE),"")</f>
        <v>0</v>
      </c>
      <c r="O32" s="316">
        <f>IF(S32&gt;PauseGTime,PauseGWert,IF(S32&gt;PauseKTime,PauseKWert,IF(S32&lt;=PauseKTime,0,WENN)))</f>
        <v>0</v>
      </c>
      <c r="P32" s="364"/>
      <c r="Q32" s="356">
        <f t="shared" si="2"/>
        <v>0</v>
      </c>
      <c r="R32" s="225">
        <f t="shared" ca="1" si="3"/>
        <v>0.29166666666666669</v>
      </c>
      <c r="S32" s="225">
        <f t="shared" si="7"/>
        <v>0</v>
      </c>
      <c r="T32" s="130">
        <f t="shared" ca="1" si="4"/>
        <v>-0.29166666666667002</v>
      </c>
      <c r="U32" s="251">
        <f t="shared" ca="1" si="5"/>
        <v>0.29166666666666669</v>
      </c>
      <c r="V32" s="131"/>
      <c r="W32" s="214" t="e">
        <f t="shared" ca="1" si="8"/>
        <v>#REF!</v>
      </c>
      <c r="AB32" s="345">
        <f t="shared" si="9"/>
        <v>0</v>
      </c>
      <c r="AC32" s="345">
        <f t="shared" si="10"/>
        <v>0</v>
      </c>
    </row>
    <row r="33" spans="1:29" s="19" customFormat="1" ht="12" x14ac:dyDescent="0.2">
      <c r="A33" s="312">
        <f>IF(MONTH(A31+2)&gt;MONTH(A31),"",A31+2)</f>
        <v>44498</v>
      </c>
      <c r="B33" s="129">
        <f t="shared" si="0"/>
        <v>44498</v>
      </c>
      <c r="C33" s="262" t="str">
        <f>IF(ISERROR(VLOOKUP(A33,Feiertage,2,FALSE)),"",(VLOOKUP(A33,Feiertage,2,FALSE)))</f>
        <v/>
      </c>
      <c r="D33" s="358"/>
      <c r="E33" s="352"/>
      <c r="F33" s="255"/>
      <c r="G33" s="309"/>
      <c r="H33" s="309"/>
      <c r="I33" s="349"/>
      <c r="J33" s="361"/>
      <c r="K33" s="352"/>
      <c r="L33" s="309"/>
      <c r="M33" s="309"/>
      <c r="N33" s="322">
        <f>IFERROR(VLOOKUP(G33&amp;L33,tbl_Entfernung[[Verketten]:[Entfernung]],2,FALSE),"")</f>
        <v>0</v>
      </c>
      <c r="O33" s="316">
        <f>IF(S33&gt;PauseGTime,PauseGWert,IF(S33&gt;PauseKTime,PauseKWert,IF(S33&lt;=PauseKTime,0,WENN)))</f>
        <v>0</v>
      </c>
      <c r="P33" s="364"/>
      <c r="Q33" s="356">
        <f t="shared" si="2"/>
        <v>0</v>
      </c>
      <c r="R33" s="225">
        <f t="shared" ca="1" si="3"/>
        <v>0.29166666666666669</v>
      </c>
      <c r="S33" s="225">
        <f t="shared" si="7"/>
        <v>0</v>
      </c>
      <c r="T33" s="130">
        <f t="shared" ca="1" si="4"/>
        <v>-0.29166666666667002</v>
      </c>
      <c r="U33" s="251">
        <f t="shared" ca="1" si="5"/>
        <v>0.29166666666666669</v>
      </c>
      <c r="V33" s="131"/>
      <c r="W33" s="214" t="e">
        <f t="shared" ca="1" si="8"/>
        <v>#REF!</v>
      </c>
      <c r="AB33" s="345">
        <f t="shared" si="9"/>
        <v>0</v>
      </c>
      <c r="AC33" s="345">
        <f t="shared" si="10"/>
        <v>0</v>
      </c>
    </row>
    <row r="34" spans="1:29" s="19" customFormat="1" ht="12" x14ac:dyDescent="0.2">
      <c r="A34" s="313">
        <f>IF(MONTH(A31+3)&gt;MONTH(A31),"",A31+3)</f>
        <v>44499</v>
      </c>
      <c r="B34" s="215">
        <f t="shared" si="0"/>
        <v>44499</v>
      </c>
      <c r="C34" s="263" t="str">
        <f>IF(ISERROR(VLOOKUP(A34,Feiertage,2,FALSE)),"",(VLOOKUP(A34,Feiertage,2,FALSE)))</f>
        <v>Reformationstag</v>
      </c>
      <c r="D34" s="359"/>
      <c r="E34" s="353"/>
      <c r="F34" s="256"/>
      <c r="G34" s="310"/>
      <c r="H34" s="310"/>
      <c r="I34" s="350"/>
      <c r="J34" s="362"/>
      <c r="K34" s="354"/>
      <c r="L34" s="310"/>
      <c r="M34" s="310"/>
      <c r="N34" s="323">
        <f>IFERROR(VLOOKUP(G34&amp;L34,tbl_Entfernung[[Verketten]:[Entfernung]],2,FALSE),"")</f>
        <v>0</v>
      </c>
      <c r="O34" s="317">
        <f>IF(S34&gt;PauseGTime,PauseGWert,IF(S34&gt;PauseKTime,PauseKWert,IF(S34&lt;=PauseKTime,0,WENN)))</f>
        <v>0</v>
      </c>
      <c r="P34" s="365"/>
      <c r="Q34" s="357">
        <f t="shared" si="2"/>
        <v>0</v>
      </c>
      <c r="R34" s="226">
        <f t="shared" ca="1" si="3"/>
        <v>0</v>
      </c>
      <c r="S34" s="226">
        <f t="shared" si="7"/>
        <v>0</v>
      </c>
      <c r="T34" s="216">
        <f t="shared" ca="1" si="4"/>
        <v>0</v>
      </c>
      <c r="U34" s="252">
        <f t="shared" ca="1" si="5"/>
        <v>0.29166666666666669</v>
      </c>
      <c r="V34" s="217"/>
      <c r="W34" s="218" t="e">
        <f t="shared" ca="1" si="8"/>
        <v>#REF!</v>
      </c>
      <c r="AB34" s="345">
        <f t="shared" si="9"/>
        <v>0</v>
      </c>
      <c r="AC34" s="345">
        <f t="shared" si="10"/>
        <v>0</v>
      </c>
    </row>
    <row r="35" spans="1:29" s="19" customFormat="1" ht="4.5" customHeight="1" x14ac:dyDescent="0.2">
      <c r="B35" s="48"/>
      <c r="C35" s="48"/>
      <c r="D35" s="48"/>
      <c r="E35" s="48"/>
      <c r="F35" s="49"/>
      <c r="G35" s="49"/>
      <c r="H35" s="49"/>
      <c r="I35" s="49"/>
      <c r="J35" s="49"/>
      <c r="K35" s="49"/>
      <c r="L35" s="50"/>
      <c r="M35" s="50"/>
      <c r="N35" s="50"/>
      <c r="O35" s="50"/>
      <c r="P35" s="50"/>
      <c r="Q35" s="49"/>
      <c r="R35" s="51"/>
      <c r="S35" s="51"/>
      <c r="T35" s="51"/>
      <c r="U35" s="1"/>
      <c r="V35" s="1"/>
      <c r="W35" s="1"/>
    </row>
    <row r="36" spans="1:29" ht="12.75" customHeight="1" x14ac:dyDescent="0.2">
      <c r="A36" s="132"/>
      <c r="B36" s="133"/>
      <c r="C36" s="133"/>
      <c r="D36" s="290"/>
      <c r="E36" s="272"/>
      <c r="F36" s="291" t="str">
        <f>"Übertrag "&amp;TEXT(DATE(YEAR(A1),MONTH(A1)-1,1),"MMMM JJJJ")&amp;":"</f>
        <v>Übertrag September 2025:</v>
      </c>
      <c r="G36" s="272"/>
      <c r="H36" s="272"/>
      <c r="I36" s="272"/>
      <c r="J36" s="292" t="e">
        <f ca="1">September!J40</f>
        <v>#REF!</v>
      </c>
      <c r="K36" s="287"/>
      <c r="P36" s="293">
        <f>COUNTIF(P4:P34,Voreinstellungen!B21)+IF(COUNTIF(P4:P34,Voreinstellungen!B22)&gt;0,1-(SUMIF(P4:P34,Voreinstellungen!B22,R4:R34)/SUMIF(P4:P34,Voreinstellungen!B22,U4:U34)),0)</f>
        <v>0</v>
      </c>
      <c r="Q36" s="325" t="str">
        <f>Voreinstellungen!A21&amp;" ("&amp;Voreinstellungen!B21&amp;"/"&amp;Voreinstellungen!B22&amp;")"</f>
        <v>Krank (K/KK)</v>
      </c>
      <c r="R36" s="326"/>
      <c r="S36" s="326"/>
      <c r="T36" s="326"/>
      <c r="U36" s="326"/>
      <c r="V36" s="326"/>
      <c r="W36" s="173">
        <f>(SUMIF(P4:P34,Voreinstellungen!B21,R4:R34)-SUMIF(P4:P34,Voreinstellungen!B21,U4:U34)+SUMIF(P4:P34,Voreinstellungen!B22,R4:R34)-SUMIF(P4:P34,Voreinstellungen!B22,U4:U34))*-1</f>
        <v>0</v>
      </c>
      <c r="Y36" s="372" t="s">
        <v>145</v>
      </c>
      <c r="Z36" s="385" t="s">
        <v>150</v>
      </c>
      <c r="AA36" s="385" t="s">
        <v>151</v>
      </c>
      <c r="AB36" s="386" t="s">
        <v>152</v>
      </c>
    </row>
    <row r="37" spans="1:29" ht="12.75" customHeight="1" x14ac:dyDescent="0.2">
      <c r="A37" s="134"/>
      <c r="B37" s="135"/>
      <c r="C37" s="135"/>
      <c r="D37" s="135"/>
      <c r="E37" s="136"/>
      <c r="F37" s="294" t="str">
        <f>"SOLL Arbeitszeit ("&amp;TEXT(A1,"MMMM")&amp;"):"</f>
        <v>SOLL Arbeitszeit (Oktober):</v>
      </c>
      <c r="G37" s="136"/>
      <c r="H37" s="136"/>
      <c r="I37" s="136"/>
      <c r="J37" s="295">
        <f ca="1">SUM(R4:R34)</f>
        <v>6.1250000000000018</v>
      </c>
      <c r="K37" s="287"/>
      <c r="P37" s="296">
        <f>COUNTIF(P4:P34,Voreinstellungen!B25)+(COUNTIF(P4:P34,Voreinstellungen!B26)*Voreinstellungen!C26)</f>
        <v>0</v>
      </c>
      <c r="Q37" s="327" t="str">
        <f>Voreinstellungen!A25&amp;" ("&amp;Voreinstellungen!B25&amp;"/"&amp;Voreinstellungen!B26&amp;") aktuell noch Verfügbar: "&amp;Voreinstellungen!C38&amp;" Tag(e)"</f>
        <v>Urlaub (U/UH) aktuell noch Verfügbar: 27 Tag(e)</v>
      </c>
      <c r="R37" s="328"/>
      <c r="S37" s="328"/>
      <c r="T37" s="328"/>
      <c r="U37" s="328"/>
      <c r="V37" s="328"/>
      <c r="W37" s="167">
        <f>SUMIF(P4:P34,Voreinstellungen!B25,U4:U34)+(SUMIF(P4:P34,Voreinstellungen!B26,U4:U34)*0.5)</f>
        <v>0</v>
      </c>
      <c r="Y37" s="374">
        <f>Voreinstellungen!J45</f>
        <v>0</v>
      </c>
      <c r="Z37" s="377">
        <f t="shared" ref="Z37:Z49" si="11">SUMIFS($AB$4:$AB$34,$G$4:$G$34,$Y37)+SUMIFS($AC$4:$AC$34,$L$4:$L$34,$Y37)</f>
        <v>0</v>
      </c>
      <c r="AA37" s="378">
        <f t="shared" ref="AA37:AA49" si="12">SUMIFS($I$4:$I$34,$G$4:$G$34,$Y37)+SUMIFS($N$4:$N$34,$L$4:$L$34,$Y37)</f>
        <v>0</v>
      </c>
      <c r="AB37" s="379">
        <f>SUM(AA37*Voreinstellungen!$C$44)</f>
        <v>0</v>
      </c>
    </row>
    <row r="38" spans="1:29" ht="12.75" customHeight="1" x14ac:dyDescent="0.2">
      <c r="A38" s="137"/>
      <c r="B38" s="138"/>
      <c r="C38" s="138"/>
      <c r="D38" s="138"/>
      <c r="E38" s="136"/>
      <c r="F38" s="294" t="str">
        <f>"IST Arbeitszeit ("&amp;TEXT(A1,"MMMM")&amp;"):"</f>
        <v>IST Arbeitszeit (Oktober):</v>
      </c>
      <c r="G38" s="273"/>
      <c r="H38" s="273"/>
      <c r="I38" s="273"/>
      <c r="J38" s="297">
        <f>SUM(Q4:Q34)</f>
        <v>0</v>
      </c>
      <c r="K38" s="287"/>
      <c r="P38" s="296">
        <f>COUNTIF(P4:P34,Voreinstellungen!B20)</f>
        <v>0</v>
      </c>
      <c r="Q38" s="327" t="str">
        <f>Voreinstellungen!A20&amp;" ("&amp;Voreinstellungen!B20&amp;")"</f>
        <v>Gleittag (G)</v>
      </c>
      <c r="R38" s="328"/>
      <c r="S38" s="328"/>
      <c r="T38" s="328"/>
      <c r="U38" s="328"/>
      <c r="V38" s="328"/>
      <c r="W38" s="172"/>
      <c r="Y38" s="375">
        <f>Voreinstellungen!J46</f>
        <v>0</v>
      </c>
      <c r="Z38" s="380">
        <f t="shared" si="11"/>
        <v>0</v>
      </c>
      <c r="AA38" s="380">
        <f t="shared" si="12"/>
        <v>0</v>
      </c>
      <c r="AB38" s="381">
        <f>SUM(AA38*Voreinstellungen!$C$44)</f>
        <v>0</v>
      </c>
    </row>
    <row r="39" spans="1:29" ht="12.75" customHeight="1" x14ac:dyDescent="0.2">
      <c r="A39" s="137"/>
      <c r="B39" s="138"/>
      <c r="C39" s="138"/>
      <c r="D39" s="138"/>
      <c r="E39" s="136"/>
      <c r="F39" s="136" t="s">
        <v>84</v>
      </c>
      <c r="G39" s="274"/>
      <c r="H39" s="274"/>
      <c r="I39" s="274"/>
      <c r="J39" s="298"/>
      <c r="K39" s="287"/>
      <c r="P39" s="296">
        <f>COUNTIF(P4:P34,Voreinstellungen!B23)+IF(SUMIF(P4:P34,Voreinstellungen!B24,U4:U34)&lt;&gt;0,(1-(SUMIF(P4:P34,Voreinstellungen!B24,R4:R34)/SUMIF(P4:P34,Voreinstellungen!B24,U4:U34)))*COUNTIF(P4:P34,Voreinstellungen!B24),0)</f>
        <v>0</v>
      </c>
      <c r="Q39" s="327" t="str">
        <f>Voreinstellungen!A23&amp;" ("&amp;Voreinstellungen!B23&amp;")/("&amp;Voreinstellungen!B24&amp;")"</f>
        <v>Kurzarbeit (KU)/(KA)</v>
      </c>
      <c r="R39" s="329"/>
      <c r="S39" s="329"/>
      <c r="T39" s="329"/>
      <c r="U39" s="329"/>
      <c r="V39" s="329"/>
      <c r="W39" s="166">
        <f>(SUMIF(P4:P34,Voreinstellungen!B23,R4:R34)-SUMIF(P4:P34,Voreinstellungen!B23,U4:U34)+SUMIF(P4:P34,Voreinstellungen!B24,R4:R34)-SUMIF(P4:P34,Voreinstellungen!B24,U4:U34))*-1</f>
        <v>0</v>
      </c>
      <c r="Y39" s="375">
        <f>Voreinstellungen!J48</f>
        <v>0</v>
      </c>
      <c r="Z39" s="380">
        <f t="shared" si="11"/>
        <v>0</v>
      </c>
      <c r="AA39" s="380">
        <f t="shared" si="12"/>
        <v>0</v>
      </c>
      <c r="AB39" s="381">
        <f>SUM(AA39*Voreinstellungen!$C$44)</f>
        <v>0</v>
      </c>
    </row>
    <row r="40" spans="1:29" ht="12.75" customHeight="1" x14ac:dyDescent="0.2">
      <c r="A40" s="139"/>
      <c r="B40" s="140"/>
      <c r="C40" s="140"/>
      <c r="D40" s="140"/>
      <c r="E40" s="141"/>
      <c r="F40" s="299" t="s">
        <v>85</v>
      </c>
      <c r="G40" s="275"/>
      <c r="H40" s="275"/>
      <c r="I40" s="275"/>
      <c r="J40" s="300" t="e">
        <f ca="1">ROUND(J38+J36-J39-J37,14)</f>
        <v>#REF!</v>
      </c>
      <c r="K40" s="287"/>
      <c r="P40" s="296">
        <f>COUNTIF(Q4:Q34,"&gt;0")-IF(Voreinstellungen!C28="XTRA",COUNTIF(P4:P34,Voreinstellungen!B28),0)-IF(Voreinstellungen!C29="XTRA",COUNTIF(P4:P34,Voreinstellungen!B29),0)-IF(Voreinstellungen!C30="XTRA",COUNTIF(P4:P34,Voreinstellungen!B30),0)-IF(Voreinstellungen!C31="XTRA",COUNTIF(P4:P34,Voreinstellungen!B31),0)-IF(Voreinstellungen!C32="XTRA",COUNTIF(P4:P34,Voreinstellungen!B32),0)-IF(Voreinstellungen!C33="XTRA",COUNTIF(P4:P34,Voreinstellungen!B33),0)-COUNTIF(P4:P34,"H")</f>
        <v>0</v>
      </c>
      <c r="Q40" s="327" t="s">
        <v>86</v>
      </c>
      <c r="R40" s="328"/>
      <c r="S40" s="328"/>
      <c r="T40" s="328"/>
      <c r="U40" s="328"/>
      <c r="V40" s="328"/>
      <c r="W40" s="234"/>
      <c r="Y40" s="375">
        <f>Voreinstellungen!J49</f>
        <v>0</v>
      </c>
      <c r="Z40" s="380">
        <f t="shared" si="11"/>
        <v>0</v>
      </c>
      <c r="AA40" s="380">
        <f t="shared" si="12"/>
        <v>0</v>
      </c>
      <c r="AB40" s="381">
        <f>SUM(AA40*Voreinstellungen!$C$44)</f>
        <v>0</v>
      </c>
    </row>
    <row r="41" spans="1:29" ht="12.75" customHeight="1" x14ac:dyDescent="0.2">
      <c r="P41" s="296">
        <f>COUNTIF(P4:P34,Voreinstellungen!B27)</f>
        <v>0</v>
      </c>
      <c r="Q41" s="327" t="str">
        <f>Voreinstellungen!A27</f>
        <v>Homeoffice</v>
      </c>
      <c r="R41" s="328"/>
      <c r="S41" s="328"/>
      <c r="T41" s="328"/>
      <c r="U41" s="328"/>
      <c r="V41" s="328"/>
      <c r="W41" s="234"/>
      <c r="Y41" s="375">
        <f>Voreinstellungen!J50</f>
        <v>0</v>
      </c>
      <c r="Z41" s="380">
        <f t="shared" si="11"/>
        <v>0</v>
      </c>
      <c r="AA41" s="380">
        <f t="shared" si="12"/>
        <v>0</v>
      </c>
      <c r="AB41" s="381">
        <f>SUM(AA41*Voreinstellungen!$C$44)</f>
        <v>0</v>
      </c>
    </row>
    <row r="42" spans="1:29" ht="12.75" customHeight="1" x14ac:dyDescent="0.2">
      <c r="A42" s="169"/>
      <c r="B42" s="169"/>
      <c r="C42" s="169"/>
      <c r="D42" s="277"/>
      <c r="E42" s="277"/>
      <c r="F42" s="277"/>
      <c r="G42" s="277"/>
      <c r="H42" s="277"/>
      <c r="I42" s="277"/>
      <c r="J42" s="277"/>
      <c r="P42" s="302">
        <f>IF(Voreinstellungen!C28="","",IF(Voreinstellungen!C28="REST",IFERROR(SUMIF(P4:P34,Voreinstellungen!B28,Q4:Q34)/SUMIF(P4:P34,Voreinstellungen!B28,U4:U34),0),IF(Voreinstellungen!C28="NONE",COUNTIF(P4:P34,Voreinstellungen!B28),IF(Voreinstellungen!C28="XTRA",COUNTIF(P4:P34,Voreinstellungen!B28),COUNTIF(P4:P34,Voreinstellungen!B28)*IF(Voreinstellungen!C28=0,1,Voreinstellungen!C28)))))</f>
        <v>0</v>
      </c>
      <c r="Q42" s="330" t="str">
        <f>IF(Voreinstellungen!A28="","",REPT(Voreinstellungen!A28,1) &amp; " (" &amp; REPT(Voreinstellungen!B28,1) &amp; ")")</f>
        <v>Bereitschaft (B)</v>
      </c>
      <c r="R42" s="331"/>
      <c r="S42" s="331"/>
      <c r="T42" s="331"/>
      <c r="U42" s="331"/>
      <c r="V42" s="331"/>
      <c r="W42" s="168">
        <f>IF(ISBLANK(Voreinstellungen!C28),"",IF(Voreinstellungen!C28="REST",SUMIF(P4:P34,Voreinstellungen!B28,U4:U34)-SUMIF(P4:P34,Voreinstellungen!B28,Q4:Q34),IF(ISTEXT(Voreinstellungen!C28),SUMIF(P4:P34,Voreinstellungen!B28,Q4:Q34),"")))</f>
        <v>0</v>
      </c>
      <c r="Y42" s="375">
        <f>Voreinstellungen!J51</f>
        <v>0</v>
      </c>
      <c r="Z42" s="380">
        <f t="shared" si="11"/>
        <v>0</v>
      </c>
      <c r="AA42" s="380">
        <f t="shared" si="12"/>
        <v>0</v>
      </c>
      <c r="AB42" s="381">
        <f>SUM(AA42*Voreinstellungen!$C$44)</f>
        <v>0</v>
      </c>
    </row>
    <row r="43" spans="1:29" ht="12.75" customHeight="1" x14ac:dyDescent="0.2">
      <c r="A43" s="170"/>
      <c r="B43" s="170"/>
      <c r="C43" s="170"/>
      <c r="D43" s="278"/>
      <c r="E43" s="278"/>
      <c r="F43" s="278"/>
      <c r="G43" s="278"/>
      <c r="H43" s="278"/>
      <c r="I43" s="278"/>
      <c r="J43" s="278"/>
      <c r="P43" s="302">
        <f>IF(Voreinstellungen!C29="","",IF(Voreinstellungen!C29="REST",IFERROR(SUMIF(P4:P34,Voreinstellungen!B29,Q4:Q34)/SUMIF(P4:P34,Voreinstellungen!B29,U4:U34),0),IF(Voreinstellungen!C29="NONE",COUNTIF(P4:P34,Voreinstellungen!B29),IF(Voreinstellungen!C29="XTRA",COUNTIF(P4:P34,Voreinstellungen!B29),COUNTIF(P4:P34,Voreinstellungen!B29)*IF(Voreinstellungen!C29=0,1,Voreinstellungen!C29)))))</f>
        <v>0</v>
      </c>
      <c r="Q43" s="330" t="str">
        <f>IF(Voreinstellungen!A29="","",REPT(Voreinstellungen!A29,1) &amp; " (" &amp; REPT(Voreinstellungen!B29,1) &amp; ")")</f>
        <v>Eigener Code 1 (E1)</v>
      </c>
      <c r="R43" s="331"/>
      <c r="S43" s="331"/>
      <c r="T43" s="331"/>
      <c r="U43" s="331"/>
      <c r="V43" s="331"/>
      <c r="W43" s="168">
        <f>IF(ISBLANK(Voreinstellungen!C29),"",IF(Voreinstellungen!C29="REST",SUMIF(P4:P34,Voreinstellungen!B29,U4:U34)-SUMIF(P4:P34,Voreinstellungen!B29,Q4:Q34),IF(ISTEXT(Voreinstellungen!C29),SUMIF(P4:P34,Voreinstellungen!B29,Q4:Q34),"")))</f>
        <v>0</v>
      </c>
      <c r="Y43" s="375">
        <f>Voreinstellungen!J52</f>
        <v>0</v>
      </c>
      <c r="Z43" s="380">
        <f t="shared" si="11"/>
        <v>0</v>
      </c>
      <c r="AA43" s="380">
        <f t="shared" si="12"/>
        <v>0</v>
      </c>
      <c r="AB43" s="381">
        <f>SUM(AA43*Voreinstellungen!$C$44)</f>
        <v>0</v>
      </c>
    </row>
    <row r="44" spans="1:29" ht="12.75" customHeight="1" x14ac:dyDescent="0.2">
      <c r="A44" s="169" t="s">
        <v>46</v>
      </c>
      <c r="B44" s="169"/>
      <c r="C44" s="169"/>
      <c r="D44" s="277"/>
      <c r="E44" s="277"/>
      <c r="F44" s="277"/>
      <c r="G44" s="277"/>
      <c r="H44" s="277"/>
      <c r="I44" s="277"/>
      <c r="J44" s="277" t="s">
        <v>87</v>
      </c>
      <c r="P44" s="302">
        <f>IF(Voreinstellungen!C30="","",IF(Voreinstellungen!C30="REST",IFERROR(SUMIF(P4:P34,Voreinstellungen!B30,Q4:Q34)/SUMIF(P4:P34,Voreinstellungen!B30,U4:U34),0),IF(Voreinstellungen!C30="NONE",COUNTIF(P4:P34,Voreinstellungen!B30),IF(Voreinstellungen!C30="XTRA",COUNTIF(P4:P34,Voreinstellungen!B30),COUNTIF(P4:P34,Voreinstellungen!B30)*IF(Voreinstellungen!C30=0,1,Voreinstellungen!C30)))))</f>
        <v>0</v>
      </c>
      <c r="Q44" s="330" t="str">
        <f>IF(Voreinstellungen!A30="","",REPT(Voreinstellungen!A30,1) &amp; " (" &amp; REPT(Voreinstellungen!B30,1) &amp; ")")</f>
        <v>Eigener Code 2 (E2)</v>
      </c>
      <c r="R44" s="331"/>
      <c r="S44" s="331"/>
      <c r="T44" s="331"/>
      <c r="U44" s="331"/>
      <c r="V44" s="331"/>
      <c r="W44" s="168" t="str">
        <f>IF(ISBLANK(Voreinstellungen!C30),"",IF(Voreinstellungen!C30="REST",SUMIF(P4:P34,Voreinstellungen!B30,U4:U34)-SUMIF(P4:P34,Voreinstellungen!B30,Q4:Q34),IF(ISTEXT(Voreinstellungen!C30),SUMIF(P4:P34,Voreinstellungen!B30,Q4:Q34),"")))</f>
        <v/>
      </c>
      <c r="Y44" s="375">
        <f>Voreinstellungen!J53</f>
        <v>0</v>
      </c>
      <c r="Z44" s="380">
        <f t="shared" si="11"/>
        <v>0</v>
      </c>
      <c r="AA44" s="380">
        <f t="shared" si="12"/>
        <v>0</v>
      </c>
      <c r="AB44" s="381">
        <f>SUM(AA44*Voreinstellungen!$C$44)</f>
        <v>0</v>
      </c>
    </row>
    <row r="45" spans="1:29" ht="12.75" customHeight="1" x14ac:dyDescent="0.2">
      <c r="A45" s="169"/>
      <c r="B45" s="169"/>
      <c r="C45" s="169"/>
      <c r="D45" s="277"/>
      <c r="E45" s="277"/>
      <c r="F45" s="277"/>
      <c r="G45" s="277"/>
      <c r="H45" s="277"/>
      <c r="I45" s="277"/>
      <c r="J45" s="277"/>
      <c r="P45" s="302">
        <f>IF(Voreinstellungen!C31="","",IF(Voreinstellungen!C31="REST",IFERROR(SUMIF(P4:P34,Voreinstellungen!B31,Q4:Q34)/SUMIF(P4:P34,Voreinstellungen!B31,U4:U34),0),IF(Voreinstellungen!C31="NONE",COUNTIF(P4:P34,Voreinstellungen!B31),IF(Voreinstellungen!C31="XTRA",COUNTIF(P4:P34,Voreinstellungen!B31),COUNTIF(P4:P34,Voreinstellungen!B31)*IF(Voreinstellungen!C31=0,1,Voreinstellungen!C31)))))</f>
        <v>0</v>
      </c>
      <c r="Q45" s="330" t="str">
        <f>IF(Voreinstellungen!A31="","",REPT(Voreinstellungen!A31,1) &amp; " (" &amp; REPT(Voreinstellungen!B31,1) &amp; ")")</f>
        <v>Eigener Code 3 (E3)</v>
      </c>
      <c r="R45" s="331"/>
      <c r="S45" s="331"/>
      <c r="T45" s="331"/>
      <c r="U45" s="331"/>
      <c r="V45" s="331"/>
      <c r="W45" s="168" t="str">
        <f>IF(ISBLANK(Voreinstellungen!C31),"",IF(Voreinstellungen!C31="REST",SUMIF(P4:P34,Voreinstellungen!B31,U4:U34)-SUMIF(P4:P34,Voreinstellungen!B31,Q4:Q34),IF(ISTEXT(Voreinstellungen!C31),SUMIF(P4:P34,Voreinstellungen!B31,Q4:Q34),"")))</f>
        <v/>
      </c>
      <c r="Y45" s="375">
        <f>Voreinstellungen!J54</f>
        <v>0</v>
      </c>
      <c r="Z45" s="380">
        <f t="shared" si="11"/>
        <v>0</v>
      </c>
      <c r="AA45" s="380">
        <f t="shared" si="12"/>
        <v>0</v>
      </c>
      <c r="AB45" s="381">
        <f>SUM(AA45*Voreinstellungen!$C$44)</f>
        <v>0</v>
      </c>
    </row>
    <row r="46" spans="1:29" ht="12.75" customHeight="1" x14ac:dyDescent="0.2">
      <c r="A46" s="170"/>
      <c r="B46" s="170"/>
      <c r="C46" s="170"/>
      <c r="D46" s="278"/>
      <c r="E46" s="278"/>
      <c r="F46" s="278"/>
      <c r="G46" s="278"/>
      <c r="H46" s="278"/>
      <c r="I46" s="278"/>
      <c r="J46" s="278"/>
      <c r="P46" s="302">
        <f>IF(Voreinstellungen!C32="","",IF(Voreinstellungen!C32="REST",IFERROR(SUMIF(P4:P34,Voreinstellungen!B32,Q4:Q34)/SUMIF(P4:P34,Voreinstellungen!B32,U4:U34),0),IF(Voreinstellungen!C32="NONE",COUNTIF(P4:P34,Voreinstellungen!B32),IF(Voreinstellungen!C32="XTRA",COUNTIF(P4:P34,Voreinstellungen!B32),COUNTIF(P4:P34,Voreinstellungen!B32)*IF(Voreinstellungen!C32=0,1,Voreinstellungen!C32)))))</f>
        <v>0</v>
      </c>
      <c r="Q46" s="330" t="str">
        <f>IF(Voreinstellungen!A32="","",REPT(Voreinstellungen!A32,1) &amp; " (" &amp; REPT(Voreinstellungen!B32,1) &amp; ")")</f>
        <v>Eigener Code 4 (E4)</v>
      </c>
      <c r="R46" s="331"/>
      <c r="S46" s="331"/>
      <c r="T46" s="331"/>
      <c r="U46" s="331"/>
      <c r="V46" s="331"/>
      <c r="W46" s="168" t="str">
        <f>IF(ISBLANK(Voreinstellungen!C32),"",IF(Voreinstellungen!C32="REST",SUMIF(P4:P34,Voreinstellungen!B32,U4:U34)-SUMIF(P4:P34,Voreinstellungen!B32,Q4:Q34),IF(ISTEXT(Voreinstellungen!C32),SUMIF(P4:P34,Voreinstellungen!B32,Q4:Q34),"")))</f>
        <v/>
      </c>
      <c r="Y46" s="375">
        <f>Voreinstellungen!J55</f>
        <v>0</v>
      </c>
      <c r="Z46" s="380">
        <f t="shared" si="11"/>
        <v>0</v>
      </c>
      <c r="AA46" s="380">
        <f t="shared" si="12"/>
        <v>0</v>
      </c>
      <c r="AB46" s="381">
        <f>SUM(AA46*Voreinstellungen!$C$44)</f>
        <v>0</v>
      </c>
    </row>
    <row r="47" spans="1:29" ht="12.75" customHeight="1" x14ac:dyDescent="0.2">
      <c r="A47" s="169" t="s">
        <v>46</v>
      </c>
      <c r="B47" s="169"/>
      <c r="C47" s="169"/>
      <c r="D47" s="277"/>
      <c r="E47" s="277"/>
      <c r="F47" s="277"/>
      <c r="G47" s="277"/>
      <c r="H47" s="277"/>
      <c r="I47" s="277"/>
      <c r="J47" s="277" t="s">
        <v>88</v>
      </c>
      <c r="P47" s="303">
        <f>IF(Voreinstellungen!C33="","",IF(Voreinstellungen!C33="REST",IFERROR(SUMIF(P4:P34,Voreinstellungen!B33,Q4:Q34)/SUMIF(P4:P34,Voreinstellungen!B33,U4:U34),0),IF(Voreinstellungen!C33="NONE",COUNTIF(P4:P34,Voreinstellungen!B33),IF(Voreinstellungen!C33="XTRA",COUNTIF(P4:P34,Voreinstellungen!B33),COUNTIF(P4:P34,Voreinstellungen!B33)*IF(Voreinstellungen!C33=0,1,Voreinstellungen!C33)))))</f>
        <v>0</v>
      </c>
      <c r="Q47" s="332" t="str">
        <f>IF(Voreinstellungen!A33="","",REPT(Voreinstellungen!A33,1) &amp; " (" &amp; REPT(Voreinstellungen!B33,1) &amp; ")")</f>
        <v>Eigener Code 5 (E5)</v>
      </c>
      <c r="R47" s="333"/>
      <c r="S47" s="333"/>
      <c r="T47" s="333"/>
      <c r="U47" s="333"/>
      <c r="V47" s="333"/>
      <c r="W47" s="319" t="str">
        <f>IF(ISBLANK(Voreinstellungen!C33),"",IF(Voreinstellungen!C33="REST",SUMIF(P4:P34,Voreinstellungen!B33,U4:U34)-SUMIF(P4:P34,Voreinstellungen!B33,Q4:Q34),IF(ISTEXT(Voreinstellungen!C33),SUMIF(P4:P34,Voreinstellungen!B33,Q4:Q34),"")))</f>
        <v/>
      </c>
      <c r="Y47" s="375">
        <f>Voreinstellungen!J56</f>
        <v>0</v>
      </c>
      <c r="Z47" s="380">
        <f t="shared" si="11"/>
        <v>0</v>
      </c>
      <c r="AA47" s="380">
        <f t="shared" si="12"/>
        <v>0</v>
      </c>
      <c r="AB47" s="381">
        <f>SUM(AA47*Voreinstellungen!$C$44)</f>
        <v>0</v>
      </c>
    </row>
    <row r="48" spans="1:29" x14ac:dyDescent="0.2">
      <c r="P48" s="334"/>
      <c r="Q48" s="45" t="s">
        <v>148</v>
      </c>
      <c r="R48" s="335"/>
      <c r="S48" s="335"/>
      <c r="T48" s="335"/>
      <c r="U48" s="335"/>
      <c r="V48" s="336"/>
      <c r="W48" s="337">
        <f>SUM(I7:I34,N7:N34)</f>
        <v>0</v>
      </c>
      <c r="X48" s="338"/>
      <c r="Y48" s="375">
        <f>Voreinstellungen!J57</f>
        <v>0</v>
      </c>
      <c r="Z48" s="380">
        <f t="shared" si="11"/>
        <v>0</v>
      </c>
      <c r="AA48" s="380">
        <f t="shared" si="12"/>
        <v>0</v>
      </c>
      <c r="AB48" s="381">
        <f>SUM(AA48*Voreinstellungen!$C$44)</f>
        <v>0</v>
      </c>
    </row>
    <row r="49" spans="1:30" x14ac:dyDescent="0.2">
      <c r="Q49" s="339"/>
      <c r="R49" s="340"/>
      <c r="S49" s="340"/>
      <c r="T49" s="340"/>
      <c r="U49" s="339"/>
      <c r="V49" s="339"/>
      <c r="Y49" s="376">
        <f>Voreinstellungen!J58</f>
        <v>0</v>
      </c>
      <c r="Z49" s="382">
        <f t="shared" si="11"/>
        <v>0</v>
      </c>
      <c r="AA49" s="382">
        <f t="shared" si="12"/>
        <v>0</v>
      </c>
      <c r="AB49" s="383">
        <f>SUM(AA49*Voreinstellungen!$C$44)</f>
        <v>0</v>
      </c>
    </row>
    <row r="51" spans="1:30" s="373" customFormat="1" x14ac:dyDescent="0.2">
      <c r="A51" s="45"/>
      <c r="B51" s="45"/>
      <c r="C51" s="45"/>
      <c r="D51" s="276"/>
      <c r="E51" s="301"/>
      <c r="F51" s="276"/>
      <c r="G51" s="276"/>
      <c r="H51" s="276"/>
      <c r="I51" s="276"/>
      <c r="J51" s="276"/>
      <c r="K51" s="276"/>
      <c r="L51" s="287"/>
      <c r="M51" s="287"/>
      <c r="N51" s="287"/>
      <c r="O51" s="287"/>
      <c r="P51" s="287"/>
      <c r="Q51" s="45"/>
      <c r="R51" s="46"/>
      <c r="S51" s="46"/>
      <c r="T51" s="46"/>
      <c r="U51" s="45"/>
      <c r="V51" s="45"/>
      <c r="W51" s="45"/>
      <c r="X51" s="45"/>
      <c r="Y51" s="367"/>
      <c r="Z51" s="368"/>
      <c r="AA51" s="368"/>
      <c r="AB51" s="369"/>
      <c r="AC51" s="45"/>
      <c r="AD51" s="45"/>
    </row>
    <row r="52" spans="1:30" x14ac:dyDescent="0.2">
      <c r="Y52" s="341" t="s">
        <v>153</v>
      </c>
      <c r="Z52" s="346">
        <f>SUM(Z37:Z49)</f>
        <v>0</v>
      </c>
      <c r="AA52" s="342">
        <f>SUM(AA37:AA49)</f>
        <v>0</v>
      </c>
      <c r="AB52" s="343">
        <f>SUM(AB37:AB49)</f>
        <v>0</v>
      </c>
    </row>
  </sheetData>
  <mergeCells count="3">
    <mergeCell ref="A1:C2"/>
    <mergeCell ref="V1:W1"/>
    <mergeCell ref="V2:W2"/>
  </mergeCells>
  <conditionalFormatting sqref="E4:E34">
    <cfRule type="expression" dxfId="200" priority="7">
      <formula>ISTEXT($E4)</formula>
    </cfRule>
  </conditionalFormatting>
  <conditionalFormatting sqref="F4:I34">
    <cfRule type="expression" dxfId="199" priority="6">
      <formula>ISTEXT($F4)</formula>
    </cfRule>
  </conditionalFormatting>
  <conditionalFormatting sqref="J4:J34">
    <cfRule type="expression" dxfId="198" priority="5">
      <formula>ISTEXT($J4)</formula>
    </cfRule>
  </conditionalFormatting>
  <conditionalFormatting sqref="K4:K34">
    <cfRule type="expression" dxfId="197" priority="4">
      <formula>ISTEXT($K4)</formula>
    </cfRule>
  </conditionalFormatting>
  <conditionalFormatting sqref="M5:O34">
    <cfRule type="expression" dxfId="196" priority="3">
      <formula>ISTEXT($F5)</formula>
    </cfRule>
  </conditionalFormatting>
  <conditionalFormatting sqref="N4:N34">
    <cfRule type="expression" dxfId="195" priority="2">
      <formula>ISTEXT($F4)</formula>
    </cfRule>
  </conditionalFormatting>
  <conditionalFormatting sqref="P36:P47">
    <cfRule type="expression" dxfId="194" priority="1">
      <formula>MOD(P36,1)=0</formula>
    </cfRule>
  </conditionalFormatting>
  <conditionalFormatting sqref="Q4:W34 A4:O34">
    <cfRule type="expression" dxfId="193" priority="16">
      <formula>WEEKDAY($A4,2)=6</formula>
    </cfRule>
    <cfRule type="expression" dxfId="192" priority="17">
      <formula>OR(WEEKDAY($A4,2)=7,$C4&lt;&gt;"")</formula>
    </cfRule>
  </conditionalFormatting>
  <conditionalFormatting sqref="P4:P34">
    <cfRule type="expression" dxfId="191" priority="26">
      <formula>WEEKDAY($A4,2)=6</formula>
    </cfRule>
    <cfRule type="expression" dxfId="190" priority="27">
      <formula>OR(WEEKDAY($A4,2)=7,$C4&lt;&gt;"")</formula>
    </cfRule>
  </conditionalFormatting>
  <dataValidations count="3">
    <dataValidation type="list" showErrorMessage="1" sqref="P4:P34" xr:uid="{00000000-0002-0000-0B00-000000000000}">
      <formula1>CodeList</formula1>
    </dataValidation>
    <dataValidation type="list" allowBlank="1" showInputMessage="1" showErrorMessage="1" sqref="D4:D34 G4:G34 L4:L34" xr:uid="{44867FD7-61CD-46BF-AE72-696CFC00353A}">
      <formula1>Einsatzorte</formula1>
    </dataValidation>
    <dataValidation type="list" allowBlank="1" showInputMessage="1" showErrorMessage="1" sqref="H4:H34 M4:M34" xr:uid="{DCCCD498-953B-4050-A7F1-BEDB537D5FFE}">
      <formula1>Tätigkeiten</formula1>
    </dataValidation>
  </dataValidations>
  <printOptions horizontalCentered="1" verticalCentered="1"/>
  <pageMargins left="0.23622047244094491" right="0.23622047244094491" top="0.23622047244094491" bottom="0.23622047244094491" header="0.11811023622047245" footer="0.11811023622047245"/>
  <pageSetup paperSize="9" scale="95" firstPageNumber="0" orientation="landscape" r:id="rId1"/>
  <headerFooter alignWithMargins="0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8" id="{DAFB47F4-A621-4908-A413-DCA067D7CD3C}">
            <xm:f>$P4=Voreinstellungen!$B$25</xm:f>
            <x14:dxf>
              <fill>
                <patternFill>
                  <bgColor rgb="FF0070C0"/>
                </patternFill>
              </fill>
            </x14:dxf>
          </x14:cfRule>
          <x14:cfRule type="expression" priority="9" id="{B18ADA50-8D73-41EC-B224-23BB44B1F326}">
            <xm:f>$P4=Voreinstellungen!$B$26</xm:f>
            <x14:dxf>
              <fill>
                <patternFill>
                  <bgColor rgb="FF00B0F0"/>
                </patternFill>
              </fill>
            </x14:dxf>
          </x14:cfRule>
          <x14:cfRule type="expression" priority="10" id="{A7CE42AF-97CF-4912-AD0A-0DDB7712F3B0}">
            <xm:f>$P4=Voreinstellungen!$B$20</xm:f>
            <x14:dxf>
              <fill>
                <patternFill>
                  <bgColor theme="4" tint="0.59996337778862885"/>
                </patternFill>
              </fill>
            </x14:dxf>
          </x14:cfRule>
          <x14:cfRule type="expression" priority="11" id="{55874B72-67E4-4E4C-B407-47CC45A233AD}">
            <xm:f>$P4=Voreinstellungen!$B$21</xm:f>
            <x14:dxf>
              <fill>
                <patternFill>
                  <bgColor indexed="13"/>
                </patternFill>
              </fill>
            </x14:dxf>
          </x14:cfRule>
          <x14:cfRule type="expression" priority="12" id="{D9C14EAD-C4D4-4C3F-A78C-5CCC741C92B1}">
            <xm:f>$P4=Voreinstellungen!$B$22</xm:f>
            <x14:dxf>
              <fill>
                <patternFill>
                  <bgColor rgb="FFFFFF66"/>
                </patternFill>
              </fill>
            </x14:dxf>
          </x14:cfRule>
          <x14:cfRule type="expression" priority="13" id="{048AD743-25D8-4AA5-B78D-B61FB68D15A3}">
            <xm:f>$P4=Voreinstellungen!$B$31</xm:f>
            <x14:dxf>
              <fill>
                <patternFill>
                  <bgColor theme="3" tint="0.59996337778862885"/>
                </patternFill>
              </fill>
            </x14:dxf>
          </x14:cfRule>
          <x14:cfRule type="expression" priority="14" id="{08A78BB6-1CF2-450E-836B-1332521FEDAC}">
            <xm:f>$P4=Voreinstellungen!$B$32</xm:f>
            <x14:dxf>
              <fill>
                <patternFill>
                  <bgColor rgb="FF92D050"/>
                </patternFill>
              </fill>
            </x14:dxf>
          </x14:cfRule>
          <x14:cfRule type="expression" priority="15" id="{C446504D-02C8-442D-9C55-F27D0207443C}">
            <xm:f>$P4=Voreinstellungen!$B$33</xm:f>
            <x14:dxf>
              <fill>
                <patternFill>
                  <bgColor theme="9" tint="0.39994506668294322"/>
                </patternFill>
              </fill>
            </x14:dxf>
          </x14:cfRule>
          <xm:sqref>Q4:W34 A4:O34</xm:sqref>
        </x14:conditionalFormatting>
        <x14:conditionalFormatting xmlns:xm="http://schemas.microsoft.com/office/excel/2006/main">
          <x14:cfRule type="expression" priority="18" id="{37E3EA27-C6DB-4A55-8162-3D0142957E41}">
            <xm:f>$L4=Voreinstellungen!$B$25</xm:f>
            <x14:dxf>
              <fill>
                <patternFill>
                  <bgColor rgb="FF0070C0"/>
                </patternFill>
              </fill>
            </x14:dxf>
          </x14:cfRule>
          <x14:cfRule type="expression" priority="19" id="{626E0922-35FA-46BC-851C-9689C232C075}">
            <xm:f>$L4=Voreinstellungen!$B$26</xm:f>
            <x14:dxf>
              <fill>
                <patternFill>
                  <bgColor rgb="FF00B0F0"/>
                </patternFill>
              </fill>
            </x14:dxf>
          </x14:cfRule>
          <x14:cfRule type="expression" priority="20" id="{D9523BD8-EBCE-496E-9CF1-767E7C8065DA}">
            <xm:f>$L4=Voreinstellungen!$B$20</xm:f>
            <x14:dxf>
              <fill>
                <patternFill>
                  <bgColor theme="4" tint="0.59996337778862885"/>
                </patternFill>
              </fill>
            </x14:dxf>
          </x14:cfRule>
          <x14:cfRule type="expression" priority="21" id="{33528FA5-6E99-456A-97A3-9D57ED45687C}">
            <xm:f>$L4=Voreinstellungen!$B$21</xm:f>
            <x14:dxf>
              <fill>
                <patternFill>
                  <bgColor indexed="13"/>
                </patternFill>
              </fill>
            </x14:dxf>
          </x14:cfRule>
          <x14:cfRule type="expression" priority="22" id="{875B93D4-B8E7-4621-BECB-069AB3E43035}">
            <xm:f>$L4=Voreinstellungen!$B$22</xm:f>
            <x14:dxf>
              <fill>
                <patternFill>
                  <bgColor rgb="FFFFFF66"/>
                </patternFill>
              </fill>
            </x14:dxf>
          </x14:cfRule>
          <x14:cfRule type="expression" priority="23" id="{84D7175B-26B9-49D7-A490-532819B1C71C}">
            <xm:f>$L4=Voreinstellungen!$B$31</xm:f>
            <x14:dxf>
              <fill>
                <patternFill>
                  <bgColor theme="3" tint="0.59996337778862885"/>
                </patternFill>
              </fill>
            </x14:dxf>
          </x14:cfRule>
          <x14:cfRule type="expression" priority="24" id="{2B6A4534-8684-4E0D-8E08-B5369CA232E1}">
            <xm:f>$L4=Voreinstellungen!$B$32</xm:f>
            <x14:dxf>
              <fill>
                <patternFill>
                  <bgColor rgb="FF92D050"/>
                </patternFill>
              </fill>
            </x14:dxf>
          </x14:cfRule>
          <x14:cfRule type="expression" priority="25" id="{BF0A7CAC-B46C-43C9-835D-860A417E0CFB}">
            <xm:f>$L4=Voreinstellungen!$B$33</xm:f>
            <x14:dxf>
              <fill>
                <patternFill>
                  <bgColor theme="9" tint="0.39994506668294322"/>
                </patternFill>
              </fill>
            </x14:dxf>
          </x14:cfRule>
          <xm:sqref>P4:P34</xm:sqref>
        </x14:conditionalFormatting>
      </x14:conditionalFormatting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12">
    <tabColor theme="2" tint="-0.249977111117893"/>
    <pageSetUpPr fitToPage="1"/>
  </sheetPr>
  <dimension ref="A1:AD52"/>
  <sheetViews>
    <sheetView showGridLines="0" showZeros="0" zoomScale="90" zoomScaleNormal="90" workbookViewId="0">
      <pane ySplit="3" topLeftCell="A4" activePane="bottomLeft" state="frozen"/>
      <selection activeCell="T6" sqref="T6"/>
      <selection pane="bottomLeft" activeCell="T6" sqref="T6"/>
    </sheetView>
  </sheetViews>
  <sheetFormatPr baseColWidth="10" defaultColWidth="11.5703125" defaultRowHeight="12.75" x14ac:dyDescent="0.2"/>
  <cols>
    <col min="1" max="1" width="9.28515625" style="45" customWidth="1"/>
    <col min="2" max="2" width="5.7109375" style="45" customWidth="1"/>
    <col min="3" max="3" width="18.7109375" style="45" customWidth="1"/>
    <col min="4" max="4" width="11.140625" style="276" bestFit="1" customWidth="1"/>
    <col min="5" max="5" width="7.7109375" style="301" customWidth="1"/>
    <col min="6" max="6" width="7.7109375" style="276" customWidth="1"/>
    <col min="7" max="8" width="12.7109375" style="276" customWidth="1"/>
    <col min="9" max="9" width="4.7109375" style="276" customWidth="1"/>
    <col min="10" max="11" width="7.7109375" style="276" customWidth="1"/>
    <col min="12" max="13" width="12.7109375" style="287" customWidth="1"/>
    <col min="14" max="14" width="4.7109375" style="287" customWidth="1"/>
    <col min="15" max="15" width="6.42578125" style="287" customWidth="1"/>
    <col min="16" max="16" width="3.7109375" style="287" customWidth="1"/>
    <col min="17" max="17" width="7.7109375" style="45" customWidth="1"/>
    <col min="18" max="20" width="7.7109375" style="46" customWidth="1"/>
    <col min="21" max="21" width="4.28515625" style="45" bestFit="1" customWidth="1"/>
    <col min="22" max="22" width="20.7109375" style="45" customWidth="1"/>
    <col min="23" max="23" width="7.7109375" style="45" customWidth="1"/>
    <col min="24" max="24" width="0.7109375" style="45" customWidth="1"/>
    <col min="25" max="25" width="14.7109375" style="45" customWidth="1"/>
    <col min="26" max="27" width="11.5703125" style="45"/>
    <col min="28" max="28" width="13.7109375" style="45" bestFit="1" customWidth="1"/>
    <col min="29" max="29" width="0.7109375" style="45" customWidth="1"/>
    <col min="30" max="16384" width="11.5703125" style="45"/>
  </cols>
  <sheetData>
    <row r="1" spans="1:29" ht="15" customHeight="1" x14ac:dyDescent="0.2">
      <c r="A1" s="678">
        <f>DATE(Jahr,11,1)</f>
        <v>44500</v>
      </c>
      <c r="B1" s="679"/>
      <c r="C1" s="679"/>
      <c r="D1" s="370"/>
      <c r="E1" s="370"/>
      <c r="F1" s="370"/>
      <c r="G1" s="370"/>
      <c r="H1" s="370"/>
      <c r="I1" s="370"/>
      <c r="J1" s="285"/>
      <c r="K1" s="285"/>
      <c r="L1" s="285"/>
      <c r="M1" s="285" t="str">
        <f>"Nettoarbeitstage: "&amp;NETWORKDAYS(A1,EOMONTH(A1,0),Feiertage!A4:A39)</f>
        <v>Nettoarbeitstage: 19</v>
      </c>
      <c r="N1" s="285"/>
      <c r="O1" s="285"/>
      <c r="P1" s="288"/>
      <c r="Q1" s="260"/>
      <c r="R1" s="260"/>
      <c r="S1" s="260"/>
      <c r="T1" s="260"/>
      <c r="U1" s="260"/>
      <c r="V1" s="684" t="str">
        <f>Voreinstellungen!C3</f>
        <v>Vivien Günther</v>
      </c>
      <c r="W1" s="685"/>
    </row>
    <row r="2" spans="1:29" ht="15" customHeight="1" x14ac:dyDescent="0.2">
      <c r="A2" s="680"/>
      <c r="B2" s="681"/>
      <c r="C2" s="681"/>
      <c r="D2" s="371"/>
      <c r="E2" s="371"/>
      <c r="F2" s="371"/>
      <c r="G2" s="371"/>
      <c r="H2" s="371"/>
      <c r="I2" s="371"/>
      <c r="J2" s="371"/>
      <c r="K2" s="371"/>
      <c r="L2" s="286"/>
      <c r="M2" s="286"/>
      <c r="N2" s="286"/>
      <c r="O2" s="286"/>
      <c r="P2" s="289"/>
      <c r="Q2" s="259"/>
      <c r="R2" s="259"/>
      <c r="S2" s="259"/>
      <c r="T2" s="259"/>
      <c r="U2" s="259"/>
      <c r="V2" s="686" t="str">
        <f>IF(ISBLANK(Voreinstellungen!C4),"","Personal-Nr.: "&amp;Voreinstellungen!C4)</f>
        <v>Personal-Nr.: 60161</v>
      </c>
      <c r="W2" s="687"/>
    </row>
    <row r="3" spans="1:29" s="47" customFormat="1" ht="36" customHeight="1" x14ac:dyDescent="0.2">
      <c r="A3" s="204" t="s">
        <v>73</v>
      </c>
      <c r="B3" s="205"/>
      <c r="C3" s="204" t="s">
        <v>26</v>
      </c>
      <c r="D3" s="284" t="s">
        <v>143</v>
      </c>
      <c r="E3" s="282" t="s">
        <v>74</v>
      </c>
      <c r="F3" s="253" t="s">
        <v>75</v>
      </c>
      <c r="G3" s="253" t="s">
        <v>141</v>
      </c>
      <c r="H3" s="110" t="s">
        <v>134</v>
      </c>
      <c r="I3" s="257" t="s">
        <v>135</v>
      </c>
      <c r="J3" s="282" t="s">
        <v>76</v>
      </c>
      <c r="K3" s="206" t="s">
        <v>77</v>
      </c>
      <c r="L3" s="258" t="s">
        <v>142</v>
      </c>
      <c r="M3" s="279" t="s">
        <v>134</v>
      </c>
      <c r="N3" s="257" t="s">
        <v>135</v>
      </c>
      <c r="O3" s="282" t="s">
        <v>144</v>
      </c>
      <c r="P3" s="283" t="s">
        <v>24</v>
      </c>
      <c r="Q3" s="171" t="s">
        <v>78</v>
      </c>
      <c r="R3" s="171" t="s">
        <v>79</v>
      </c>
      <c r="S3" s="171" t="s">
        <v>147</v>
      </c>
      <c r="T3" s="207" t="s">
        <v>80</v>
      </c>
      <c r="U3" s="208" t="s">
        <v>81</v>
      </c>
      <c r="V3" s="209" t="s">
        <v>82</v>
      </c>
      <c r="W3" s="171" t="s">
        <v>83</v>
      </c>
      <c r="X3" s="306">
        <f>PauseGWert</f>
        <v>3.125E-2</v>
      </c>
    </row>
    <row r="4" spans="1:29" s="19" customFormat="1" ht="12" x14ac:dyDescent="0.2">
      <c r="A4" s="311">
        <f>A1</f>
        <v>44500</v>
      </c>
      <c r="B4" s="210">
        <f t="shared" ref="B4:B34" si="0">A4</f>
        <v>44500</v>
      </c>
      <c r="C4" s="261" t="str">
        <f t="shared" ref="C4:C31" si="1">IF(ISERROR(VLOOKUP(B4,Feiertage,2,FALSE)),"",(VLOOKUP(B4,Feiertage,2,FALSE)))</f>
        <v/>
      </c>
      <c r="D4" s="366"/>
      <c r="E4" s="351"/>
      <c r="F4" s="254"/>
      <c r="G4" s="307"/>
      <c r="H4" s="318"/>
      <c r="I4" s="347">
        <f>IFERROR(VLOOKUP(D4&amp;G4,tbl_Entfernung[[Verketten]:[Entfernung]],2,FALSE),"")</f>
        <v>0</v>
      </c>
      <c r="J4" s="360"/>
      <c r="K4" s="351"/>
      <c r="L4" s="307"/>
      <c r="M4" s="314"/>
      <c r="N4" s="320">
        <f>IFERROR(VLOOKUP(G4&amp;L4,tbl_Entfernung[[Verketten]:[Entfernung]],2,FALSE),"")</f>
        <v>0</v>
      </c>
      <c r="O4" s="315">
        <f>IF(S4&gt;PauseGTime,PauseGWert,IF(S4&gt;PauseKTime,PauseKWert,IF(S4&lt;=PauseKTime,0,WENN)))</f>
        <v>0</v>
      </c>
      <c r="P4" s="363"/>
      <c r="Q4" s="355">
        <f t="shared" ref="Q4:Q34" si="2">IF(A4="",0,IF(IF(E4&lt;F4,F4-E4,IF(F4="",0,F4-E4+1))+IF(J4&lt;K4,K4-J4,IF(K4="",0,K4-J4+1))-O4&gt;0,IF(E4&lt;F4,F4-E4,IF(F4="",0,F4-E4+1))+IF(J4&lt;K4,K4-J4,IF(K4="",0,K4-J4+1))-O4,0))</f>
        <v>0</v>
      </c>
      <c r="R4" s="224">
        <f t="shared" ref="R4:R34" ca="1" si="3">IF(AND(C4&lt;&gt;"",P4=""),IF(ISERROR(VLOOKUP(B4,Feiertage,2,FALSE)),0,VLOOKUP(B4,Feiertage,3,FALSE)*U4),IF(A4="",0,IF(P4&lt;&gt;"",IF(UPPER(P4)=VLOOKUP(UPPER(P4),Code,1,FALSE),IF(OR(VLOOKUP(P4,Code,2,FALSE)="NONE",VLOOKUP(P4,Code,2,FALSE)="XTRA",VLOOKUP(P4,Code,2,FALSE)="REST"),Q4,IF(ISERROR(VLOOKUP(B4,Feiertage,2,FALSE)),VLOOKUP(P4,Code,2,FALSE)*U4,IF(VLOOKUP(B4,Feiertage,3,FALSE)=0.5,IF(OR(UPPER(P4)="G",UPPER(P4)="H"),VLOOKUP(B4,Feiertage,3,FALSE)*VLOOKUP(P4,Code,2,FALSE)*U4,0),VLOOKUP(B4,Feiertage,3,FALSE)*VLOOKUP(P4,Code,2,FALSE)*U4))),U4),U4)))</f>
        <v>0</v>
      </c>
      <c r="S4" s="224">
        <f>IF(A4="",0,IF(IF(E4&lt;F4,F4-E4,IF(F4="",0,F4-E4+1))+IF(J4&lt;K4,K4-J4,IF(K4="",0,K4-J4+1))&gt;0,IF(E4&lt;F4,F4-E4,IF(F4="",0,F4-E4+1))+IF(J4&lt;K4,K4-J4,IF(K4="",0,K4-J4+1)),0))</f>
        <v>0</v>
      </c>
      <c r="T4" s="211">
        <f t="shared" ref="T4:T34" ca="1" si="4">IF(A4="",0,ROUND(Q4-R4,14))</f>
        <v>0</v>
      </c>
      <c r="U4" s="250">
        <f t="shared" ref="U4:U34" ca="1" si="5">IF(A4="",0,INDIRECT(ADDRESS(MATCH(A4,SOLL_AZ_Ab,1)+11,WEEKDAY(A4,2)+3,,,"Voreinstellungen"),TRUE))</f>
        <v>0</v>
      </c>
      <c r="V4" s="212"/>
      <c r="W4" s="213" t="e">
        <f ca="1">IF(A4="","",IF(T4&lt;&gt;"",ROUND(J36+T4,14),J36))</f>
        <v>#REF!</v>
      </c>
      <c r="Y4" s="305"/>
      <c r="AB4" s="344">
        <f>MOD(F4-E4,1)*24</f>
        <v>0</v>
      </c>
      <c r="AC4" s="344">
        <f>MOD(K4-J4,1)*24</f>
        <v>0</v>
      </c>
    </row>
    <row r="5" spans="1:29" s="19" customFormat="1" ht="12" x14ac:dyDescent="0.2">
      <c r="A5" s="312">
        <f t="shared" ref="A5:A31" si="6">A4+1</f>
        <v>44501</v>
      </c>
      <c r="B5" s="129">
        <f t="shared" si="0"/>
        <v>44501</v>
      </c>
      <c r="C5" s="262" t="str">
        <f t="shared" si="1"/>
        <v/>
      </c>
      <c r="D5" s="358"/>
      <c r="E5" s="352"/>
      <c r="F5" s="255"/>
      <c r="G5" s="308"/>
      <c r="H5" s="308"/>
      <c r="I5" s="348">
        <f>IFERROR(VLOOKUP(D5&amp;G5,tbl_Entfernung[[Verketten]:[Entfernung]],2,FALSE),"")</f>
        <v>0</v>
      </c>
      <c r="J5" s="361"/>
      <c r="K5" s="352"/>
      <c r="L5" s="308"/>
      <c r="M5" s="308"/>
      <c r="N5" s="321">
        <f>IFERROR(VLOOKUP(G5&amp;L5,tbl_Entfernung[[Verketten]:[Entfernung]],2,FALSE),"")</f>
        <v>0</v>
      </c>
      <c r="O5" s="316">
        <f>IF(S5&gt;PauseGTime,PauseGWert,IF(S5&gt;PauseKTime,PauseKWert,IF(S5&lt;=PauseKTime,0,WENN)))</f>
        <v>0</v>
      </c>
      <c r="P5" s="364"/>
      <c r="Q5" s="356">
        <f t="shared" si="2"/>
        <v>0</v>
      </c>
      <c r="R5" s="225">
        <f t="shared" ca="1" si="3"/>
        <v>0</v>
      </c>
      <c r="S5" s="225">
        <f t="shared" ref="S5:S34" si="7">IF(A5="",0,IF(IF(E5&lt;F5,F5-E5,IF(F5="",0,F5-E5+1))+IF(J5&lt;K5,K5-J5,IF(K5="",0,K5-J5+1))&gt;0,IF(E5&lt;F5,F5-E5,IF(F5="",0,F5-E5+1))+IF(J5&lt;K5,K5-J5,IF(K5="",0,K5-J5+1)),0))</f>
        <v>0</v>
      </c>
      <c r="T5" s="130">
        <f t="shared" ca="1" si="4"/>
        <v>0</v>
      </c>
      <c r="U5" s="251">
        <f t="shared" ca="1" si="5"/>
        <v>0</v>
      </c>
      <c r="V5" s="131"/>
      <c r="W5" s="214" t="e">
        <f t="shared" ref="W5:W34" ca="1" si="8">IF(A5="","",IF(T5&lt;&gt;"",ROUND(W4+T5,14),W4))</f>
        <v>#REF!</v>
      </c>
      <c r="AB5" s="345">
        <f t="shared" ref="AB5:AB34" si="9">MOD(F5-E5,1)*24</f>
        <v>0</v>
      </c>
      <c r="AC5" s="345">
        <f t="shared" ref="AC5:AC34" si="10">MOD(K5-J5,1)*24</f>
        <v>0</v>
      </c>
    </row>
    <row r="6" spans="1:29" s="19" customFormat="1" ht="12" x14ac:dyDescent="0.2">
      <c r="A6" s="312">
        <f t="shared" si="6"/>
        <v>44502</v>
      </c>
      <c r="B6" s="129">
        <f t="shared" si="0"/>
        <v>44502</v>
      </c>
      <c r="C6" s="262" t="str">
        <f t="shared" si="1"/>
        <v/>
      </c>
      <c r="D6" s="358"/>
      <c r="E6" s="352"/>
      <c r="F6" s="255"/>
      <c r="G6" s="309"/>
      <c r="H6" s="309"/>
      <c r="I6" s="348">
        <f>IFERROR(VLOOKUP(D6&amp;G6,tbl_Entfernung[[Verketten]:[Entfernung]],2,FALSE),"")</f>
        <v>0</v>
      </c>
      <c r="J6" s="361"/>
      <c r="K6" s="352"/>
      <c r="L6" s="309"/>
      <c r="M6" s="309"/>
      <c r="N6" s="321">
        <f>IFERROR(VLOOKUP(G6&amp;L6,tbl_Entfernung[[Verketten]:[Entfernung]],2,FALSE),"")</f>
        <v>0</v>
      </c>
      <c r="O6" s="316">
        <f>IF(S6&gt;PauseGTime,PauseGWert,IF(S6&gt;PauseKTime,PauseKWert,IF(S6&lt;=PauseKTime,0,WENN)))</f>
        <v>0</v>
      </c>
      <c r="P6" s="364"/>
      <c r="Q6" s="356">
        <f t="shared" si="2"/>
        <v>0</v>
      </c>
      <c r="R6" s="225">
        <f t="shared" ca="1" si="3"/>
        <v>0.29166666666666669</v>
      </c>
      <c r="S6" s="225">
        <f t="shared" si="7"/>
        <v>0</v>
      </c>
      <c r="T6" s="130">
        <f t="shared" ca="1" si="4"/>
        <v>-0.29166666666667002</v>
      </c>
      <c r="U6" s="251">
        <f t="shared" ca="1" si="5"/>
        <v>0.29166666666666669</v>
      </c>
      <c r="V6" s="131"/>
      <c r="W6" s="214" t="e">
        <f t="shared" ca="1" si="8"/>
        <v>#REF!</v>
      </c>
      <c r="AB6" s="345">
        <f t="shared" si="9"/>
        <v>0</v>
      </c>
      <c r="AC6" s="345">
        <f t="shared" si="10"/>
        <v>0</v>
      </c>
    </row>
    <row r="7" spans="1:29" s="19" customFormat="1" ht="12" x14ac:dyDescent="0.2">
      <c r="A7" s="312">
        <f t="shared" si="6"/>
        <v>44503</v>
      </c>
      <c r="B7" s="129">
        <f t="shared" si="0"/>
        <v>44503</v>
      </c>
      <c r="C7" s="262" t="str">
        <f t="shared" si="1"/>
        <v/>
      </c>
      <c r="D7" s="358"/>
      <c r="E7" s="352"/>
      <c r="F7" s="255"/>
      <c r="G7" s="309"/>
      <c r="H7" s="309"/>
      <c r="I7" s="348">
        <f>IFERROR(VLOOKUP(D7&amp;G7,tbl_Entfernung[[Verketten]:[Entfernung]],2,FALSE),"")</f>
        <v>0</v>
      </c>
      <c r="J7" s="361"/>
      <c r="K7" s="352"/>
      <c r="L7" s="309"/>
      <c r="M7" s="309"/>
      <c r="N7" s="321">
        <f>IFERROR(VLOOKUP(G7&amp;L7,tbl_Entfernung[[Verketten]:[Entfernung]],2,FALSE),"")</f>
        <v>0</v>
      </c>
      <c r="O7" s="316">
        <f>IF(S7&gt;PauseGTime,PauseGWert,IF(S7&gt;PauseKTime,PauseKWert,IF(S7&lt;=PauseKTime,0,WENN)))</f>
        <v>0</v>
      </c>
      <c r="P7" s="364"/>
      <c r="Q7" s="356">
        <f t="shared" si="2"/>
        <v>0</v>
      </c>
      <c r="R7" s="225">
        <f t="shared" ca="1" si="3"/>
        <v>0.29166666666666669</v>
      </c>
      <c r="S7" s="225">
        <f t="shared" si="7"/>
        <v>0</v>
      </c>
      <c r="T7" s="130">
        <f t="shared" ca="1" si="4"/>
        <v>-0.29166666666667002</v>
      </c>
      <c r="U7" s="251">
        <f t="shared" ca="1" si="5"/>
        <v>0.29166666666666669</v>
      </c>
      <c r="V7" s="131"/>
      <c r="W7" s="214" t="e">
        <f t="shared" ca="1" si="8"/>
        <v>#REF!</v>
      </c>
      <c r="AB7" s="345">
        <f t="shared" si="9"/>
        <v>0</v>
      </c>
      <c r="AC7" s="345">
        <f t="shared" si="10"/>
        <v>0</v>
      </c>
    </row>
    <row r="8" spans="1:29" s="19" customFormat="1" ht="12" x14ac:dyDescent="0.2">
      <c r="A8" s="312">
        <f t="shared" si="6"/>
        <v>44504</v>
      </c>
      <c r="B8" s="129">
        <f t="shared" si="0"/>
        <v>44504</v>
      </c>
      <c r="C8" s="262" t="str">
        <f t="shared" si="1"/>
        <v/>
      </c>
      <c r="D8" s="358"/>
      <c r="E8" s="352"/>
      <c r="F8" s="255"/>
      <c r="G8" s="309"/>
      <c r="H8" s="309"/>
      <c r="I8" s="348">
        <f>IFERROR(VLOOKUP(D8&amp;G8,tbl_Entfernung[[Verketten]:[Entfernung]],2,FALSE),"")</f>
        <v>0</v>
      </c>
      <c r="J8" s="361"/>
      <c r="K8" s="352"/>
      <c r="L8" s="309"/>
      <c r="M8" s="309"/>
      <c r="N8" s="321">
        <f>IFERROR(VLOOKUP(G8&amp;L8,tbl_Entfernung[[Verketten]:[Entfernung]],2,FALSE),"")</f>
        <v>0</v>
      </c>
      <c r="O8" s="316">
        <f>IF(S8&gt;PauseGTime,PauseGWert,IF(S8&gt;PauseKTime,PauseKWert,IF(S8&lt;=PauseKTime,0,WENN)))</f>
        <v>0</v>
      </c>
      <c r="P8" s="364"/>
      <c r="Q8" s="356">
        <f t="shared" si="2"/>
        <v>0</v>
      </c>
      <c r="R8" s="225">
        <f t="shared" ca="1" si="3"/>
        <v>0.29166666666666669</v>
      </c>
      <c r="S8" s="225">
        <f t="shared" si="7"/>
        <v>0</v>
      </c>
      <c r="T8" s="130">
        <f t="shared" ca="1" si="4"/>
        <v>-0.29166666666667002</v>
      </c>
      <c r="U8" s="251">
        <f t="shared" ca="1" si="5"/>
        <v>0.29166666666666669</v>
      </c>
      <c r="V8" s="131"/>
      <c r="W8" s="214" t="e">
        <f t="shared" ca="1" si="8"/>
        <v>#REF!</v>
      </c>
      <c r="AB8" s="345">
        <f t="shared" si="9"/>
        <v>0</v>
      </c>
      <c r="AC8" s="345">
        <f t="shared" si="10"/>
        <v>0</v>
      </c>
    </row>
    <row r="9" spans="1:29" s="19" customFormat="1" ht="12" x14ac:dyDescent="0.2">
      <c r="A9" s="312">
        <f t="shared" si="6"/>
        <v>44505</v>
      </c>
      <c r="B9" s="129">
        <f t="shared" si="0"/>
        <v>44505</v>
      </c>
      <c r="C9" s="262" t="str">
        <f t="shared" si="1"/>
        <v/>
      </c>
      <c r="D9" s="358"/>
      <c r="E9" s="352"/>
      <c r="F9" s="255"/>
      <c r="G9" s="309"/>
      <c r="H9" s="309"/>
      <c r="I9" s="349">
        <f>IFERROR(VLOOKUP(D9&amp;G9,tbl_Entfernung[[Verketten]:[Entfernung]],2,FALSE),"")</f>
        <v>0</v>
      </c>
      <c r="J9" s="361"/>
      <c r="K9" s="352"/>
      <c r="L9" s="309"/>
      <c r="M9" s="309"/>
      <c r="N9" s="322">
        <f>IFERROR(VLOOKUP(G9&amp;L9,tbl_Entfernung[[Verketten]:[Entfernung]],2,FALSE),"")</f>
        <v>0</v>
      </c>
      <c r="O9" s="316">
        <f>IF(S9&gt;PauseGTime,PauseGWert,IF(S9&gt;PauseKTime,PauseKWert,IF(S9&lt;=PauseKTime,0,WENN)))</f>
        <v>0</v>
      </c>
      <c r="P9" s="364"/>
      <c r="Q9" s="356">
        <f t="shared" si="2"/>
        <v>0</v>
      </c>
      <c r="R9" s="225">
        <f t="shared" ca="1" si="3"/>
        <v>0.29166666666666669</v>
      </c>
      <c r="S9" s="225">
        <f t="shared" si="7"/>
        <v>0</v>
      </c>
      <c r="T9" s="130">
        <f t="shared" ca="1" si="4"/>
        <v>-0.29166666666667002</v>
      </c>
      <c r="U9" s="251">
        <f t="shared" ca="1" si="5"/>
        <v>0.29166666666666669</v>
      </c>
      <c r="V9" s="131"/>
      <c r="W9" s="214" t="e">
        <f t="shared" ca="1" si="8"/>
        <v>#REF!</v>
      </c>
      <c r="AB9" s="345">
        <f t="shared" si="9"/>
        <v>0</v>
      </c>
      <c r="AC9" s="345">
        <f t="shared" si="10"/>
        <v>0</v>
      </c>
    </row>
    <row r="10" spans="1:29" s="19" customFormat="1" ht="12" x14ac:dyDescent="0.2">
      <c r="A10" s="312">
        <f t="shared" si="6"/>
        <v>44506</v>
      </c>
      <c r="B10" s="129">
        <f t="shared" si="0"/>
        <v>44506</v>
      </c>
      <c r="C10" s="262" t="str">
        <f t="shared" si="1"/>
        <v/>
      </c>
      <c r="D10" s="358"/>
      <c r="E10" s="352"/>
      <c r="F10" s="255"/>
      <c r="G10" s="309"/>
      <c r="H10" s="309"/>
      <c r="I10" s="349">
        <f>IFERROR(VLOOKUP(D10&amp;G10,tbl_Entfernung[[Verketten]:[Entfernung]],2,FALSE),"")</f>
        <v>0</v>
      </c>
      <c r="J10" s="361"/>
      <c r="K10" s="352"/>
      <c r="L10" s="309"/>
      <c r="M10" s="309"/>
      <c r="N10" s="322">
        <f>IFERROR(VLOOKUP(G10&amp;L10,tbl_Entfernung[[Verketten]:[Entfernung]],2,FALSE),"")</f>
        <v>0</v>
      </c>
      <c r="O10" s="316">
        <f>IF(S10&gt;PauseGTime,PauseGWert,IF(S10&gt;PauseKTime,PauseKWert,IF(S10&lt;=PauseKTime,0,WENN)))</f>
        <v>0</v>
      </c>
      <c r="P10" s="364"/>
      <c r="Q10" s="356">
        <f t="shared" si="2"/>
        <v>0</v>
      </c>
      <c r="R10" s="225">
        <f t="shared" ca="1" si="3"/>
        <v>0.29166666666666669</v>
      </c>
      <c r="S10" s="225">
        <f t="shared" si="7"/>
        <v>0</v>
      </c>
      <c r="T10" s="130">
        <f t="shared" ca="1" si="4"/>
        <v>-0.29166666666667002</v>
      </c>
      <c r="U10" s="251">
        <f t="shared" ca="1" si="5"/>
        <v>0.29166666666666669</v>
      </c>
      <c r="V10" s="131"/>
      <c r="W10" s="214" t="e">
        <f t="shared" ca="1" si="8"/>
        <v>#REF!</v>
      </c>
      <c r="AB10" s="345">
        <f t="shared" si="9"/>
        <v>0</v>
      </c>
      <c r="AC10" s="345">
        <f t="shared" si="10"/>
        <v>0</v>
      </c>
    </row>
    <row r="11" spans="1:29" s="19" customFormat="1" ht="12" x14ac:dyDescent="0.2">
      <c r="A11" s="312">
        <f t="shared" si="6"/>
        <v>44507</v>
      </c>
      <c r="B11" s="129">
        <f t="shared" si="0"/>
        <v>44507</v>
      </c>
      <c r="C11" s="262" t="str">
        <f t="shared" si="1"/>
        <v/>
      </c>
      <c r="D11" s="358"/>
      <c r="E11" s="352"/>
      <c r="F11" s="255"/>
      <c r="G11" s="309"/>
      <c r="H11" s="309"/>
      <c r="I11" s="348">
        <f>IFERROR(VLOOKUP(D11&amp;G11,tbl_Entfernung[[Verketten]:[Entfernung]],2,FALSE),"")</f>
        <v>0</v>
      </c>
      <c r="J11" s="361"/>
      <c r="K11" s="352"/>
      <c r="L11" s="309"/>
      <c r="M11" s="309"/>
      <c r="N11" s="321">
        <f>IFERROR(VLOOKUP(G11&amp;L11,tbl_Entfernung[[Verketten]:[Entfernung]],2,FALSE),"")</f>
        <v>0</v>
      </c>
      <c r="O11" s="316">
        <f>IF(S11&gt;PauseGTime,PauseGWert,IF(S11&gt;PauseKTime,PauseKWert,IF(S11&lt;=PauseKTime,0,WENN)))</f>
        <v>0</v>
      </c>
      <c r="P11" s="364"/>
      <c r="Q11" s="356">
        <f t="shared" si="2"/>
        <v>0</v>
      </c>
      <c r="R11" s="225">
        <f t="shared" ca="1" si="3"/>
        <v>0</v>
      </c>
      <c r="S11" s="225">
        <f t="shared" si="7"/>
        <v>0</v>
      </c>
      <c r="T11" s="130">
        <f t="shared" ca="1" si="4"/>
        <v>0</v>
      </c>
      <c r="U11" s="251">
        <f t="shared" ca="1" si="5"/>
        <v>0</v>
      </c>
      <c r="V11" s="131"/>
      <c r="W11" s="214" t="e">
        <f t="shared" ca="1" si="8"/>
        <v>#REF!</v>
      </c>
      <c r="AB11" s="345">
        <f t="shared" si="9"/>
        <v>0</v>
      </c>
      <c r="AC11" s="345">
        <f t="shared" si="10"/>
        <v>0</v>
      </c>
    </row>
    <row r="12" spans="1:29" s="19" customFormat="1" ht="12" x14ac:dyDescent="0.2">
      <c r="A12" s="312">
        <f t="shared" si="6"/>
        <v>44508</v>
      </c>
      <c r="B12" s="129">
        <f t="shared" si="0"/>
        <v>44508</v>
      </c>
      <c r="C12" s="262" t="str">
        <f t="shared" si="1"/>
        <v/>
      </c>
      <c r="D12" s="358"/>
      <c r="E12" s="352"/>
      <c r="F12" s="255"/>
      <c r="G12" s="309"/>
      <c r="H12" s="309"/>
      <c r="I12" s="348">
        <f>IFERROR(VLOOKUP(D12&amp;G12,tbl_Entfernung[[Verketten]:[Entfernung]],2,FALSE),"")</f>
        <v>0</v>
      </c>
      <c r="J12" s="361"/>
      <c r="K12" s="352"/>
      <c r="L12" s="309"/>
      <c r="M12" s="309"/>
      <c r="N12" s="321">
        <f>IFERROR(VLOOKUP(G12&amp;L12,tbl_Entfernung[[Verketten]:[Entfernung]],2,FALSE),"")</f>
        <v>0</v>
      </c>
      <c r="O12" s="316">
        <f>IF(S12&gt;PauseGTime,PauseGWert,IF(S12&gt;PauseKTime,PauseKWert,IF(S12&lt;=PauseKTime,0,WENN)))</f>
        <v>0</v>
      </c>
      <c r="P12" s="364"/>
      <c r="Q12" s="356">
        <f t="shared" si="2"/>
        <v>0</v>
      </c>
      <c r="R12" s="225">
        <f t="shared" ca="1" si="3"/>
        <v>0</v>
      </c>
      <c r="S12" s="225">
        <f t="shared" si="7"/>
        <v>0</v>
      </c>
      <c r="T12" s="130">
        <f t="shared" ca="1" si="4"/>
        <v>0</v>
      </c>
      <c r="U12" s="251">
        <f t="shared" ca="1" si="5"/>
        <v>0</v>
      </c>
      <c r="V12" s="131"/>
      <c r="W12" s="214" t="e">
        <f t="shared" ca="1" si="8"/>
        <v>#REF!</v>
      </c>
      <c r="AB12" s="345">
        <f t="shared" si="9"/>
        <v>0</v>
      </c>
      <c r="AC12" s="345">
        <f t="shared" si="10"/>
        <v>0</v>
      </c>
    </row>
    <row r="13" spans="1:29" s="19" customFormat="1" ht="12" x14ac:dyDescent="0.2">
      <c r="A13" s="312">
        <f t="shared" si="6"/>
        <v>44509</v>
      </c>
      <c r="B13" s="129">
        <f t="shared" si="0"/>
        <v>44509</v>
      </c>
      <c r="C13" s="262" t="str">
        <f t="shared" si="1"/>
        <v/>
      </c>
      <c r="D13" s="358"/>
      <c r="E13" s="352"/>
      <c r="F13" s="255"/>
      <c r="G13" s="309"/>
      <c r="H13" s="309"/>
      <c r="I13" s="348">
        <f>IFERROR(VLOOKUP(D13&amp;G13,tbl_Entfernung[[Verketten]:[Entfernung]],2,FALSE),"")</f>
        <v>0</v>
      </c>
      <c r="J13" s="361"/>
      <c r="K13" s="352"/>
      <c r="L13" s="309"/>
      <c r="M13" s="309"/>
      <c r="N13" s="321">
        <f>IFERROR(VLOOKUP(G13&amp;L13,tbl_Entfernung[[Verketten]:[Entfernung]],2,FALSE),"")</f>
        <v>0</v>
      </c>
      <c r="O13" s="316">
        <f>IF(S13&gt;PauseGTime,PauseGWert,IF(S13&gt;PauseKTime,PauseKWert,IF(S13&lt;=PauseKTime,0,WENN)))</f>
        <v>0</v>
      </c>
      <c r="P13" s="364"/>
      <c r="Q13" s="356">
        <f t="shared" si="2"/>
        <v>0</v>
      </c>
      <c r="R13" s="225">
        <f t="shared" ca="1" si="3"/>
        <v>0.29166666666666669</v>
      </c>
      <c r="S13" s="225">
        <f t="shared" si="7"/>
        <v>0</v>
      </c>
      <c r="T13" s="130">
        <f t="shared" ca="1" si="4"/>
        <v>-0.29166666666667002</v>
      </c>
      <c r="U13" s="251">
        <f t="shared" ca="1" si="5"/>
        <v>0.29166666666666669</v>
      </c>
      <c r="V13" s="131"/>
      <c r="W13" s="214" t="e">
        <f t="shared" ca="1" si="8"/>
        <v>#REF!</v>
      </c>
      <c r="AB13" s="345">
        <f t="shared" si="9"/>
        <v>0</v>
      </c>
      <c r="AC13" s="345">
        <f t="shared" si="10"/>
        <v>0</v>
      </c>
    </row>
    <row r="14" spans="1:29" s="19" customFormat="1" ht="12" x14ac:dyDescent="0.2">
      <c r="A14" s="312">
        <f t="shared" si="6"/>
        <v>44510</v>
      </c>
      <c r="B14" s="129">
        <f t="shared" si="0"/>
        <v>44510</v>
      </c>
      <c r="C14" s="262" t="str">
        <f t="shared" si="1"/>
        <v/>
      </c>
      <c r="D14" s="358"/>
      <c r="E14" s="352"/>
      <c r="F14" s="255"/>
      <c r="G14" s="309"/>
      <c r="H14" s="309"/>
      <c r="I14" s="348">
        <f>IFERROR(VLOOKUP(D14&amp;G14,tbl_Entfernung[[Verketten]:[Entfernung]],2,FALSE),"")</f>
        <v>0</v>
      </c>
      <c r="J14" s="361"/>
      <c r="K14" s="352"/>
      <c r="L14" s="309"/>
      <c r="M14" s="309"/>
      <c r="N14" s="321">
        <f>IFERROR(VLOOKUP(G14&amp;L14,tbl_Entfernung[[Verketten]:[Entfernung]],2,FALSE),"")</f>
        <v>0</v>
      </c>
      <c r="O14" s="316">
        <f>IF(S14&gt;PauseGTime,PauseGWert,IF(S14&gt;PauseKTime,PauseKWert,IF(S14&lt;=PauseKTime,0,WENN)))</f>
        <v>0</v>
      </c>
      <c r="P14" s="364"/>
      <c r="Q14" s="356">
        <f t="shared" si="2"/>
        <v>0</v>
      </c>
      <c r="R14" s="225">
        <f t="shared" ca="1" si="3"/>
        <v>0.29166666666666669</v>
      </c>
      <c r="S14" s="225">
        <f t="shared" si="7"/>
        <v>0</v>
      </c>
      <c r="T14" s="130">
        <f t="shared" ca="1" si="4"/>
        <v>-0.29166666666667002</v>
      </c>
      <c r="U14" s="251">
        <f t="shared" ca="1" si="5"/>
        <v>0.29166666666666669</v>
      </c>
      <c r="V14" s="131"/>
      <c r="W14" s="214" t="e">
        <f t="shared" ca="1" si="8"/>
        <v>#REF!</v>
      </c>
      <c r="AB14" s="345">
        <f t="shared" si="9"/>
        <v>0</v>
      </c>
      <c r="AC14" s="345">
        <f t="shared" si="10"/>
        <v>0</v>
      </c>
    </row>
    <row r="15" spans="1:29" s="19" customFormat="1" ht="12" x14ac:dyDescent="0.2">
      <c r="A15" s="312">
        <f t="shared" si="6"/>
        <v>44511</v>
      </c>
      <c r="B15" s="129">
        <f t="shared" si="0"/>
        <v>44511</v>
      </c>
      <c r="C15" s="262" t="str">
        <f t="shared" si="1"/>
        <v/>
      </c>
      <c r="D15" s="358"/>
      <c r="E15" s="352"/>
      <c r="F15" s="255"/>
      <c r="G15" s="309"/>
      <c r="H15" s="309"/>
      <c r="I15" s="348">
        <f>IFERROR(VLOOKUP(D15&amp;G15,tbl_Entfernung[[Verketten]:[Entfernung]],2,FALSE),"")</f>
        <v>0</v>
      </c>
      <c r="J15" s="361"/>
      <c r="K15" s="352"/>
      <c r="L15" s="309"/>
      <c r="M15" s="309"/>
      <c r="N15" s="321">
        <f>IFERROR(VLOOKUP(G15&amp;L15,tbl_Entfernung[[Verketten]:[Entfernung]],2,FALSE),"")</f>
        <v>0</v>
      </c>
      <c r="O15" s="316">
        <f>IF(S15&gt;PauseGTime,PauseGWert,IF(S15&gt;PauseKTime,PauseKWert,IF(S15&lt;=PauseKTime,0,WENN)))</f>
        <v>0</v>
      </c>
      <c r="P15" s="364"/>
      <c r="Q15" s="356">
        <f t="shared" si="2"/>
        <v>0</v>
      </c>
      <c r="R15" s="225">
        <f t="shared" ca="1" si="3"/>
        <v>0.29166666666666669</v>
      </c>
      <c r="S15" s="225">
        <f t="shared" si="7"/>
        <v>0</v>
      </c>
      <c r="T15" s="130">
        <f t="shared" ca="1" si="4"/>
        <v>-0.29166666666667002</v>
      </c>
      <c r="U15" s="251">
        <f t="shared" ca="1" si="5"/>
        <v>0.29166666666666669</v>
      </c>
      <c r="V15" s="131"/>
      <c r="W15" s="214" t="e">
        <f t="shared" ca="1" si="8"/>
        <v>#REF!</v>
      </c>
      <c r="AB15" s="345">
        <f t="shared" si="9"/>
        <v>0</v>
      </c>
      <c r="AC15" s="345">
        <f t="shared" si="10"/>
        <v>0</v>
      </c>
    </row>
    <row r="16" spans="1:29" s="19" customFormat="1" ht="12" x14ac:dyDescent="0.2">
      <c r="A16" s="312">
        <f t="shared" si="6"/>
        <v>44512</v>
      </c>
      <c r="B16" s="129">
        <f t="shared" si="0"/>
        <v>44512</v>
      </c>
      <c r="C16" s="262" t="str">
        <f t="shared" si="1"/>
        <v/>
      </c>
      <c r="D16" s="358"/>
      <c r="E16" s="352"/>
      <c r="F16" s="255"/>
      <c r="G16" s="309"/>
      <c r="H16" s="309"/>
      <c r="I16" s="349">
        <f>IFERROR(VLOOKUP(D16&amp;G16,tbl_Entfernung[[Verketten]:[Entfernung]],2,FALSE),"")</f>
        <v>0</v>
      </c>
      <c r="J16" s="361"/>
      <c r="K16" s="352"/>
      <c r="L16" s="309"/>
      <c r="M16" s="309"/>
      <c r="N16" s="322">
        <f>IFERROR(VLOOKUP(G16&amp;L16,tbl_Entfernung[[Verketten]:[Entfernung]],2,FALSE),"")</f>
        <v>0</v>
      </c>
      <c r="O16" s="316">
        <f>IF(S16&gt;PauseGTime,PauseGWert,IF(S16&gt;PauseKTime,PauseKWert,IF(S16&lt;=PauseKTime,0,WENN)))</f>
        <v>0</v>
      </c>
      <c r="P16" s="364"/>
      <c r="Q16" s="356">
        <f t="shared" si="2"/>
        <v>0</v>
      </c>
      <c r="R16" s="225">
        <f t="shared" ca="1" si="3"/>
        <v>0.29166666666666669</v>
      </c>
      <c r="S16" s="225">
        <f t="shared" si="7"/>
        <v>0</v>
      </c>
      <c r="T16" s="130">
        <f t="shared" ca="1" si="4"/>
        <v>-0.29166666666667002</v>
      </c>
      <c r="U16" s="251">
        <f t="shared" ca="1" si="5"/>
        <v>0.29166666666666669</v>
      </c>
      <c r="V16" s="131"/>
      <c r="W16" s="214" t="e">
        <f t="shared" ca="1" si="8"/>
        <v>#REF!</v>
      </c>
      <c r="AB16" s="345">
        <f t="shared" si="9"/>
        <v>0</v>
      </c>
      <c r="AC16" s="345">
        <f t="shared" si="10"/>
        <v>0</v>
      </c>
    </row>
    <row r="17" spans="1:29" s="19" customFormat="1" ht="12" x14ac:dyDescent="0.2">
      <c r="A17" s="312">
        <f t="shared" si="6"/>
        <v>44513</v>
      </c>
      <c r="B17" s="129">
        <f t="shared" si="0"/>
        <v>44513</v>
      </c>
      <c r="C17" s="262" t="str">
        <f t="shared" si="1"/>
        <v/>
      </c>
      <c r="D17" s="358"/>
      <c r="E17" s="352"/>
      <c r="F17" s="255"/>
      <c r="G17" s="309"/>
      <c r="H17" s="309"/>
      <c r="I17" s="349">
        <f>IFERROR(VLOOKUP(D17&amp;G17,tbl_Entfernung[[Verketten]:[Entfernung]],2,FALSE),"")</f>
        <v>0</v>
      </c>
      <c r="J17" s="361"/>
      <c r="K17" s="352"/>
      <c r="L17" s="309"/>
      <c r="M17" s="309"/>
      <c r="N17" s="322">
        <f>IFERROR(VLOOKUP(G17&amp;L17,tbl_Entfernung[[Verketten]:[Entfernung]],2,FALSE),"")</f>
        <v>0</v>
      </c>
      <c r="O17" s="316">
        <f>IF(S17&gt;PauseGTime,PauseGWert,IF(S17&gt;PauseKTime,PauseKWert,IF(S17&lt;=PauseKTime,0,WENN)))</f>
        <v>0</v>
      </c>
      <c r="P17" s="364"/>
      <c r="Q17" s="356">
        <f t="shared" si="2"/>
        <v>0</v>
      </c>
      <c r="R17" s="225">
        <f t="shared" ca="1" si="3"/>
        <v>0.29166666666666669</v>
      </c>
      <c r="S17" s="225">
        <f t="shared" si="7"/>
        <v>0</v>
      </c>
      <c r="T17" s="130">
        <f t="shared" ca="1" si="4"/>
        <v>-0.29166666666667002</v>
      </c>
      <c r="U17" s="251">
        <f t="shared" ca="1" si="5"/>
        <v>0.29166666666666669</v>
      </c>
      <c r="V17" s="131"/>
      <c r="W17" s="214" t="e">
        <f t="shared" ca="1" si="8"/>
        <v>#REF!</v>
      </c>
      <c r="AB17" s="345">
        <f t="shared" si="9"/>
        <v>0</v>
      </c>
      <c r="AC17" s="345">
        <f t="shared" si="10"/>
        <v>0</v>
      </c>
    </row>
    <row r="18" spans="1:29" s="19" customFormat="1" ht="12" x14ac:dyDescent="0.2">
      <c r="A18" s="312">
        <f t="shared" si="6"/>
        <v>44514</v>
      </c>
      <c r="B18" s="129">
        <f t="shared" si="0"/>
        <v>44514</v>
      </c>
      <c r="C18" s="262" t="str">
        <f t="shared" si="1"/>
        <v/>
      </c>
      <c r="D18" s="358"/>
      <c r="E18" s="352"/>
      <c r="F18" s="255"/>
      <c r="G18" s="309"/>
      <c r="H18" s="309"/>
      <c r="I18" s="348">
        <f>IFERROR(VLOOKUP(D18&amp;G18,tbl_Entfernung[[Verketten]:[Entfernung]],2,FALSE),"")</f>
        <v>0</v>
      </c>
      <c r="J18" s="361"/>
      <c r="K18" s="352"/>
      <c r="L18" s="309"/>
      <c r="M18" s="309"/>
      <c r="N18" s="321">
        <f>IFERROR(VLOOKUP(G18&amp;L18,tbl_Entfernung[[Verketten]:[Entfernung]],2,FALSE),"")</f>
        <v>0</v>
      </c>
      <c r="O18" s="316">
        <f>IF(S18&gt;PauseGTime,PauseGWert,IF(S18&gt;PauseKTime,PauseKWert,IF(S18&lt;=PauseKTime,0,WENN)))</f>
        <v>0</v>
      </c>
      <c r="P18" s="364"/>
      <c r="Q18" s="356">
        <f t="shared" si="2"/>
        <v>0</v>
      </c>
      <c r="R18" s="225">
        <f t="shared" ca="1" si="3"/>
        <v>0</v>
      </c>
      <c r="S18" s="225">
        <f t="shared" si="7"/>
        <v>0</v>
      </c>
      <c r="T18" s="130">
        <f t="shared" ca="1" si="4"/>
        <v>0</v>
      </c>
      <c r="U18" s="251">
        <f t="shared" ca="1" si="5"/>
        <v>0</v>
      </c>
      <c r="V18" s="131"/>
      <c r="W18" s="214" t="e">
        <f t="shared" ca="1" si="8"/>
        <v>#REF!</v>
      </c>
      <c r="AB18" s="345">
        <f t="shared" si="9"/>
        <v>0</v>
      </c>
      <c r="AC18" s="345">
        <f t="shared" si="10"/>
        <v>0</v>
      </c>
    </row>
    <row r="19" spans="1:29" s="19" customFormat="1" ht="12" x14ac:dyDescent="0.2">
      <c r="A19" s="312">
        <f t="shared" si="6"/>
        <v>44515</v>
      </c>
      <c r="B19" s="129">
        <f t="shared" si="0"/>
        <v>44515</v>
      </c>
      <c r="C19" s="262" t="str">
        <f t="shared" si="1"/>
        <v/>
      </c>
      <c r="D19" s="358"/>
      <c r="E19" s="352"/>
      <c r="F19" s="255"/>
      <c r="G19" s="309"/>
      <c r="H19" s="309"/>
      <c r="I19" s="348">
        <f>IFERROR(VLOOKUP(D19&amp;G19,tbl_Entfernung[[Verketten]:[Entfernung]],2,FALSE),"")</f>
        <v>0</v>
      </c>
      <c r="J19" s="361"/>
      <c r="K19" s="352"/>
      <c r="L19" s="309"/>
      <c r="M19" s="309"/>
      <c r="N19" s="321">
        <f>IFERROR(VLOOKUP(G19&amp;L19,tbl_Entfernung[[Verketten]:[Entfernung]],2,FALSE),"")</f>
        <v>0</v>
      </c>
      <c r="O19" s="316">
        <f>IF(S19&gt;PauseGTime,PauseGWert,IF(S19&gt;PauseKTime,PauseKWert,IF(S19&lt;=PauseKTime,0,WENN)))</f>
        <v>0</v>
      </c>
      <c r="P19" s="364"/>
      <c r="Q19" s="356">
        <f t="shared" si="2"/>
        <v>0</v>
      </c>
      <c r="R19" s="225">
        <f t="shared" ca="1" si="3"/>
        <v>0</v>
      </c>
      <c r="S19" s="225">
        <f t="shared" si="7"/>
        <v>0</v>
      </c>
      <c r="T19" s="130">
        <f t="shared" ca="1" si="4"/>
        <v>0</v>
      </c>
      <c r="U19" s="251">
        <f t="shared" ca="1" si="5"/>
        <v>0</v>
      </c>
      <c r="V19" s="131"/>
      <c r="W19" s="214" t="e">
        <f t="shared" ca="1" si="8"/>
        <v>#REF!</v>
      </c>
      <c r="AB19" s="345">
        <f t="shared" si="9"/>
        <v>0</v>
      </c>
      <c r="AC19" s="345">
        <f t="shared" si="10"/>
        <v>0</v>
      </c>
    </row>
    <row r="20" spans="1:29" s="19" customFormat="1" ht="12" x14ac:dyDescent="0.2">
      <c r="A20" s="312">
        <f t="shared" si="6"/>
        <v>44516</v>
      </c>
      <c r="B20" s="129">
        <f t="shared" si="0"/>
        <v>44516</v>
      </c>
      <c r="C20" s="262" t="str">
        <f t="shared" si="1"/>
        <v/>
      </c>
      <c r="D20" s="358"/>
      <c r="E20" s="352"/>
      <c r="F20" s="255"/>
      <c r="G20" s="309"/>
      <c r="H20" s="309"/>
      <c r="I20" s="348">
        <f>IFERROR(VLOOKUP(D20&amp;G20,tbl_Entfernung[[Verketten]:[Entfernung]],2,FALSE),"")</f>
        <v>0</v>
      </c>
      <c r="J20" s="361"/>
      <c r="K20" s="352"/>
      <c r="L20" s="309"/>
      <c r="M20" s="309"/>
      <c r="N20" s="321">
        <f>IFERROR(VLOOKUP(G20&amp;L20,tbl_Entfernung[[Verketten]:[Entfernung]],2,FALSE),"")</f>
        <v>0</v>
      </c>
      <c r="O20" s="316">
        <f>IF(S20&gt;PauseGTime,PauseGWert,IF(S20&gt;PauseKTime,PauseKWert,IF(S20&lt;=PauseKTime,0,WENN)))</f>
        <v>0</v>
      </c>
      <c r="P20" s="364"/>
      <c r="Q20" s="356">
        <f t="shared" si="2"/>
        <v>0</v>
      </c>
      <c r="R20" s="225">
        <f t="shared" ca="1" si="3"/>
        <v>0.29166666666666669</v>
      </c>
      <c r="S20" s="225">
        <f t="shared" si="7"/>
        <v>0</v>
      </c>
      <c r="T20" s="130">
        <f t="shared" ca="1" si="4"/>
        <v>-0.29166666666667002</v>
      </c>
      <c r="U20" s="251">
        <f t="shared" ca="1" si="5"/>
        <v>0.29166666666666669</v>
      </c>
      <c r="V20" s="131"/>
      <c r="W20" s="214" t="e">
        <f t="shared" ca="1" si="8"/>
        <v>#REF!</v>
      </c>
      <c r="AB20" s="345">
        <f t="shared" si="9"/>
        <v>0</v>
      </c>
      <c r="AC20" s="345">
        <f t="shared" si="10"/>
        <v>0</v>
      </c>
    </row>
    <row r="21" spans="1:29" s="19" customFormat="1" ht="12" x14ac:dyDescent="0.2">
      <c r="A21" s="312">
        <f t="shared" si="6"/>
        <v>44517</v>
      </c>
      <c r="B21" s="129">
        <f t="shared" si="0"/>
        <v>44517</v>
      </c>
      <c r="C21" s="262" t="str">
        <f t="shared" si="1"/>
        <v/>
      </c>
      <c r="D21" s="358"/>
      <c r="E21" s="352"/>
      <c r="F21" s="255"/>
      <c r="G21" s="309"/>
      <c r="H21" s="309"/>
      <c r="I21" s="348">
        <f>IFERROR(VLOOKUP(D21&amp;G21,tbl_Entfernung[[Verketten]:[Entfernung]],2,FALSE),"")</f>
        <v>0</v>
      </c>
      <c r="J21" s="361"/>
      <c r="K21" s="352"/>
      <c r="L21" s="309"/>
      <c r="M21" s="309"/>
      <c r="N21" s="321">
        <f>IFERROR(VLOOKUP(G21&amp;L21,tbl_Entfernung[[Verketten]:[Entfernung]],2,FALSE),"")</f>
        <v>0</v>
      </c>
      <c r="O21" s="316">
        <f>IF(S21&gt;PauseGTime,PauseGWert,IF(S21&gt;PauseKTime,PauseKWert,IF(S21&lt;=PauseKTime,0,WENN)))</f>
        <v>0</v>
      </c>
      <c r="P21" s="364"/>
      <c r="Q21" s="356">
        <f t="shared" si="2"/>
        <v>0</v>
      </c>
      <c r="R21" s="225">
        <f t="shared" ca="1" si="3"/>
        <v>0.29166666666666669</v>
      </c>
      <c r="S21" s="225">
        <f t="shared" si="7"/>
        <v>0</v>
      </c>
      <c r="T21" s="130">
        <f t="shared" ca="1" si="4"/>
        <v>-0.29166666666667002</v>
      </c>
      <c r="U21" s="251">
        <f t="shared" ca="1" si="5"/>
        <v>0.29166666666666669</v>
      </c>
      <c r="V21" s="131"/>
      <c r="W21" s="214" t="e">
        <f t="shared" ca="1" si="8"/>
        <v>#REF!</v>
      </c>
      <c r="AB21" s="345">
        <f t="shared" si="9"/>
        <v>0</v>
      </c>
      <c r="AC21" s="345">
        <f t="shared" si="10"/>
        <v>0</v>
      </c>
    </row>
    <row r="22" spans="1:29" s="19" customFormat="1" ht="12" x14ac:dyDescent="0.2">
      <c r="A22" s="312">
        <f t="shared" si="6"/>
        <v>44518</v>
      </c>
      <c r="B22" s="129">
        <f t="shared" si="0"/>
        <v>44518</v>
      </c>
      <c r="C22" s="262" t="str">
        <f t="shared" si="1"/>
        <v>Buß- und Bettag</v>
      </c>
      <c r="D22" s="358"/>
      <c r="E22" s="352"/>
      <c r="F22" s="255"/>
      <c r="G22" s="309"/>
      <c r="H22" s="309"/>
      <c r="I22" s="348">
        <f>IFERROR(VLOOKUP(D22&amp;G22,tbl_Entfernung[[Verketten]:[Entfernung]],2,FALSE),"")</f>
        <v>0</v>
      </c>
      <c r="J22" s="361"/>
      <c r="K22" s="352"/>
      <c r="L22" s="309"/>
      <c r="M22" s="309"/>
      <c r="N22" s="321">
        <f>IFERROR(VLOOKUP(G22&amp;L22,tbl_Entfernung[[Verketten]:[Entfernung]],2,FALSE),"")</f>
        <v>0</v>
      </c>
      <c r="O22" s="316">
        <f>IF(S22&gt;PauseGTime,PauseGWert,IF(S22&gt;PauseKTime,PauseKWert,IF(S22&lt;=PauseKTime,0,WENN)))</f>
        <v>0</v>
      </c>
      <c r="P22" s="364"/>
      <c r="Q22" s="356">
        <f t="shared" si="2"/>
        <v>0</v>
      </c>
      <c r="R22" s="225">
        <f t="shared" ca="1" si="3"/>
        <v>0</v>
      </c>
      <c r="S22" s="225">
        <f t="shared" si="7"/>
        <v>0</v>
      </c>
      <c r="T22" s="130">
        <f t="shared" ca="1" si="4"/>
        <v>0</v>
      </c>
      <c r="U22" s="251">
        <f t="shared" ca="1" si="5"/>
        <v>0.29166666666666669</v>
      </c>
      <c r="V22" s="131"/>
      <c r="W22" s="214" t="e">
        <f t="shared" ca="1" si="8"/>
        <v>#REF!</v>
      </c>
      <c r="AB22" s="345">
        <f t="shared" si="9"/>
        <v>0</v>
      </c>
      <c r="AC22" s="345">
        <f t="shared" si="10"/>
        <v>0</v>
      </c>
    </row>
    <row r="23" spans="1:29" s="19" customFormat="1" ht="12" x14ac:dyDescent="0.2">
      <c r="A23" s="312">
        <f t="shared" si="6"/>
        <v>44519</v>
      </c>
      <c r="B23" s="129">
        <f t="shared" si="0"/>
        <v>44519</v>
      </c>
      <c r="C23" s="262" t="str">
        <f t="shared" si="1"/>
        <v/>
      </c>
      <c r="D23" s="358"/>
      <c r="E23" s="352"/>
      <c r="F23" s="255"/>
      <c r="G23" s="309"/>
      <c r="H23" s="309"/>
      <c r="I23" s="349">
        <f>IFERROR(VLOOKUP(D23&amp;G23,tbl_Entfernung[[Verketten]:[Entfernung]],2,FALSE),"")</f>
        <v>0</v>
      </c>
      <c r="J23" s="361"/>
      <c r="K23" s="352"/>
      <c r="L23" s="309"/>
      <c r="M23" s="309"/>
      <c r="N23" s="322">
        <f>IFERROR(VLOOKUP(G23&amp;L23,tbl_Entfernung[[Verketten]:[Entfernung]],2,FALSE),"")</f>
        <v>0</v>
      </c>
      <c r="O23" s="316">
        <f>IF(S23&gt;PauseGTime,PauseGWert,IF(S23&gt;PauseKTime,PauseKWert,IF(S23&lt;=PauseKTime,0,WENN)))</f>
        <v>0</v>
      </c>
      <c r="P23" s="364"/>
      <c r="Q23" s="356">
        <f t="shared" si="2"/>
        <v>0</v>
      </c>
      <c r="R23" s="225">
        <f t="shared" ca="1" si="3"/>
        <v>0.29166666666666669</v>
      </c>
      <c r="S23" s="225">
        <f t="shared" si="7"/>
        <v>0</v>
      </c>
      <c r="T23" s="130">
        <f t="shared" ca="1" si="4"/>
        <v>-0.29166666666667002</v>
      </c>
      <c r="U23" s="251">
        <f t="shared" ca="1" si="5"/>
        <v>0.29166666666666669</v>
      </c>
      <c r="V23" s="131"/>
      <c r="W23" s="214" t="e">
        <f t="shared" ca="1" si="8"/>
        <v>#REF!</v>
      </c>
      <c r="AB23" s="345">
        <f t="shared" si="9"/>
        <v>0</v>
      </c>
      <c r="AC23" s="345">
        <f t="shared" si="10"/>
        <v>0</v>
      </c>
    </row>
    <row r="24" spans="1:29" s="19" customFormat="1" ht="12" x14ac:dyDescent="0.2">
      <c r="A24" s="312">
        <f t="shared" si="6"/>
        <v>44520</v>
      </c>
      <c r="B24" s="129">
        <f t="shared" si="0"/>
        <v>44520</v>
      </c>
      <c r="C24" s="262" t="str">
        <f t="shared" si="1"/>
        <v/>
      </c>
      <c r="D24" s="358"/>
      <c r="E24" s="352"/>
      <c r="F24" s="255"/>
      <c r="G24" s="309"/>
      <c r="H24" s="309"/>
      <c r="I24" s="349">
        <f>IFERROR(VLOOKUP(D24&amp;G24,tbl_Entfernung[[Verketten]:[Entfernung]],2,FALSE),"")</f>
        <v>0</v>
      </c>
      <c r="J24" s="361"/>
      <c r="K24" s="352"/>
      <c r="L24" s="309"/>
      <c r="M24" s="309"/>
      <c r="N24" s="322">
        <f>IFERROR(VLOOKUP(G24&amp;L24,tbl_Entfernung[[Verketten]:[Entfernung]],2,FALSE),"")</f>
        <v>0</v>
      </c>
      <c r="O24" s="316">
        <f>IF(S24&gt;PauseGTime,PauseGWert,IF(S24&gt;PauseKTime,PauseKWert,IF(S24&lt;=PauseKTime,0,WENN)))</f>
        <v>0</v>
      </c>
      <c r="P24" s="364"/>
      <c r="Q24" s="356">
        <f t="shared" si="2"/>
        <v>0</v>
      </c>
      <c r="R24" s="225">
        <f t="shared" ca="1" si="3"/>
        <v>0.29166666666666669</v>
      </c>
      <c r="S24" s="225">
        <f t="shared" si="7"/>
        <v>0</v>
      </c>
      <c r="T24" s="130">
        <f t="shared" ca="1" si="4"/>
        <v>-0.29166666666667002</v>
      </c>
      <c r="U24" s="251">
        <f t="shared" ca="1" si="5"/>
        <v>0.29166666666666669</v>
      </c>
      <c r="V24" s="131"/>
      <c r="W24" s="214" t="e">
        <f t="shared" ca="1" si="8"/>
        <v>#REF!</v>
      </c>
      <c r="AB24" s="345">
        <f t="shared" si="9"/>
        <v>0</v>
      </c>
      <c r="AC24" s="345">
        <f t="shared" si="10"/>
        <v>0</v>
      </c>
    </row>
    <row r="25" spans="1:29" s="19" customFormat="1" ht="12" x14ac:dyDescent="0.2">
      <c r="A25" s="312">
        <f t="shared" si="6"/>
        <v>44521</v>
      </c>
      <c r="B25" s="129">
        <f t="shared" si="0"/>
        <v>44521</v>
      </c>
      <c r="C25" s="262" t="str">
        <f t="shared" si="1"/>
        <v/>
      </c>
      <c r="D25" s="358"/>
      <c r="E25" s="352"/>
      <c r="F25" s="255"/>
      <c r="G25" s="309"/>
      <c r="H25" s="309"/>
      <c r="I25" s="348">
        <f>IFERROR(VLOOKUP(D25&amp;G25,tbl_Entfernung[[Verketten]:[Entfernung]],2,FALSE),"")</f>
        <v>0</v>
      </c>
      <c r="J25" s="361"/>
      <c r="K25" s="352"/>
      <c r="L25" s="309"/>
      <c r="M25" s="309"/>
      <c r="N25" s="321">
        <f>IFERROR(VLOOKUP(G25&amp;L25,tbl_Entfernung[[Verketten]:[Entfernung]],2,FALSE),"")</f>
        <v>0</v>
      </c>
      <c r="O25" s="316">
        <f>IF(S25&gt;PauseGTime,PauseGWert,IF(S25&gt;PauseKTime,PauseKWert,IF(S25&lt;=PauseKTime,0,WENN)))</f>
        <v>0</v>
      </c>
      <c r="P25" s="364"/>
      <c r="Q25" s="356">
        <f t="shared" si="2"/>
        <v>0</v>
      </c>
      <c r="R25" s="225">
        <f t="shared" ca="1" si="3"/>
        <v>0</v>
      </c>
      <c r="S25" s="225">
        <f t="shared" si="7"/>
        <v>0</v>
      </c>
      <c r="T25" s="130">
        <f t="shared" ca="1" si="4"/>
        <v>0</v>
      </c>
      <c r="U25" s="251">
        <f t="shared" ca="1" si="5"/>
        <v>0</v>
      </c>
      <c r="V25" s="131"/>
      <c r="W25" s="214" t="e">
        <f t="shared" ca="1" si="8"/>
        <v>#REF!</v>
      </c>
      <c r="AB25" s="345">
        <f t="shared" si="9"/>
        <v>0</v>
      </c>
      <c r="AC25" s="345">
        <f t="shared" si="10"/>
        <v>0</v>
      </c>
    </row>
    <row r="26" spans="1:29" s="19" customFormat="1" ht="12" x14ac:dyDescent="0.2">
      <c r="A26" s="312">
        <f t="shared" si="6"/>
        <v>44522</v>
      </c>
      <c r="B26" s="129">
        <f t="shared" si="0"/>
        <v>44522</v>
      </c>
      <c r="C26" s="262" t="str">
        <f t="shared" si="1"/>
        <v/>
      </c>
      <c r="D26" s="358"/>
      <c r="E26" s="352"/>
      <c r="F26" s="255"/>
      <c r="G26" s="309"/>
      <c r="H26" s="309"/>
      <c r="I26" s="348">
        <f>IFERROR(VLOOKUP(D26&amp;G26,tbl_Entfernung[[Verketten]:[Entfernung]],2,FALSE),"")</f>
        <v>0</v>
      </c>
      <c r="J26" s="361"/>
      <c r="K26" s="352"/>
      <c r="L26" s="309"/>
      <c r="M26" s="309"/>
      <c r="N26" s="321">
        <f>IFERROR(VLOOKUP(G26&amp;L26,tbl_Entfernung[[Verketten]:[Entfernung]],2,FALSE),"")</f>
        <v>0</v>
      </c>
      <c r="O26" s="316">
        <f>IF(S26&gt;PauseGTime,PauseGWert,IF(S26&gt;PauseKTime,PauseKWert,IF(S26&lt;=PauseKTime,0,WENN)))</f>
        <v>0</v>
      </c>
      <c r="P26" s="364"/>
      <c r="Q26" s="356">
        <f t="shared" si="2"/>
        <v>0</v>
      </c>
      <c r="R26" s="225">
        <f t="shared" ca="1" si="3"/>
        <v>0</v>
      </c>
      <c r="S26" s="225">
        <f t="shared" si="7"/>
        <v>0</v>
      </c>
      <c r="T26" s="130">
        <f t="shared" ca="1" si="4"/>
        <v>0</v>
      </c>
      <c r="U26" s="251">
        <f t="shared" ca="1" si="5"/>
        <v>0</v>
      </c>
      <c r="V26" s="131"/>
      <c r="W26" s="214" t="e">
        <f t="shared" ca="1" si="8"/>
        <v>#REF!</v>
      </c>
      <c r="AB26" s="345">
        <f t="shared" si="9"/>
        <v>0</v>
      </c>
      <c r="AC26" s="345">
        <f t="shared" si="10"/>
        <v>0</v>
      </c>
    </row>
    <row r="27" spans="1:29" s="19" customFormat="1" ht="12" x14ac:dyDescent="0.2">
      <c r="A27" s="312">
        <f t="shared" si="6"/>
        <v>44523</v>
      </c>
      <c r="B27" s="129">
        <f t="shared" si="0"/>
        <v>44523</v>
      </c>
      <c r="C27" s="262" t="str">
        <f t="shared" si="1"/>
        <v/>
      </c>
      <c r="D27" s="358"/>
      <c r="E27" s="352"/>
      <c r="F27" s="255"/>
      <c r="G27" s="309"/>
      <c r="H27" s="309"/>
      <c r="I27" s="348">
        <f>IFERROR(VLOOKUP(D27&amp;G27,tbl_Entfernung[[Verketten]:[Entfernung]],2,FALSE),"")</f>
        <v>0</v>
      </c>
      <c r="J27" s="361"/>
      <c r="K27" s="352"/>
      <c r="L27" s="309"/>
      <c r="M27" s="309"/>
      <c r="N27" s="321">
        <f>IFERROR(VLOOKUP(G27&amp;L27,tbl_Entfernung[[Verketten]:[Entfernung]],2,FALSE),"")</f>
        <v>0</v>
      </c>
      <c r="O27" s="316">
        <f>IF(S27&gt;PauseGTime,PauseGWert,IF(S27&gt;PauseKTime,PauseKWert,IF(S27&lt;=PauseKTime,0,WENN)))</f>
        <v>0</v>
      </c>
      <c r="P27" s="364"/>
      <c r="Q27" s="356">
        <f t="shared" si="2"/>
        <v>0</v>
      </c>
      <c r="R27" s="225">
        <f t="shared" ca="1" si="3"/>
        <v>0.29166666666666669</v>
      </c>
      <c r="S27" s="225">
        <f t="shared" si="7"/>
        <v>0</v>
      </c>
      <c r="T27" s="130">
        <f t="shared" ca="1" si="4"/>
        <v>-0.29166666666667002</v>
      </c>
      <c r="U27" s="251">
        <f t="shared" ca="1" si="5"/>
        <v>0.29166666666666669</v>
      </c>
      <c r="V27" s="131"/>
      <c r="W27" s="214" t="e">
        <f t="shared" ca="1" si="8"/>
        <v>#REF!</v>
      </c>
      <c r="AB27" s="345">
        <f t="shared" si="9"/>
        <v>0</v>
      </c>
      <c r="AC27" s="345">
        <f t="shared" si="10"/>
        <v>0</v>
      </c>
    </row>
    <row r="28" spans="1:29" s="19" customFormat="1" ht="12" x14ac:dyDescent="0.2">
      <c r="A28" s="312">
        <f t="shared" si="6"/>
        <v>44524</v>
      </c>
      <c r="B28" s="129">
        <f t="shared" si="0"/>
        <v>44524</v>
      </c>
      <c r="C28" s="262" t="str">
        <f t="shared" si="1"/>
        <v/>
      </c>
      <c r="D28" s="358"/>
      <c r="E28" s="352"/>
      <c r="F28" s="255"/>
      <c r="G28" s="309"/>
      <c r="H28" s="309"/>
      <c r="I28" s="348">
        <f>IFERROR(VLOOKUP(D28&amp;G28,tbl_Entfernung[[Verketten]:[Entfernung]],2,FALSE),"")</f>
        <v>0</v>
      </c>
      <c r="J28" s="361"/>
      <c r="K28" s="352"/>
      <c r="L28" s="309"/>
      <c r="M28" s="309"/>
      <c r="N28" s="321">
        <f>IFERROR(VLOOKUP(G28&amp;L28,tbl_Entfernung[[Verketten]:[Entfernung]],2,FALSE),"")</f>
        <v>0</v>
      </c>
      <c r="O28" s="316">
        <f>IF(S28&gt;PauseGTime,PauseGWert,IF(S28&gt;PauseKTime,PauseKWert,IF(S28&lt;=PauseKTime,0,WENN)))</f>
        <v>0</v>
      </c>
      <c r="P28" s="364"/>
      <c r="Q28" s="356">
        <f t="shared" si="2"/>
        <v>0</v>
      </c>
      <c r="R28" s="225">
        <f t="shared" ca="1" si="3"/>
        <v>0.29166666666666669</v>
      </c>
      <c r="S28" s="225">
        <f t="shared" si="7"/>
        <v>0</v>
      </c>
      <c r="T28" s="130">
        <f t="shared" ca="1" si="4"/>
        <v>-0.29166666666667002</v>
      </c>
      <c r="U28" s="251">
        <f t="shared" ca="1" si="5"/>
        <v>0.29166666666666669</v>
      </c>
      <c r="V28" s="131"/>
      <c r="W28" s="214" t="e">
        <f t="shared" ca="1" si="8"/>
        <v>#REF!</v>
      </c>
      <c r="AB28" s="345">
        <f t="shared" si="9"/>
        <v>0</v>
      </c>
      <c r="AC28" s="345">
        <f t="shared" si="10"/>
        <v>0</v>
      </c>
    </row>
    <row r="29" spans="1:29" s="19" customFormat="1" ht="12" x14ac:dyDescent="0.2">
      <c r="A29" s="312">
        <f t="shared" si="6"/>
        <v>44525</v>
      </c>
      <c r="B29" s="129">
        <f t="shared" si="0"/>
        <v>44525</v>
      </c>
      <c r="C29" s="262" t="str">
        <f t="shared" si="1"/>
        <v/>
      </c>
      <c r="D29" s="358"/>
      <c r="E29" s="352"/>
      <c r="F29" s="255"/>
      <c r="G29" s="309"/>
      <c r="H29" s="309"/>
      <c r="I29" s="348">
        <f>IFERROR(VLOOKUP(D29&amp;G29,tbl_Entfernung[[Verketten]:[Entfernung]],2,FALSE),"")</f>
        <v>0</v>
      </c>
      <c r="J29" s="361"/>
      <c r="K29" s="352"/>
      <c r="L29" s="309"/>
      <c r="M29" s="309"/>
      <c r="N29" s="321">
        <f>IFERROR(VLOOKUP(G29&amp;L29,tbl_Entfernung[[Verketten]:[Entfernung]],2,FALSE),"")</f>
        <v>0</v>
      </c>
      <c r="O29" s="316">
        <f>IF(S29&gt;PauseGTime,PauseGWert,IF(S29&gt;PauseKTime,PauseKWert,IF(S29&lt;=PauseKTime,0,WENN)))</f>
        <v>0</v>
      </c>
      <c r="P29" s="364"/>
      <c r="Q29" s="356">
        <f t="shared" si="2"/>
        <v>0</v>
      </c>
      <c r="R29" s="225">
        <f t="shared" ca="1" si="3"/>
        <v>0.29166666666666669</v>
      </c>
      <c r="S29" s="225">
        <f t="shared" si="7"/>
        <v>0</v>
      </c>
      <c r="T29" s="130">
        <f t="shared" ca="1" si="4"/>
        <v>-0.29166666666667002</v>
      </c>
      <c r="U29" s="251">
        <f t="shared" ca="1" si="5"/>
        <v>0.29166666666666669</v>
      </c>
      <c r="V29" s="131"/>
      <c r="W29" s="214" t="e">
        <f t="shared" ca="1" si="8"/>
        <v>#REF!</v>
      </c>
      <c r="AB29" s="345">
        <f t="shared" si="9"/>
        <v>0</v>
      </c>
      <c r="AC29" s="345">
        <f t="shared" si="10"/>
        <v>0</v>
      </c>
    </row>
    <row r="30" spans="1:29" s="19" customFormat="1" ht="12" x14ac:dyDescent="0.2">
      <c r="A30" s="312">
        <f t="shared" si="6"/>
        <v>44526</v>
      </c>
      <c r="B30" s="129">
        <f t="shared" si="0"/>
        <v>44526</v>
      </c>
      <c r="C30" s="262" t="str">
        <f t="shared" si="1"/>
        <v/>
      </c>
      <c r="D30" s="358"/>
      <c r="E30" s="352"/>
      <c r="F30" s="255"/>
      <c r="G30" s="309"/>
      <c r="H30" s="309"/>
      <c r="I30" s="349">
        <f>IFERROR(VLOOKUP(D30&amp;G30,tbl_Entfernung[[Verketten]:[Entfernung]],2,FALSE),"")</f>
        <v>0</v>
      </c>
      <c r="J30" s="361"/>
      <c r="K30" s="352"/>
      <c r="L30" s="309"/>
      <c r="M30" s="309"/>
      <c r="N30" s="322">
        <f>IFERROR(VLOOKUP(G30&amp;L30,tbl_Entfernung[[Verketten]:[Entfernung]],2,FALSE),"")</f>
        <v>0</v>
      </c>
      <c r="O30" s="316">
        <f>IF(S30&gt;PauseGTime,PauseGWert,IF(S30&gt;PauseKTime,PauseKWert,IF(S30&lt;=PauseKTime,0,WENN)))</f>
        <v>0</v>
      </c>
      <c r="P30" s="364"/>
      <c r="Q30" s="356">
        <f t="shared" si="2"/>
        <v>0</v>
      </c>
      <c r="R30" s="225">
        <f t="shared" ca="1" si="3"/>
        <v>0.29166666666666669</v>
      </c>
      <c r="S30" s="225">
        <f t="shared" si="7"/>
        <v>0</v>
      </c>
      <c r="T30" s="130">
        <f t="shared" ca="1" si="4"/>
        <v>-0.29166666666667002</v>
      </c>
      <c r="U30" s="251">
        <f t="shared" ca="1" si="5"/>
        <v>0.29166666666666669</v>
      </c>
      <c r="V30" s="131"/>
      <c r="W30" s="214" t="e">
        <f t="shared" ca="1" si="8"/>
        <v>#REF!</v>
      </c>
      <c r="AB30" s="345">
        <f t="shared" si="9"/>
        <v>0</v>
      </c>
      <c r="AC30" s="345">
        <f t="shared" si="10"/>
        <v>0</v>
      </c>
    </row>
    <row r="31" spans="1:29" s="19" customFormat="1" ht="12" x14ac:dyDescent="0.2">
      <c r="A31" s="312">
        <f t="shared" si="6"/>
        <v>44527</v>
      </c>
      <c r="B31" s="129">
        <f t="shared" si="0"/>
        <v>44527</v>
      </c>
      <c r="C31" s="262" t="str">
        <f t="shared" si="1"/>
        <v/>
      </c>
      <c r="D31" s="358"/>
      <c r="E31" s="352"/>
      <c r="F31" s="255"/>
      <c r="G31" s="309"/>
      <c r="H31" s="309"/>
      <c r="I31" s="349">
        <f>IFERROR(VLOOKUP(D31&amp;G31,tbl_Entfernung[[Verketten]:[Entfernung]],2,FALSE),"")</f>
        <v>0</v>
      </c>
      <c r="J31" s="361"/>
      <c r="K31" s="352"/>
      <c r="L31" s="309"/>
      <c r="M31" s="309"/>
      <c r="N31" s="322">
        <f>IFERROR(VLOOKUP(G31&amp;L31,tbl_Entfernung[[Verketten]:[Entfernung]],2,FALSE),"")</f>
        <v>0</v>
      </c>
      <c r="O31" s="316">
        <f>IF(S31&gt;PauseGTime,PauseGWert,IF(S31&gt;PauseKTime,PauseKWert,IF(S31&lt;=PauseKTime,0,WENN)))</f>
        <v>0</v>
      </c>
      <c r="P31" s="364"/>
      <c r="Q31" s="356">
        <f t="shared" si="2"/>
        <v>0</v>
      </c>
      <c r="R31" s="225">
        <f t="shared" ca="1" si="3"/>
        <v>0.29166666666666669</v>
      </c>
      <c r="S31" s="225">
        <f t="shared" si="7"/>
        <v>0</v>
      </c>
      <c r="T31" s="130">
        <f t="shared" ca="1" si="4"/>
        <v>-0.29166666666667002</v>
      </c>
      <c r="U31" s="251">
        <f t="shared" ca="1" si="5"/>
        <v>0.29166666666666669</v>
      </c>
      <c r="V31" s="131"/>
      <c r="W31" s="214" t="e">
        <f t="shared" ca="1" si="8"/>
        <v>#REF!</v>
      </c>
      <c r="AB31" s="345">
        <f t="shared" si="9"/>
        <v>0</v>
      </c>
      <c r="AC31" s="345">
        <f t="shared" si="10"/>
        <v>0</v>
      </c>
    </row>
    <row r="32" spans="1:29" s="19" customFormat="1" ht="12" x14ac:dyDescent="0.2">
      <c r="A32" s="312">
        <f>IF(MONTH(A31+1)&gt;MONTH(A31),"",A31+1)</f>
        <v>44528</v>
      </c>
      <c r="B32" s="129">
        <f t="shared" si="0"/>
        <v>44528</v>
      </c>
      <c r="C32" s="262" t="str">
        <f>IF(ISERROR(VLOOKUP(A32,Feiertage,2,FALSE)),"",(VLOOKUP(A32,Feiertage,2,FALSE)))</f>
        <v/>
      </c>
      <c r="D32" s="358"/>
      <c r="E32" s="352"/>
      <c r="F32" s="255"/>
      <c r="G32" s="309"/>
      <c r="H32" s="309"/>
      <c r="I32" s="349">
        <f>IFERROR(VLOOKUP(D32&amp;G32,tbl_Entfernung[[Verketten]:[Entfernung]],2,FALSE),"")</f>
        <v>0</v>
      </c>
      <c r="J32" s="361"/>
      <c r="K32" s="352"/>
      <c r="L32" s="309"/>
      <c r="M32" s="309"/>
      <c r="N32" s="322">
        <f>IFERROR(VLOOKUP(G32&amp;L32,tbl_Entfernung[[Verketten]:[Entfernung]],2,FALSE),"")</f>
        <v>0</v>
      </c>
      <c r="O32" s="316">
        <f>IF(S32&gt;PauseGTime,PauseGWert,IF(S32&gt;PauseKTime,PauseKWert,IF(S32&lt;=PauseKTime,0,WENN)))</f>
        <v>0</v>
      </c>
      <c r="P32" s="364"/>
      <c r="Q32" s="356">
        <f t="shared" si="2"/>
        <v>0</v>
      </c>
      <c r="R32" s="225">
        <f t="shared" ca="1" si="3"/>
        <v>0</v>
      </c>
      <c r="S32" s="225">
        <f t="shared" si="7"/>
        <v>0</v>
      </c>
      <c r="T32" s="130">
        <f t="shared" ca="1" si="4"/>
        <v>0</v>
      </c>
      <c r="U32" s="251">
        <f t="shared" ca="1" si="5"/>
        <v>0</v>
      </c>
      <c r="V32" s="131"/>
      <c r="W32" s="214" t="e">
        <f t="shared" ca="1" si="8"/>
        <v>#REF!</v>
      </c>
      <c r="AB32" s="345">
        <f t="shared" si="9"/>
        <v>0</v>
      </c>
      <c r="AC32" s="345">
        <f t="shared" si="10"/>
        <v>0</v>
      </c>
    </row>
    <row r="33" spans="1:29" s="19" customFormat="1" ht="12" x14ac:dyDescent="0.2">
      <c r="A33" s="312">
        <f>IF(MONTH(A31+2)&gt;MONTH(A31),"",A31+2)</f>
        <v>44529</v>
      </c>
      <c r="B33" s="129">
        <f t="shared" si="0"/>
        <v>44529</v>
      </c>
      <c r="C33" s="262" t="str">
        <f>IF(ISERROR(VLOOKUP(A33,Feiertage,2,FALSE)),"",(VLOOKUP(A33,Feiertage,2,FALSE)))</f>
        <v/>
      </c>
      <c r="D33" s="358"/>
      <c r="E33" s="352"/>
      <c r="F33" s="255"/>
      <c r="G33" s="309"/>
      <c r="H33" s="309"/>
      <c r="I33" s="349">
        <f>IFERROR(VLOOKUP(D33&amp;G33,tbl_Entfernung[[Verketten]:[Entfernung]],2,FALSE),"")</f>
        <v>0</v>
      </c>
      <c r="J33" s="361"/>
      <c r="K33" s="352"/>
      <c r="L33" s="309"/>
      <c r="M33" s="309"/>
      <c r="N33" s="322">
        <f>IFERROR(VLOOKUP(G33&amp;L33,tbl_Entfernung[[Verketten]:[Entfernung]],2,FALSE),"")</f>
        <v>0</v>
      </c>
      <c r="O33" s="316">
        <f>IF(S33&gt;PauseGTime,PauseGWert,IF(S33&gt;PauseKTime,PauseKWert,IF(S33&lt;=PauseKTime,0,WENN)))</f>
        <v>0</v>
      </c>
      <c r="P33" s="364"/>
      <c r="Q33" s="356">
        <f t="shared" si="2"/>
        <v>0</v>
      </c>
      <c r="R33" s="225">
        <f t="shared" ca="1" si="3"/>
        <v>0</v>
      </c>
      <c r="S33" s="225">
        <f t="shared" si="7"/>
        <v>0</v>
      </c>
      <c r="T33" s="130">
        <f t="shared" ca="1" si="4"/>
        <v>0</v>
      </c>
      <c r="U33" s="251">
        <f t="shared" ca="1" si="5"/>
        <v>0</v>
      </c>
      <c r="V33" s="131"/>
      <c r="W33" s="214" t="e">
        <f t="shared" ca="1" si="8"/>
        <v>#REF!</v>
      </c>
      <c r="AB33" s="345">
        <f t="shared" si="9"/>
        <v>0</v>
      </c>
      <c r="AC33" s="345">
        <f t="shared" si="10"/>
        <v>0</v>
      </c>
    </row>
    <row r="34" spans="1:29" s="19" customFormat="1" ht="12" x14ac:dyDescent="0.2">
      <c r="A34" s="313" t="str">
        <f>IF(MONTH(A31+3)&gt;MONTH(A31),"",A31+3)</f>
        <v/>
      </c>
      <c r="B34" s="215" t="str">
        <f t="shared" si="0"/>
        <v/>
      </c>
      <c r="C34" s="263" t="str">
        <f>IF(ISERROR(VLOOKUP(A34,Feiertage,2,FALSE)),"",(VLOOKUP(A34,Feiertage,2,FALSE)))</f>
        <v/>
      </c>
      <c r="D34" s="359"/>
      <c r="E34" s="353"/>
      <c r="F34" s="256"/>
      <c r="G34" s="310"/>
      <c r="H34" s="310"/>
      <c r="I34" s="350">
        <f>IFERROR(VLOOKUP(D34&amp;G34,tbl_Entfernung[[Verketten]:[Entfernung]],2,FALSE),"")</f>
        <v>0</v>
      </c>
      <c r="J34" s="362"/>
      <c r="K34" s="354"/>
      <c r="L34" s="310"/>
      <c r="M34" s="310"/>
      <c r="N34" s="323">
        <f>IFERROR(VLOOKUP(G34&amp;L34,tbl_Entfernung[[Verketten]:[Entfernung]],2,FALSE),"")</f>
        <v>0</v>
      </c>
      <c r="O34" s="317">
        <f>IF(S34&gt;PauseGTime,PauseGWert,IF(S34&gt;PauseKTime,PauseKWert,IF(S34&lt;=PauseKTime,0,WENN)))</f>
        <v>0</v>
      </c>
      <c r="P34" s="365"/>
      <c r="Q34" s="357">
        <f t="shared" si="2"/>
        <v>0</v>
      </c>
      <c r="R34" s="226">
        <f t="shared" si="3"/>
        <v>0</v>
      </c>
      <c r="S34" s="226">
        <f t="shared" si="7"/>
        <v>0</v>
      </c>
      <c r="T34" s="216">
        <f t="shared" si="4"/>
        <v>0</v>
      </c>
      <c r="U34" s="252">
        <f t="shared" ca="1" si="5"/>
        <v>0</v>
      </c>
      <c r="V34" s="217"/>
      <c r="W34" s="218" t="str">
        <f t="shared" si="8"/>
        <v/>
      </c>
      <c r="AB34" s="345">
        <f t="shared" si="9"/>
        <v>0</v>
      </c>
      <c r="AC34" s="345">
        <f t="shared" si="10"/>
        <v>0</v>
      </c>
    </row>
    <row r="35" spans="1:29" s="19" customFormat="1" ht="4.5" customHeight="1" x14ac:dyDescent="0.2">
      <c r="B35" s="48"/>
      <c r="C35" s="48"/>
      <c r="D35" s="48"/>
      <c r="E35" s="48"/>
      <c r="F35" s="49"/>
      <c r="G35" s="49"/>
      <c r="H35" s="49"/>
      <c r="I35" s="49"/>
      <c r="J35" s="49"/>
      <c r="K35" s="49"/>
      <c r="L35" s="50"/>
      <c r="M35" s="50"/>
      <c r="N35" s="50"/>
      <c r="O35" s="50"/>
      <c r="P35" s="50"/>
      <c r="Q35" s="49"/>
      <c r="R35" s="51"/>
      <c r="S35" s="51"/>
      <c r="T35" s="51"/>
      <c r="U35" s="1"/>
      <c r="V35" s="1"/>
      <c r="W35" s="1"/>
    </row>
    <row r="36" spans="1:29" ht="12.75" customHeight="1" x14ac:dyDescent="0.2">
      <c r="A36" s="132"/>
      <c r="B36" s="133"/>
      <c r="C36" s="133"/>
      <c r="D36" s="290"/>
      <c r="E36" s="272"/>
      <c r="F36" s="291" t="str">
        <f>"Übertrag "&amp;TEXT(DATE(YEAR(A1),MONTH(A1)-1,1),"MMMM JJJJ")&amp;":"</f>
        <v>Übertrag Oktober 2025:</v>
      </c>
      <c r="G36" s="272"/>
      <c r="H36" s="272"/>
      <c r="I36" s="272"/>
      <c r="J36" s="292" t="e">
        <f ca="1">Oktober!J40</f>
        <v>#REF!</v>
      </c>
      <c r="K36" s="287"/>
      <c r="P36" s="293">
        <f>COUNTIF(P4:P34,Voreinstellungen!B21)+IF(COUNTIF(P4:P34,Voreinstellungen!B22)&gt;0,1-(SUMIF(P4:P34,Voreinstellungen!B22,R4:R34)/SUMIF(P4:P34,Voreinstellungen!B22,U4:U34)),0)</f>
        <v>0</v>
      </c>
      <c r="Q36" s="325" t="str">
        <f>Voreinstellungen!A21&amp;" ("&amp;Voreinstellungen!B21&amp;"/"&amp;Voreinstellungen!B22&amp;")"</f>
        <v>Krank (K/KK)</v>
      </c>
      <c r="R36" s="326"/>
      <c r="S36" s="326"/>
      <c r="T36" s="326"/>
      <c r="U36" s="326"/>
      <c r="V36" s="326"/>
      <c r="W36" s="173">
        <f>(SUMIF(P4:P34,Voreinstellungen!B21,R4:R34)-SUMIF(P4:P34,Voreinstellungen!B21,U4:U34)+SUMIF(P4:P34,Voreinstellungen!B22,R4:R34)-SUMIF(P4:P34,Voreinstellungen!B22,U4:U34))*-1</f>
        <v>0</v>
      </c>
      <c r="Y36" s="372" t="s">
        <v>145</v>
      </c>
      <c r="Z36" s="385" t="s">
        <v>150</v>
      </c>
      <c r="AA36" s="385" t="s">
        <v>151</v>
      </c>
      <c r="AB36" s="386" t="s">
        <v>152</v>
      </c>
    </row>
    <row r="37" spans="1:29" ht="12.75" customHeight="1" x14ac:dyDescent="0.2">
      <c r="A37" s="134"/>
      <c r="B37" s="135"/>
      <c r="C37" s="135"/>
      <c r="D37" s="135"/>
      <c r="E37" s="136"/>
      <c r="F37" s="294" t="str">
        <f>"SOLL Arbeitszeit ("&amp;TEXT(A1,"MMMM")&amp;"):"</f>
        <v>SOLL Arbeitszeit (November):</v>
      </c>
      <c r="G37" s="136"/>
      <c r="H37" s="136"/>
      <c r="I37" s="136"/>
      <c r="J37" s="295">
        <f ca="1">SUM(R4:R34)</f>
        <v>5.5416666666666679</v>
      </c>
      <c r="K37" s="287"/>
      <c r="P37" s="296">
        <f>COUNTIF(P4:P34,Voreinstellungen!B25)+(COUNTIF(P4:P34,Voreinstellungen!B26)*Voreinstellungen!C26)</f>
        <v>0</v>
      </c>
      <c r="Q37" s="327" t="str">
        <f>Voreinstellungen!A25&amp;" ("&amp;Voreinstellungen!B25&amp;"/"&amp;Voreinstellungen!B26&amp;") aktuell noch Verfügbar: "&amp;Voreinstellungen!C38&amp;" Tag(e)"</f>
        <v>Urlaub (U/UH) aktuell noch Verfügbar: 27 Tag(e)</v>
      </c>
      <c r="R37" s="328"/>
      <c r="S37" s="328"/>
      <c r="T37" s="328"/>
      <c r="U37" s="328"/>
      <c r="V37" s="328"/>
      <c r="W37" s="167">
        <f>SUMIF(P4:P34,Voreinstellungen!B25,U4:U34)+(SUMIF(P4:P34,Voreinstellungen!B26,U4:U34)*0.5)</f>
        <v>0</v>
      </c>
      <c r="Y37" s="374">
        <f>Voreinstellungen!J45</f>
        <v>0</v>
      </c>
      <c r="Z37" s="377">
        <f t="shared" ref="Z37:Z49" si="11">SUMIFS($AB$4:$AB$34,$G$4:$G$34,$Y37)+SUMIFS($AC$4:$AC$34,$L$4:$L$34,$Y37)</f>
        <v>0</v>
      </c>
      <c r="AA37" s="378">
        <f t="shared" ref="AA37:AA49" si="12">SUMIFS($I$4:$I$34,$G$4:$G$34,$Y37)+SUMIFS($N$4:$N$34,$L$4:$L$34,$Y37)</f>
        <v>0</v>
      </c>
      <c r="AB37" s="379">
        <f>SUM(AA37*Voreinstellungen!$C$44)</f>
        <v>0</v>
      </c>
    </row>
    <row r="38" spans="1:29" ht="12.75" customHeight="1" x14ac:dyDescent="0.2">
      <c r="A38" s="137"/>
      <c r="B38" s="138"/>
      <c r="C38" s="138"/>
      <c r="D38" s="138"/>
      <c r="E38" s="136"/>
      <c r="F38" s="294" t="str">
        <f>"IST Arbeitszeit ("&amp;TEXT(A1,"MMMM")&amp;"):"</f>
        <v>IST Arbeitszeit (November):</v>
      </c>
      <c r="G38" s="273"/>
      <c r="H38" s="273"/>
      <c r="I38" s="273"/>
      <c r="J38" s="297">
        <f>SUM(Q4:Q34)</f>
        <v>0</v>
      </c>
      <c r="K38" s="287"/>
      <c r="P38" s="296">
        <f>COUNTIF(P4:P34,Voreinstellungen!B20)</f>
        <v>0</v>
      </c>
      <c r="Q38" s="327" t="str">
        <f>Voreinstellungen!A20&amp;" ("&amp;Voreinstellungen!B20&amp;")"</f>
        <v>Gleittag (G)</v>
      </c>
      <c r="R38" s="328"/>
      <c r="S38" s="328"/>
      <c r="T38" s="328"/>
      <c r="U38" s="328"/>
      <c r="V38" s="328"/>
      <c r="W38" s="172"/>
      <c r="Y38" s="375">
        <f>Voreinstellungen!J46</f>
        <v>0</v>
      </c>
      <c r="Z38" s="380">
        <f t="shared" si="11"/>
        <v>0</v>
      </c>
      <c r="AA38" s="380">
        <f t="shared" si="12"/>
        <v>0</v>
      </c>
      <c r="AB38" s="381">
        <f>SUM(AA38*Voreinstellungen!$C$44)</f>
        <v>0</v>
      </c>
    </row>
    <row r="39" spans="1:29" ht="12.75" customHeight="1" x14ac:dyDescent="0.2">
      <c r="A39" s="137"/>
      <c r="B39" s="138"/>
      <c r="C39" s="138"/>
      <c r="D39" s="138"/>
      <c r="E39" s="136"/>
      <c r="F39" s="136" t="s">
        <v>84</v>
      </c>
      <c r="G39" s="274"/>
      <c r="H39" s="274"/>
      <c r="I39" s="274"/>
      <c r="J39" s="298"/>
      <c r="K39" s="287"/>
      <c r="P39" s="296">
        <f>COUNTIF(P4:P34,Voreinstellungen!B23)+IF(SUMIF(P4:P34,Voreinstellungen!B24,U4:U34)&lt;&gt;0,(1-(SUMIF(P4:P34,Voreinstellungen!B24,R4:R34)/SUMIF(P4:P34,Voreinstellungen!B24,U4:U34)))*COUNTIF(P4:P34,Voreinstellungen!B24),0)</f>
        <v>0</v>
      </c>
      <c r="Q39" s="327" t="str">
        <f>Voreinstellungen!A23&amp;" ("&amp;Voreinstellungen!B23&amp;")/("&amp;Voreinstellungen!B24&amp;")"</f>
        <v>Kurzarbeit (KU)/(KA)</v>
      </c>
      <c r="R39" s="329"/>
      <c r="S39" s="329"/>
      <c r="T39" s="329"/>
      <c r="U39" s="329"/>
      <c r="V39" s="329"/>
      <c r="W39" s="166">
        <f>(SUMIF(P4:P34,Voreinstellungen!B23,R4:R34)-SUMIF(P4:P34,Voreinstellungen!B23,U4:U34)+SUMIF(P4:P34,Voreinstellungen!B24,R4:R34)-SUMIF(P4:P34,Voreinstellungen!B24,U4:U34))*-1</f>
        <v>0</v>
      </c>
      <c r="Y39" s="375">
        <f>Voreinstellungen!J48</f>
        <v>0</v>
      </c>
      <c r="Z39" s="380">
        <f t="shared" si="11"/>
        <v>0</v>
      </c>
      <c r="AA39" s="380">
        <f t="shared" si="12"/>
        <v>0</v>
      </c>
      <c r="AB39" s="381">
        <f>SUM(AA39*Voreinstellungen!$C$44)</f>
        <v>0</v>
      </c>
    </row>
    <row r="40" spans="1:29" ht="12.75" customHeight="1" x14ac:dyDescent="0.2">
      <c r="A40" s="139"/>
      <c r="B40" s="140"/>
      <c r="C40" s="140"/>
      <c r="D40" s="140"/>
      <c r="E40" s="141"/>
      <c r="F40" s="299" t="s">
        <v>85</v>
      </c>
      <c r="G40" s="275"/>
      <c r="H40" s="275"/>
      <c r="I40" s="275"/>
      <c r="J40" s="300" t="e">
        <f ca="1">ROUND(J38+J36-J39-J37,14)</f>
        <v>#REF!</v>
      </c>
      <c r="K40" s="287"/>
      <c r="P40" s="296">
        <f>COUNTIF(Q4:Q34,"&gt;0")-IF(Voreinstellungen!C28="XTRA",COUNTIF(P4:P34,Voreinstellungen!B28),0)-IF(Voreinstellungen!C29="XTRA",COUNTIF(P4:P34,Voreinstellungen!B29),0)-IF(Voreinstellungen!C30="XTRA",COUNTIF(P4:P34,Voreinstellungen!B30),0)-IF(Voreinstellungen!C31="XTRA",COUNTIF(P4:P34,Voreinstellungen!B31),0)-IF(Voreinstellungen!C32="XTRA",COUNTIF(P4:P34,Voreinstellungen!B32),0)-IF(Voreinstellungen!C33="XTRA",COUNTIF(P4:P34,Voreinstellungen!B33),0)-COUNTIF(P4:P34,"H")</f>
        <v>0</v>
      </c>
      <c r="Q40" s="327" t="s">
        <v>86</v>
      </c>
      <c r="R40" s="328"/>
      <c r="S40" s="328"/>
      <c r="T40" s="328"/>
      <c r="U40" s="328"/>
      <c r="V40" s="328"/>
      <c r="W40" s="234"/>
      <c r="Y40" s="375">
        <f>Voreinstellungen!J49</f>
        <v>0</v>
      </c>
      <c r="Z40" s="380">
        <f t="shared" si="11"/>
        <v>0</v>
      </c>
      <c r="AA40" s="380">
        <f t="shared" si="12"/>
        <v>0</v>
      </c>
      <c r="AB40" s="381">
        <f>SUM(AA40*Voreinstellungen!$C$44)</f>
        <v>0</v>
      </c>
    </row>
    <row r="41" spans="1:29" ht="12.75" customHeight="1" x14ac:dyDescent="0.2">
      <c r="P41" s="296">
        <f>COUNTIF(P4:P34,Voreinstellungen!B27)</f>
        <v>0</v>
      </c>
      <c r="Q41" s="327" t="str">
        <f>Voreinstellungen!A27</f>
        <v>Homeoffice</v>
      </c>
      <c r="R41" s="328"/>
      <c r="S41" s="328"/>
      <c r="T41" s="328"/>
      <c r="U41" s="328"/>
      <c r="V41" s="328"/>
      <c r="W41" s="234"/>
      <c r="Y41" s="375">
        <f>Voreinstellungen!J50</f>
        <v>0</v>
      </c>
      <c r="Z41" s="380">
        <f t="shared" si="11"/>
        <v>0</v>
      </c>
      <c r="AA41" s="380">
        <f t="shared" si="12"/>
        <v>0</v>
      </c>
      <c r="AB41" s="381">
        <f>SUM(AA41*Voreinstellungen!$C$44)</f>
        <v>0</v>
      </c>
    </row>
    <row r="42" spans="1:29" ht="12.75" customHeight="1" x14ac:dyDescent="0.2">
      <c r="A42" s="169"/>
      <c r="B42" s="169"/>
      <c r="C42" s="169"/>
      <c r="D42" s="277"/>
      <c r="E42" s="277"/>
      <c r="F42" s="277"/>
      <c r="G42" s="277"/>
      <c r="H42" s="277"/>
      <c r="I42" s="277"/>
      <c r="J42" s="277"/>
      <c r="P42" s="302">
        <f>IF(Voreinstellungen!C28="","",IF(Voreinstellungen!C28="REST",IFERROR(SUMIF(P4:P34,Voreinstellungen!B28,Q4:Q34)/SUMIF(P4:P34,Voreinstellungen!B28,U4:U34),0),IF(Voreinstellungen!C28="NONE",COUNTIF(P4:P34,Voreinstellungen!B28),IF(Voreinstellungen!C28="XTRA",COUNTIF(P4:P34,Voreinstellungen!B28),COUNTIF(P4:P34,Voreinstellungen!B28)*IF(Voreinstellungen!C28=0,1,Voreinstellungen!C28)))))</f>
        <v>0</v>
      </c>
      <c r="Q42" s="330" t="str">
        <f>IF(Voreinstellungen!A28="","",REPT(Voreinstellungen!A28,1) &amp; " (" &amp; REPT(Voreinstellungen!B28,1) &amp; ")")</f>
        <v>Bereitschaft (B)</v>
      </c>
      <c r="R42" s="331"/>
      <c r="S42" s="331"/>
      <c r="T42" s="331"/>
      <c r="U42" s="331"/>
      <c r="V42" s="331"/>
      <c r="W42" s="168">
        <f>IF(ISBLANK(Voreinstellungen!C28),"",IF(Voreinstellungen!C28="REST",SUMIF(P4:P34,Voreinstellungen!B28,U4:U34)-SUMIF(P4:P34,Voreinstellungen!B28,Q4:Q34),IF(ISTEXT(Voreinstellungen!C28),SUMIF(P4:P34,Voreinstellungen!B28,Q4:Q34),"")))</f>
        <v>0</v>
      </c>
      <c r="Y42" s="375">
        <f>Voreinstellungen!J51</f>
        <v>0</v>
      </c>
      <c r="Z42" s="380">
        <f t="shared" si="11"/>
        <v>0</v>
      </c>
      <c r="AA42" s="380">
        <f t="shared" si="12"/>
        <v>0</v>
      </c>
      <c r="AB42" s="381">
        <f>SUM(AA42*Voreinstellungen!$C$44)</f>
        <v>0</v>
      </c>
    </row>
    <row r="43" spans="1:29" ht="12.75" customHeight="1" x14ac:dyDescent="0.2">
      <c r="A43" s="170"/>
      <c r="B43" s="170"/>
      <c r="C43" s="170"/>
      <c r="D43" s="278"/>
      <c r="E43" s="278"/>
      <c r="F43" s="278"/>
      <c r="G43" s="278"/>
      <c r="H43" s="278"/>
      <c r="I43" s="278"/>
      <c r="J43" s="278"/>
      <c r="P43" s="302">
        <f>IF(Voreinstellungen!C29="","",IF(Voreinstellungen!C29="REST",IFERROR(SUMIF(P4:P34,Voreinstellungen!B29,Q4:Q34)/SUMIF(P4:P34,Voreinstellungen!B29,U4:U34),0),IF(Voreinstellungen!C29="NONE",COUNTIF(P4:P34,Voreinstellungen!B29),IF(Voreinstellungen!C29="XTRA",COUNTIF(P4:P34,Voreinstellungen!B29),COUNTIF(P4:P34,Voreinstellungen!B29)*IF(Voreinstellungen!C29=0,1,Voreinstellungen!C29)))))</f>
        <v>0</v>
      </c>
      <c r="Q43" s="330" t="str">
        <f>IF(Voreinstellungen!A29="","",REPT(Voreinstellungen!A29,1) &amp; " (" &amp; REPT(Voreinstellungen!B29,1) &amp; ")")</f>
        <v>Eigener Code 1 (E1)</v>
      </c>
      <c r="R43" s="331"/>
      <c r="S43" s="331"/>
      <c r="T43" s="331"/>
      <c r="U43" s="331"/>
      <c r="V43" s="331"/>
      <c r="W43" s="168">
        <f>IF(ISBLANK(Voreinstellungen!C29),"",IF(Voreinstellungen!C29="REST",SUMIF(P4:P34,Voreinstellungen!B29,U4:U34)-SUMIF(P4:P34,Voreinstellungen!B29,Q4:Q34),IF(ISTEXT(Voreinstellungen!C29),SUMIF(P4:P34,Voreinstellungen!B29,Q4:Q34),"")))</f>
        <v>0</v>
      </c>
      <c r="Y43" s="375">
        <f>Voreinstellungen!J52</f>
        <v>0</v>
      </c>
      <c r="Z43" s="380">
        <f t="shared" si="11"/>
        <v>0</v>
      </c>
      <c r="AA43" s="380">
        <f t="shared" si="12"/>
        <v>0</v>
      </c>
      <c r="AB43" s="381">
        <f>SUM(AA43*Voreinstellungen!$C$44)</f>
        <v>0</v>
      </c>
    </row>
    <row r="44" spans="1:29" ht="12.75" customHeight="1" x14ac:dyDescent="0.2">
      <c r="A44" s="169" t="s">
        <v>46</v>
      </c>
      <c r="B44" s="169"/>
      <c r="C44" s="169"/>
      <c r="D44" s="277"/>
      <c r="E44" s="277"/>
      <c r="F44" s="277"/>
      <c r="G44" s="277"/>
      <c r="H44" s="277"/>
      <c r="I44" s="277"/>
      <c r="J44" s="277" t="s">
        <v>87</v>
      </c>
      <c r="P44" s="302">
        <f>IF(Voreinstellungen!C30="","",IF(Voreinstellungen!C30="REST",IFERROR(SUMIF(P4:P34,Voreinstellungen!B30,Q4:Q34)/SUMIF(P4:P34,Voreinstellungen!B30,U4:U34),0),IF(Voreinstellungen!C30="NONE",COUNTIF(P4:P34,Voreinstellungen!B30),IF(Voreinstellungen!C30="XTRA",COUNTIF(P4:P34,Voreinstellungen!B30),COUNTIF(P4:P34,Voreinstellungen!B30)*IF(Voreinstellungen!C30=0,1,Voreinstellungen!C30)))))</f>
        <v>0</v>
      </c>
      <c r="Q44" s="330" t="str">
        <f>IF(Voreinstellungen!A30="","",REPT(Voreinstellungen!A30,1) &amp; " (" &amp; REPT(Voreinstellungen!B30,1) &amp; ")")</f>
        <v>Eigener Code 2 (E2)</v>
      </c>
      <c r="R44" s="331"/>
      <c r="S44" s="331"/>
      <c r="T44" s="331"/>
      <c r="U44" s="331"/>
      <c r="V44" s="331"/>
      <c r="W44" s="168" t="str">
        <f>IF(ISBLANK(Voreinstellungen!C30),"",IF(Voreinstellungen!C30="REST",SUMIF(P4:P34,Voreinstellungen!B30,U4:U34)-SUMIF(P4:P34,Voreinstellungen!B30,Q4:Q34),IF(ISTEXT(Voreinstellungen!C30),SUMIF(P4:P34,Voreinstellungen!B30,Q4:Q34),"")))</f>
        <v/>
      </c>
      <c r="Y44" s="375">
        <f>Voreinstellungen!J53</f>
        <v>0</v>
      </c>
      <c r="Z44" s="380">
        <f t="shared" si="11"/>
        <v>0</v>
      </c>
      <c r="AA44" s="380">
        <f t="shared" si="12"/>
        <v>0</v>
      </c>
      <c r="AB44" s="381">
        <f>SUM(AA44*Voreinstellungen!$C$44)</f>
        <v>0</v>
      </c>
    </row>
    <row r="45" spans="1:29" ht="12.75" customHeight="1" x14ac:dyDescent="0.2">
      <c r="A45" s="169"/>
      <c r="B45" s="169"/>
      <c r="C45" s="169"/>
      <c r="D45" s="277"/>
      <c r="E45" s="277"/>
      <c r="F45" s="277"/>
      <c r="G45" s="277"/>
      <c r="H45" s="277"/>
      <c r="I45" s="277"/>
      <c r="J45" s="277"/>
      <c r="P45" s="302">
        <f>IF(Voreinstellungen!C31="","",IF(Voreinstellungen!C31="REST",IFERROR(SUMIF(P4:P34,Voreinstellungen!B31,Q4:Q34)/SUMIF(P4:P34,Voreinstellungen!B31,U4:U34),0),IF(Voreinstellungen!C31="NONE",COUNTIF(P4:P34,Voreinstellungen!B31),IF(Voreinstellungen!C31="XTRA",COUNTIF(P4:P34,Voreinstellungen!B31),COUNTIF(P4:P34,Voreinstellungen!B31)*IF(Voreinstellungen!C31=0,1,Voreinstellungen!C31)))))</f>
        <v>0</v>
      </c>
      <c r="Q45" s="330" t="str">
        <f>IF(Voreinstellungen!A31="","",REPT(Voreinstellungen!A31,1) &amp; " (" &amp; REPT(Voreinstellungen!B31,1) &amp; ")")</f>
        <v>Eigener Code 3 (E3)</v>
      </c>
      <c r="R45" s="331"/>
      <c r="S45" s="331"/>
      <c r="T45" s="331"/>
      <c r="U45" s="331"/>
      <c r="V45" s="331"/>
      <c r="W45" s="168" t="str">
        <f>IF(ISBLANK(Voreinstellungen!C31),"",IF(Voreinstellungen!C31="REST",SUMIF(P4:P34,Voreinstellungen!B31,U4:U34)-SUMIF(P4:P34,Voreinstellungen!B31,Q4:Q34),IF(ISTEXT(Voreinstellungen!C31),SUMIF(P4:P34,Voreinstellungen!B31,Q4:Q34),"")))</f>
        <v/>
      </c>
      <c r="Y45" s="375">
        <f>Voreinstellungen!J54</f>
        <v>0</v>
      </c>
      <c r="Z45" s="380">
        <f t="shared" si="11"/>
        <v>0</v>
      </c>
      <c r="AA45" s="380">
        <f t="shared" si="12"/>
        <v>0</v>
      </c>
      <c r="AB45" s="381">
        <f>SUM(AA45*Voreinstellungen!$C$44)</f>
        <v>0</v>
      </c>
    </row>
    <row r="46" spans="1:29" ht="12.75" customHeight="1" x14ac:dyDescent="0.2">
      <c r="A46" s="170"/>
      <c r="B46" s="170"/>
      <c r="C46" s="170"/>
      <c r="D46" s="278"/>
      <c r="E46" s="278"/>
      <c r="F46" s="278"/>
      <c r="G46" s="278"/>
      <c r="H46" s="278"/>
      <c r="I46" s="278"/>
      <c r="J46" s="278"/>
      <c r="P46" s="302">
        <f>IF(Voreinstellungen!C32="","",IF(Voreinstellungen!C32="REST",IFERROR(SUMIF(P4:P34,Voreinstellungen!B32,Q4:Q34)/SUMIF(P4:P34,Voreinstellungen!B32,U4:U34),0),IF(Voreinstellungen!C32="NONE",COUNTIF(P4:P34,Voreinstellungen!B32),IF(Voreinstellungen!C32="XTRA",COUNTIF(P4:P34,Voreinstellungen!B32),COUNTIF(P4:P34,Voreinstellungen!B32)*IF(Voreinstellungen!C32=0,1,Voreinstellungen!C32)))))</f>
        <v>0</v>
      </c>
      <c r="Q46" s="330" t="str">
        <f>IF(Voreinstellungen!A32="","",REPT(Voreinstellungen!A32,1) &amp; " (" &amp; REPT(Voreinstellungen!B32,1) &amp; ")")</f>
        <v>Eigener Code 4 (E4)</v>
      </c>
      <c r="R46" s="331"/>
      <c r="S46" s="331"/>
      <c r="T46" s="331"/>
      <c r="U46" s="331"/>
      <c r="V46" s="331"/>
      <c r="W46" s="168" t="str">
        <f>IF(ISBLANK(Voreinstellungen!C32),"",IF(Voreinstellungen!C32="REST",SUMIF(P4:P34,Voreinstellungen!B32,U4:U34)-SUMIF(P4:P34,Voreinstellungen!B32,Q4:Q34),IF(ISTEXT(Voreinstellungen!C32),SUMIF(P4:P34,Voreinstellungen!B32,Q4:Q34),"")))</f>
        <v/>
      </c>
      <c r="Y46" s="375">
        <f>Voreinstellungen!J55</f>
        <v>0</v>
      </c>
      <c r="Z46" s="380">
        <f t="shared" si="11"/>
        <v>0</v>
      </c>
      <c r="AA46" s="380">
        <f t="shared" si="12"/>
        <v>0</v>
      </c>
      <c r="AB46" s="381">
        <f>SUM(AA46*Voreinstellungen!$C$44)</f>
        <v>0</v>
      </c>
    </row>
    <row r="47" spans="1:29" ht="12.75" customHeight="1" x14ac:dyDescent="0.2">
      <c r="A47" s="169" t="s">
        <v>46</v>
      </c>
      <c r="B47" s="169"/>
      <c r="C47" s="169"/>
      <c r="D47" s="277"/>
      <c r="E47" s="277"/>
      <c r="F47" s="277"/>
      <c r="G47" s="277"/>
      <c r="H47" s="277"/>
      <c r="I47" s="277"/>
      <c r="J47" s="277" t="s">
        <v>88</v>
      </c>
      <c r="P47" s="303">
        <f>IF(Voreinstellungen!C33="","",IF(Voreinstellungen!C33="REST",IFERROR(SUMIF(P4:P34,Voreinstellungen!B33,Q4:Q34)/SUMIF(P4:P34,Voreinstellungen!B33,U4:U34),0),IF(Voreinstellungen!C33="NONE",COUNTIF(P4:P34,Voreinstellungen!B33),IF(Voreinstellungen!C33="XTRA",COUNTIF(P4:P34,Voreinstellungen!B33),COUNTIF(P4:P34,Voreinstellungen!B33)*IF(Voreinstellungen!C33=0,1,Voreinstellungen!C33)))))</f>
        <v>0</v>
      </c>
      <c r="Q47" s="332" t="str">
        <f>IF(Voreinstellungen!A33="","",REPT(Voreinstellungen!A33,1) &amp; " (" &amp; REPT(Voreinstellungen!B33,1) &amp; ")")</f>
        <v>Eigener Code 5 (E5)</v>
      </c>
      <c r="R47" s="333"/>
      <c r="S47" s="333"/>
      <c r="T47" s="333"/>
      <c r="U47" s="333"/>
      <c r="V47" s="333"/>
      <c r="W47" s="319" t="str">
        <f>IF(ISBLANK(Voreinstellungen!C33),"",IF(Voreinstellungen!C33="REST",SUMIF(P4:P34,Voreinstellungen!B33,U4:U34)-SUMIF(P4:P34,Voreinstellungen!B33,Q4:Q34),IF(ISTEXT(Voreinstellungen!C33),SUMIF(P4:P34,Voreinstellungen!B33,Q4:Q34),"")))</f>
        <v/>
      </c>
      <c r="Y47" s="375">
        <f>Voreinstellungen!J56</f>
        <v>0</v>
      </c>
      <c r="Z47" s="380">
        <f t="shared" si="11"/>
        <v>0</v>
      </c>
      <c r="AA47" s="380">
        <f t="shared" si="12"/>
        <v>0</v>
      </c>
      <c r="AB47" s="381">
        <f>SUM(AA47*Voreinstellungen!$C$44)</f>
        <v>0</v>
      </c>
    </row>
    <row r="48" spans="1:29" x14ac:dyDescent="0.2">
      <c r="P48" s="334"/>
      <c r="Q48" s="45" t="s">
        <v>148</v>
      </c>
      <c r="R48" s="335"/>
      <c r="S48" s="335"/>
      <c r="T48" s="335"/>
      <c r="U48" s="335"/>
      <c r="V48" s="336"/>
      <c r="W48" s="337">
        <f>SUM(I7:I34,N7:N34)</f>
        <v>0</v>
      </c>
      <c r="X48" s="338"/>
      <c r="Y48" s="375">
        <f>Voreinstellungen!J57</f>
        <v>0</v>
      </c>
      <c r="Z48" s="380">
        <f t="shared" si="11"/>
        <v>0</v>
      </c>
      <c r="AA48" s="380">
        <f t="shared" si="12"/>
        <v>0</v>
      </c>
      <c r="AB48" s="381">
        <f>SUM(AA48*Voreinstellungen!$C$44)</f>
        <v>0</v>
      </c>
    </row>
    <row r="49" spans="1:30" x14ac:dyDescent="0.2">
      <c r="Q49" s="339"/>
      <c r="R49" s="340"/>
      <c r="S49" s="340"/>
      <c r="T49" s="340"/>
      <c r="U49" s="339"/>
      <c r="V49" s="339"/>
      <c r="Y49" s="376">
        <f>Voreinstellungen!J58</f>
        <v>0</v>
      </c>
      <c r="Z49" s="382">
        <f t="shared" si="11"/>
        <v>0</v>
      </c>
      <c r="AA49" s="382">
        <f t="shared" si="12"/>
        <v>0</v>
      </c>
      <c r="AB49" s="383">
        <f>SUM(AA49*Voreinstellungen!$C$44)</f>
        <v>0</v>
      </c>
    </row>
    <row r="51" spans="1:30" s="373" customFormat="1" x14ac:dyDescent="0.2">
      <c r="A51" s="45"/>
      <c r="B51" s="45"/>
      <c r="C51" s="45"/>
      <c r="D51" s="276"/>
      <c r="E51" s="301"/>
      <c r="F51" s="276"/>
      <c r="G51" s="276"/>
      <c r="H51" s="276"/>
      <c r="I51" s="276"/>
      <c r="J51" s="276"/>
      <c r="K51" s="276"/>
      <c r="L51" s="287"/>
      <c r="M51" s="287"/>
      <c r="N51" s="287"/>
      <c r="O51" s="287"/>
      <c r="P51" s="287"/>
      <c r="Q51" s="45"/>
      <c r="R51" s="46"/>
      <c r="S51" s="46"/>
      <c r="T51" s="46"/>
      <c r="U51" s="45"/>
      <c r="V51" s="45"/>
      <c r="W51" s="45"/>
      <c r="X51" s="45"/>
      <c r="Y51" s="367"/>
      <c r="Z51" s="368"/>
      <c r="AA51" s="368"/>
      <c r="AB51" s="369"/>
      <c r="AC51" s="45"/>
      <c r="AD51" s="45"/>
    </row>
    <row r="52" spans="1:30" x14ac:dyDescent="0.2">
      <c r="Y52" s="341" t="s">
        <v>153</v>
      </c>
      <c r="Z52" s="346">
        <f>SUM(Z37:Z49)</f>
        <v>0</v>
      </c>
      <c r="AA52" s="342">
        <f>SUM(AA37:AA49)</f>
        <v>0</v>
      </c>
      <c r="AB52" s="343">
        <f>SUM(AB37:AB49)</f>
        <v>0</v>
      </c>
    </row>
  </sheetData>
  <mergeCells count="3">
    <mergeCell ref="A1:C2"/>
    <mergeCell ref="V1:W1"/>
    <mergeCell ref="V2:W2"/>
  </mergeCells>
  <conditionalFormatting sqref="E4:E34">
    <cfRule type="expression" dxfId="173" priority="7">
      <formula>ISTEXT($E4)</formula>
    </cfRule>
  </conditionalFormatting>
  <conditionalFormatting sqref="F4:I34">
    <cfRule type="expression" dxfId="172" priority="6">
      <formula>ISTEXT($F4)</formula>
    </cfRule>
  </conditionalFormatting>
  <conditionalFormatting sqref="J4:J34">
    <cfRule type="expression" dxfId="171" priority="5">
      <formula>ISTEXT($J4)</formula>
    </cfRule>
  </conditionalFormatting>
  <conditionalFormatting sqref="K4:K34">
    <cfRule type="expression" dxfId="170" priority="4">
      <formula>ISTEXT($K4)</formula>
    </cfRule>
  </conditionalFormatting>
  <conditionalFormatting sqref="M5:O34">
    <cfRule type="expression" dxfId="169" priority="3">
      <formula>ISTEXT($F5)</formula>
    </cfRule>
  </conditionalFormatting>
  <conditionalFormatting sqref="N4:N34">
    <cfRule type="expression" dxfId="168" priority="2">
      <formula>ISTEXT($F4)</formula>
    </cfRule>
  </conditionalFormatting>
  <conditionalFormatting sqref="P36:P47">
    <cfRule type="expression" dxfId="167" priority="1">
      <formula>MOD(P36,1)=0</formula>
    </cfRule>
  </conditionalFormatting>
  <conditionalFormatting sqref="Q4:W34 A4:O34">
    <cfRule type="expression" dxfId="166" priority="16">
      <formula>WEEKDAY($A4,2)=6</formula>
    </cfRule>
    <cfRule type="expression" dxfId="165" priority="17">
      <formula>OR(WEEKDAY($A4,2)=7,$C4&lt;&gt;"")</formula>
    </cfRule>
  </conditionalFormatting>
  <conditionalFormatting sqref="P4:P34">
    <cfRule type="expression" dxfId="164" priority="26">
      <formula>WEEKDAY($A4,2)=6</formula>
    </cfRule>
    <cfRule type="expression" dxfId="163" priority="27">
      <formula>OR(WEEKDAY($A4,2)=7,$C4&lt;&gt;"")</formula>
    </cfRule>
  </conditionalFormatting>
  <dataValidations count="3">
    <dataValidation type="list" showErrorMessage="1" sqref="P4:P34" xr:uid="{00000000-0002-0000-0C00-000000000000}">
      <formula1>CodeList</formula1>
    </dataValidation>
    <dataValidation type="list" allowBlank="1" showInputMessage="1" showErrorMessage="1" sqref="D4:D34 G4:G34 L4:L34" xr:uid="{188DFADC-2907-422D-B30E-94D68F187977}">
      <formula1>Einsatzorte</formula1>
    </dataValidation>
    <dataValidation type="list" allowBlank="1" showInputMessage="1" showErrorMessage="1" sqref="H4:H34 M4:M34" xr:uid="{9CD091BA-6A89-4B64-8300-F0653EB33001}">
      <formula1>Tätigkeiten</formula1>
    </dataValidation>
  </dataValidations>
  <printOptions horizontalCentered="1" verticalCentered="1"/>
  <pageMargins left="0.23622047244094491" right="0.23622047244094491" top="0.23622047244094491" bottom="0.23622047244094491" header="0.11811023622047245" footer="0.11811023622047245"/>
  <pageSetup paperSize="9" scale="95" firstPageNumber="0" orientation="landscape" r:id="rId1"/>
  <headerFooter alignWithMargins="0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8" id="{FF15DCE4-3C45-4C0F-A5F0-6CB5EFA221CE}">
            <xm:f>$P4=Voreinstellungen!$B$25</xm:f>
            <x14:dxf>
              <fill>
                <patternFill>
                  <bgColor rgb="FF0070C0"/>
                </patternFill>
              </fill>
            </x14:dxf>
          </x14:cfRule>
          <x14:cfRule type="expression" priority="9" id="{A37435E9-EB5E-48CD-A468-16AA3ADF893E}">
            <xm:f>$P4=Voreinstellungen!$B$26</xm:f>
            <x14:dxf>
              <fill>
                <patternFill>
                  <bgColor rgb="FF00B0F0"/>
                </patternFill>
              </fill>
            </x14:dxf>
          </x14:cfRule>
          <x14:cfRule type="expression" priority="10" id="{22BF6702-97B7-4A08-98B1-D68CF88C3303}">
            <xm:f>$P4=Voreinstellungen!$B$20</xm:f>
            <x14:dxf>
              <fill>
                <patternFill>
                  <bgColor theme="4" tint="0.59996337778862885"/>
                </patternFill>
              </fill>
            </x14:dxf>
          </x14:cfRule>
          <x14:cfRule type="expression" priority="11" id="{26713AB9-BEB6-4297-9F9F-7068ED3669E5}">
            <xm:f>$P4=Voreinstellungen!$B$21</xm:f>
            <x14:dxf>
              <fill>
                <patternFill>
                  <bgColor indexed="13"/>
                </patternFill>
              </fill>
            </x14:dxf>
          </x14:cfRule>
          <x14:cfRule type="expression" priority="12" id="{3F3D5E68-C422-42B9-B424-FDBFEDACA3E7}">
            <xm:f>$P4=Voreinstellungen!$B$22</xm:f>
            <x14:dxf>
              <fill>
                <patternFill>
                  <bgColor rgb="FFFFFF66"/>
                </patternFill>
              </fill>
            </x14:dxf>
          </x14:cfRule>
          <x14:cfRule type="expression" priority="13" id="{A412AF61-CE06-4F4C-8BC4-1E2E6006BC94}">
            <xm:f>$P4=Voreinstellungen!$B$31</xm:f>
            <x14:dxf>
              <fill>
                <patternFill>
                  <bgColor theme="3" tint="0.59996337778862885"/>
                </patternFill>
              </fill>
            </x14:dxf>
          </x14:cfRule>
          <x14:cfRule type="expression" priority="14" id="{8824BCE4-9E05-4951-9E39-55F6508A467A}">
            <xm:f>$P4=Voreinstellungen!$B$32</xm:f>
            <x14:dxf>
              <fill>
                <patternFill>
                  <bgColor rgb="FF92D050"/>
                </patternFill>
              </fill>
            </x14:dxf>
          </x14:cfRule>
          <x14:cfRule type="expression" priority="15" id="{24838AC7-024E-485D-8B60-6F692168246A}">
            <xm:f>$P4=Voreinstellungen!$B$33</xm:f>
            <x14:dxf>
              <fill>
                <patternFill>
                  <bgColor theme="9" tint="0.39994506668294322"/>
                </patternFill>
              </fill>
            </x14:dxf>
          </x14:cfRule>
          <xm:sqref>Q4:W34 A4:O34</xm:sqref>
        </x14:conditionalFormatting>
        <x14:conditionalFormatting xmlns:xm="http://schemas.microsoft.com/office/excel/2006/main">
          <x14:cfRule type="expression" priority="18" id="{2A5695F1-E681-4F63-9709-AAA9BD441AA3}">
            <xm:f>$L4=Voreinstellungen!$B$25</xm:f>
            <x14:dxf>
              <fill>
                <patternFill>
                  <bgColor rgb="FF0070C0"/>
                </patternFill>
              </fill>
            </x14:dxf>
          </x14:cfRule>
          <x14:cfRule type="expression" priority="19" id="{3679EDD6-2323-4FA9-BE4A-EE2D62618ABE}">
            <xm:f>$L4=Voreinstellungen!$B$26</xm:f>
            <x14:dxf>
              <fill>
                <patternFill>
                  <bgColor rgb="FF00B0F0"/>
                </patternFill>
              </fill>
            </x14:dxf>
          </x14:cfRule>
          <x14:cfRule type="expression" priority="20" id="{6E9C0615-4CED-4F25-9A84-C941A1D4602A}">
            <xm:f>$L4=Voreinstellungen!$B$20</xm:f>
            <x14:dxf>
              <fill>
                <patternFill>
                  <bgColor theme="4" tint="0.59996337778862885"/>
                </patternFill>
              </fill>
            </x14:dxf>
          </x14:cfRule>
          <x14:cfRule type="expression" priority="21" id="{E64CA480-AEF5-44C3-B362-31F236289C0D}">
            <xm:f>$L4=Voreinstellungen!$B$21</xm:f>
            <x14:dxf>
              <fill>
                <patternFill>
                  <bgColor indexed="13"/>
                </patternFill>
              </fill>
            </x14:dxf>
          </x14:cfRule>
          <x14:cfRule type="expression" priority="22" id="{93750785-FFDE-4739-846A-F24B6559F0E5}">
            <xm:f>$L4=Voreinstellungen!$B$22</xm:f>
            <x14:dxf>
              <fill>
                <patternFill>
                  <bgColor rgb="FFFFFF66"/>
                </patternFill>
              </fill>
            </x14:dxf>
          </x14:cfRule>
          <x14:cfRule type="expression" priority="23" id="{63DF6BD4-C3F4-4EB0-87FB-6E278C0F13DD}">
            <xm:f>$L4=Voreinstellungen!$B$31</xm:f>
            <x14:dxf>
              <fill>
                <patternFill>
                  <bgColor theme="3" tint="0.59996337778862885"/>
                </patternFill>
              </fill>
            </x14:dxf>
          </x14:cfRule>
          <x14:cfRule type="expression" priority="24" id="{E07C3543-9C94-4819-85D6-9428C62D95BE}">
            <xm:f>$L4=Voreinstellungen!$B$32</xm:f>
            <x14:dxf>
              <fill>
                <patternFill>
                  <bgColor rgb="FF92D050"/>
                </patternFill>
              </fill>
            </x14:dxf>
          </x14:cfRule>
          <x14:cfRule type="expression" priority="25" id="{8182354F-27B4-4FB2-8977-5AD2533EFE20}">
            <xm:f>$L4=Voreinstellungen!$B$33</xm:f>
            <x14:dxf>
              <fill>
                <patternFill>
                  <bgColor theme="9" tint="0.39994506668294322"/>
                </patternFill>
              </fill>
            </x14:dxf>
          </x14:cfRule>
          <xm:sqref>P4:P34</xm:sqref>
        </x14:conditionalFormatting>
      </x14:conditionalFormatting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3">
    <tabColor theme="2" tint="-0.249977111117893"/>
    <pageSetUpPr fitToPage="1"/>
  </sheetPr>
  <dimension ref="A1:AC52"/>
  <sheetViews>
    <sheetView showGridLines="0" showZeros="0" zoomScale="90" zoomScaleNormal="90" workbookViewId="0">
      <pane ySplit="3" topLeftCell="A4" activePane="bottomLeft" state="frozen"/>
      <selection activeCell="T6" sqref="T6"/>
      <selection pane="bottomLeft" activeCell="C12" sqref="C12"/>
    </sheetView>
  </sheetViews>
  <sheetFormatPr baseColWidth="10" defaultColWidth="11.5703125" defaultRowHeight="12.75" x14ac:dyDescent="0.2"/>
  <cols>
    <col min="1" max="1" width="9.28515625" style="45" customWidth="1"/>
    <col min="2" max="2" width="5.7109375" style="45" customWidth="1"/>
    <col min="3" max="3" width="18.7109375" style="45" customWidth="1"/>
    <col min="4" max="4" width="11.140625" style="276" bestFit="1" customWidth="1"/>
    <col min="5" max="5" width="7.7109375" style="301" customWidth="1"/>
    <col min="6" max="6" width="7.7109375" style="276" customWidth="1"/>
    <col min="7" max="8" width="12.7109375" style="276" customWidth="1"/>
    <col min="9" max="9" width="4.7109375" style="276" customWidth="1"/>
    <col min="10" max="11" width="7.7109375" style="276" customWidth="1"/>
    <col min="12" max="13" width="12.7109375" style="287" customWidth="1"/>
    <col min="14" max="14" width="4.7109375" style="287" customWidth="1"/>
    <col min="15" max="15" width="6.42578125" style="287" customWidth="1"/>
    <col min="16" max="16" width="3.7109375" style="287" customWidth="1"/>
    <col min="17" max="17" width="7.7109375" style="45" customWidth="1"/>
    <col min="18" max="20" width="7.7109375" style="46" customWidth="1"/>
    <col min="21" max="21" width="4.28515625" style="45" bestFit="1" customWidth="1"/>
    <col min="22" max="22" width="20.7109375" style="45" customWidth="1"/>
    <col min="23" max="23" width="7.7109375" style="45" customWidth="1"/>
    <col min="24" max="24" width="0.7109375" style="45" customWidth="1"/>
    <col min="25" max="25" width="14.7109375" style="45" customWidth="1"/>
    <col min="26" max="27" width="11.5703125" style="45"/>
    <col min="28" max="28" width="13.7109375" style="45" bestFit="1" customWidth="1"/>
    <col min="29" max="29" width="0.7109375" style="45" customWidth="1"/>
    <col min="30" max="16384" width="11.5703125" style="45"/>
  </cols>
  <sheetData>
    <row r="1" spans="1:29" ht="15" customHeight="1" x14ac:dyDescent="0.2">
      <c r="A1" s="678">
        <f>DATE(Jahr,12,1)</f>
        <v>44530</v>
      </c>
      <c r="B1" s="679"/>
      <c r="C1" s="679"/>
      <c r="D1" s="370"/>
      <c r="E1" s="370"/>
      <c r="F1" s="370"/>
      <c r="G1" s="370"/>
      <c r="H1" s="370"/>
      <c r="I1" s="370"/>
      <c r="J1" s="285"/>
      <c r="K1" s="285"/>
      <c r="L1" s="285"/>
      <c r="M1" s="285" t="str">
        <f>"Nettoarbeitstage: "&amp;NETWORKDAYS(A1,EOMONTH(A1,0),Feiertage!A4:A39)</f>
        <v>Nettoarbeitstage: 19</v>
      </c>
      <c r="N1" s="285"/>
      <c r="O1" s="285"/>
      <c r="P1" s="288"/>
      <c r="Q1" s="260"/>
      <c r="R1" s="260"/>
      <c r="S1" s="260"/>
      <c r="T1" s="260"/>
      <c r="U1" s="260"/>
      <c r="V1" s="684" t="str">
        <f>Voreinstellungen!C3</f>
        <v>Vivien Günther</v>
      </c>
      <c r="W1" s="685"/>
    </row>
    <row r="2" spans="1:29" ht="15" customHeight="1" x14ac:dyDescent="0.2">
      <c r="A2" s="680"/>
      <c r="B2" s="681"/>
      <c r="C2" s="681"/>
      <c r="D2" s="371"/>
      <c r="E2" s="371"/>
      <c r="F2" s="371"/>
      <c r="G2" s="371"/>
      <c r="H2" s="371"/>
      <c r="I2" s="371"/>
      <c r="J2" s="371"/>
      <c r="K2" s="371"/>
      <c r="L2" s="286"/>
      <c r="M2" s="286"/>
      <c r="N2" s="286"/>
      <c r="O2" s="286"/>
      <c r="P2" s="289"/>
      <c r="Q2" s="259"/>
      <c r="R2" s="259"/>
      <c r="S2" s="259"/>
      <c r="T2" s="259"/>
      <c r="U2" s="259"/>
      <c r="V2" s="686" t="str">
        <f>IF(ISBLANK(Voreinstellungen!C4),"","Personal-Nr.: "&amp;Voreinstellungen!C4)</f>
        <v>Personal-Nr.: 60161</v>
      </c>
      <c r="W2" s="687"/>
    </row>
    <row r="3" spans="1:29" s="47" customFormat="1" ht="36" customHeight="1" x14ac:dyDescent="0.2">
      <c r="A3" s="204" t="s">
        <v>73</v>
      </c>
      <c r="B3" s="205"/>
      <c r="C3" s="204" t="s">
        <v>26</v>
      </c>
      <c r="D3" s="284" t="s">
        <v>143</v>
      </c>
      <c r="E3" s="282" t="s">
        <v>74</v>
      </c>
      <c r="F3" s="253" t="s">
        <v>75</v>
      </c>
      <c r="G3" s="253" t="s">
        <v>141</v>
      </c>
      <c r="H3" s="110" t="s">
        <v>134</v>
      </c>
      <c r="I3" s="257" t="s">
        <v>135</v>
      </c>
      <c r="J3" s="282" t="s">
        <v>76</v>
      </c>
      <c r="K3" s="206" t="s">
        <v>77</v>
      </c>
      <c r="L3" s="258" t="s">
        <v>142</v>
      </c>
      <c r="M3" s="279" t="s">
        <v>134</v>
      </c>
      <c r="N3" s="257" t="s">
        <v>135</v>
      </c>
      <c r="O3" s="282" t="s">
        <v>144</v>
      </c>
      <c r="P3" s="283" t="s">
        <v>24</v>
      </c>
      <c r="Q3" s="171" t="s">
        <v>78</v>
      </c>
      <c r="R3" s="171" t="s">
        <v>79</v>
      </c>
      <c r="S3" s="171" t="s">
        <v>147</v>
      </c>
      <c r="T3" s="207" t="s">
        <v>80</v>
      </c>
      <c r="U3" s="208" t="s">
        <v>81</v>
      </c>
      <c r="V3" s="209" t="s">
        <v>82</v>
      </c>
      <c r="W3" s="171" t="s">
        <v>83</v>
      </c>
      <c r="X3" s="306">
        <f>PauseGWert</f>
        <v>3.125E-2</v>
      </c>
    </row>
    <row r="4" spans="1:29" s="19" customFormat="1" ht="12" x14ac:dyDescent="0.2">
      <c r="A4" s="311">
        <f>A1</f>
        <v>44530</v>
      </c>
      <c r="B4" s="210">
        <f t="shared" ref="B4:B34" si="0">A4</f>
        <v>44530</v>
      </c>
      <c r="C4" s="261" t="str">
        <f t="shared" ref="C4:C31" si="1">IF(ISERROR(VLOOKUP(B4,Feiertage,2,FALSE)),"",(VLOOKUP(B4,Feiertage,2,FALSE)))</f>
        <v/>
      </c>
      <c r="D4" s="366"/>
      <c r="E4" s="351"/>
      <c r="F4" s="254"/>
      <c r="G4" s="307"/>
      <c r="H4" s="318"/>
      <c r="I4" s="347">
        <f>IFERROR(VLOOKUP(D4&amp;G4,tbl_Entfernung[[Verketten]:[Entfernung]],2,FALSE),"")</f>
        <v>0</v>
      </c>
      <c r="J4" s="360"/>
      <c r="K4" s="351"/>
      <c r="L4" s="307"/>
      <c r="M4" s="314"/>
      <c r="N4" s="320">
        <f>IFERROR(VLOOKUP(G4&amp;L4,tbl_Entfernung[[Verketten]:[Entfernung]],2,FALSE),"")</f>
        <v>0</v>
      </c>
      <c r="O4" s="315">
        <f>IF(S4&gt;PauseGTime,PauseGWert,IF(S4&gt;PauseKTime,PauseKWert,IF(S4&lt;=PauseKTime,0,WENN)))</f>
        <v>0</v>
      </c>
      <c r="P4" s="363"/>
      <c r="Q4" s="355">
        <f t="shared" ref="Q4:Q34" si="2">IF(A4="",0,IF(IF(E4&lt;F4,F4-E4,IF(F4="",0,F4-E4+1))+IF(J4&lt;K4,K4-J4,IF(K4="",0,K4-J4+1))-O4&gt;0,IF(E4&lt;F4,F4-E4,IF(F4="",0,F4-E4+1))+IF(J4&lt;K4,K4-J4,IF(K4="",0,K4-J4+1))-O4,0))</f>
        <v>0</v>
      </c>
      <c r="R4" s="224">
        <f t="shared" ref="R4:R34" ca="1" si="3">IF(AND(C4&lt;&gt;"",P4=""),IF(ISERROR(VLOOKUP(B4,Feiertage,2,FALSE)),0,VLOOKUP(B4,Feiertage,3,FALSE)*U4),IF(A4="",0,IF(P4&lt;&gt;"",IF(UPPER(P4)=VLOOKUP(UPPER(P4),Code,1,FALSE),IF(OR(VLOOKUP(P4,Code,2,FALSE)="NONE",VLOOKUP(P4,Code,2,FALSE)="XTRA",VLOOKUP(P4,Code,2,FALSE)="REST"),Q4,IF(ISERROR(VLOOKUP(B4,Feiertage,2,FALSE)),VLOOKUP(P4,Code,2,FALSE)*U4,IF(VLOOKUP(B4,Feiertage,3,FALSE)=0.5,IF(OR(UPPER(P4)="G",UPPER(P4)="H"),VLOOKUP(B4,Feiertage,3,FALSE)*VLOOKUP(P4,Code,2,FALSE)*U4,0),VLOOKUP(B4,Feiertage,3,FALSE)*VLOOKUP(P4,Code,2,FALSE)*U4))),U4),U4)))</f>
        <v>0.29166666666666669</v>
      </c>
      <c r="S4" s="224">
        <f>IF(A4="",0,IF(IF(E4&lt;F4,F4-E4,IF(F4="",0,F4-E4+1))+IF(J4&lt;K4,K4-J4,IF(K4="",0,K4-J4+1))&gt;0,IF(E4&lt;F4,F4-E4,IF(F4="",0,F4-E4+1))+IF(J4&lt;K4,K4-J4,IF(K4="",0,K4-J4+1)),0))</f>
        <v>0</v>
      </c>
      <c r="T4" s="211">
        <f t="shared" ref="T4:T34" ca="1" si="4">IF(A4="",0,ROUND(Q4-R4,14))</f>
        <v>-0.29166666666667002</v>
      </c>
      <c r="U4" s="250">
        <f t="shared" ref="U4:U34" ca="1" si="5">IF(A4="",0,INDIRECT(ADDRESS(MATCH(A4,SOLL_AZ_Ab,1)+11,WEEKDAY(A4,2)+3,,,"Voreinstellungen"),TRUE))</f>
        <v>0.29166666666666669</v>
      </c>
      <c r="V4" s="212"/>
      <c r="W4" s="213" t="e">
        <f ca="1">IF(A4="","",IF(T4&lt;&gt;"",ROUND(J36+T4,14),J36))</f>
        <v>#REF!</v>
      </c>
      <c r="Y4" s="305"/>
      <c r="AB4" s="344">
        <f>MOD(F4-E4,1)*24</f>
        <v>0</v>
      </c>
      <c r="AC4" s="344">
        <f>MOD(K4-J4,1)*24</f>
        <v>0</v>
      </c>
    </row>
    <row r="5" spans="1:29" s="19" customFormat="1" ht="12" x14ac:dyDescent="0.2">
      <c r="A5" s="312">
        <f t="shared" ref="A5:A31" si="6">A4+1</f>
        <v>44531</v>
      </c>
      <c r="B5" s="129">
        <f t="shared" si="0"/>
        <v>44531</v>
      </c>
      <c r="C5" s="262" t="str">
        <f t="shared" si="1"/>
        <v/>
      </c>
      <c r="D5" s="358"/>
      <c r="E5" s="352"/>
      <c r="F5" s="255"/>
      <c r="G5" s="308"/>
      <c r="H5" s="308"/>
      <c r="I5" s="348">
        <f>IFERROR(VLOOKUP(D5&amp;G5,tbl_Entfernung[[Verketten]:[Entfernung]],2,FALSE),"")</f>
        <v>0</v>
      </c>
      <c r="J5" s="361"/>
      <c r="K5" s="352"/>
      <c r="L5" s="308"/>
      <c r="M5" s="308"/>
      <c r="N5" s="321">
        <f>IFERROR(VLOOKUP(G5&amp;L5,tbl_Entfernung[[Verketten]:[Entfernung]],2,FALSE),"")</f>
        <v>0</v>
      </c>
      <c r="O5" s="316">
        <f>IF(S5&gt;PauseGTime,PauseGWert,IF(S5&gt;PauseKTime,PauseKWert,IF(S5&lt;=PauseKTime,0,WENN)))</f>
        <v>0</v>
      </c>
      <c r="P5" s="364"/>
      <c r="Q5" s="356">
        <f t="shared" si="2"/>
        <v>0</v>
      </c>
      <c r="R5" s="225">
        <f t="shared" ca="1" si="3"/>
        <v>0.29166666666666669</v>
      </c>
      <c r="S5" s="225">
        <f t="shared" ref="S5:S34" si="7">IF(A5="",0,IF(IF(E5&lt;F5,F5-E5,IF(F5="",0,F5-E5+1))+IF(J5&lt;K5,K5-J5,IF(K5="",0,K5-J5+1))&gt;0,IF(E5&lt;F5,F5-E5,IF(F5="",0,F5-E5+1))+IF(J5&lt;K5,K5-J5,IF(K5="",0,K5-J5+1)),0))</f>
        <v>0</v>
      </c>
      <c r="T5" s="130">
        <f t="shared" ca="1" si="4"/>
        <v>-0.29166666666667002</v>
      </c>
      <c r="U5" s="251">
        <f t="shared" ca="1" si="5"/>
        <v>0.29166666666666669</v>
      </c>
      <c r="V5" s="131"/>
      <c r="W5" s="214" t="e">
        <f t="shared" ref="W5:W34" ca="1" si="8">IF(A5="","",IF(T5&lt;&gt;"",ROUND(W4+T5,14),W4))</f>
        <v>#REF!</v>
      </c>
      <c r="AB5" s="345">
        <f t="shared" ref="AB5:AB34" si="9">MOD(F5-E5,1)*24</f>
        <v>0</v>
      </c>
      <c r="AC5" s="345">
        <f t="shared" ref="AC5:AC34" si="10">MOD(K5-J5,1)*24</f>
        <v>0</v>
      </c>
    </row>
    <row r="6" spans="1:29" s="19" customFormat="1" ht="12" x14ac:dyDescent="0.2">
      <c r="A6" s="312">
        <f t="shared" si="6"/>
        <v>44532</v>
      </c>
      <c r="B6" s="129">
        <f t="shared" si="0"/>
        <v>44532</v>
      </c>
      <c r="C6" s="262" t="str">
        <f t="shared" si="1"/>
        <v/>
      </c>
      <c r="D6" s="358"/>
      <c r="E6" s="352"/>
      <c r="F6" s="255"/>
      <c r="G6" s="309"/>
      <c r="H6" s="309"/>
      <c r="I6" s="348">
        <f>IFERROR(VLOOKUP(D6&amp;G6,tbl_Entfernung[[Verketten]:[Entfernung]],2,FALSE),"")</f>
        <v>0</v>
      </c>
      <c r="J6" s="361"/>
      <c r="K6" s="352"/>
      <c r="L6" s="309"/>
      <c r="M6" s="309"/>
      <c r="N6" s="321">
        <f>IFERROR(VLOOKUP(G6&amp;L6,tbl_Entfernung[[Verketten]:[Entfernung]],2,FALSE),"")</f>
        <v>0</v>
      </c>
      <c r="O6" s="316">
        <f>IF(S6&gt;PauseGTime,PauseGWert,IF(S6&gt;PauseKTime,PauseKWert,IF(S6&lt;=PauseKTime,0,WENN)))</f>
        <v>0</v>
      </c>
      <c r="P6" s="364"/>
      <c r="Q6" s="356">
        <f t="shared" si="2"/>
        <v>0</v>
      </c>
      <c r="R6" s="225">
        <f t="shared" ca="1" si="3"/>
        <v>0.29166666666666669</v>
      </c>
      <c r="S6" s="225">
        <f t="shared" si="7"/>
        <v>0</v>
      </c>
      <c r="T6" s="130">
        <f t="shared" ca="1" si="4"/>
        <v>-0.29166666666667002</v>
      </c>
      <c r="U6" s="251">
        <f t="shared" ca="1" si="5"/>
        <v>0.29166666666666669</v>
      </c>
      <c r="V6" s="131"/>
      <c r="W6" s="214" t="e">
        <f t="shared" ca="1" si="8"/>
        <v>#REF!</v>
      </c>
      <c r="AB6" s="345">
        <f t="shared" si="9"/>
        <v>0</v>
      </c>
      <c r="AC6" s="345">
        <f t="shared" si="10"/>
        <v>0</v>
      </c>
    </row>
    <row r="7" spans="1:29" s="19" customFormat="1" ht="12" x14ac:dyDescent="0.2">
      <c r="A7" s="312">
        <f t="shared" si="6"/>
        <v>44533</v>
      </c>
      <c r="B7" s="129">
        <f t="shared" si="0"/>
        <v>44533</v>
      </c>
      <c r="C7" s="262" t="str">
        <f t="shared" si="1"/>
        <v/>
      </c>
      <c r="D7" s="358"/>
      <c r="E7" s="352"/>
      <c r="F7" s="255"/>
      <c r="G7" s="309"/>
      <c r="H7" s="309"/>
      <c r="I7" s="348">
        <f>IFERROR(VLOOKUP(D7&amp;G7,tbl_Entfernung[[Verketten]:[Entfernung]],2,FALSE),"")</f>
        <v>0</v>
      </c>
      <c r="J7" s="361"/>
      <c r="K7" s="352"/>
      <c r="L7" s="309"/>
      <c r="M7" s="309"/>
      <c r="N7" s="321">
        <f>IFERROR(VLOOKUP(G7&amp;L7,tbl_Entfernung[[Verketten]:[Entfernung]],2,FALSE),"")</f>
        <v>0</v>
      </c>
      <c r="O7" s="316">
        <f>IF(S7&gt;PauseGTime,PauseGWert,IF(S7&gt;PauseKTime,PauseKWert,IF(S7&lt;=PauseKTime,0,WENN)))</f>
        <v>0</v>
      </c>
      <c r="P7" s="364"/>
      <c r="Q7" s="356">
        <f t="shared" si="2"/>
        <v>0</v>
      </c>
      <c r="R7" s="225">
        <f t="shared" ca="1" si="3"/>
        <v>0.29166666666666669</v>
      </c>
      <c r="S7" s="225">
        <f t="shared" si="7"/>
        <v>0</v>
      </c>
      <c r="T7" s="130">
        <f t="shared" ca="1" si="4"/>
        <v>-0.29166666666667002</v>
      </c>
      <c r="U7" s="251">
        <f t="shared" ca="1" si="5"/>
        <v>0.29166666666666669</v>
      </c>
      <c r="V7" s="131"/>
      <c r="W7" s="214" t="e">
        <f t="shared" ca="1" si="8"/>
        <v>#REF!</v>
      </c>
      <c r="AB7" s="345">
        <f t="shared" si="9"/>
        <v>0</v>
      </c>
      <c r="AC7" s="345">
        <f t="shared" si="10"/>
        <v>0</v>
      </c>
    </row>
    <row r="8" spans="1:29" s="19" customFormat="1" ht="12" x14ac:dyDescent="0.2">
      <c r="A8" s="312">
        <f t="shared" si="6"/>
        <v>44534</v>
      </c>
      <c r="B8" s="129">
        <f t="shared" si="0"/>
        <v>44534</v>
      </c>
      <c r="C8" s="262" t="str">
        <f t="shared" si="1"/>
        <v/>
      </c>
      <c r="D8" s="358"/>
      <c r="E8" s="352"/>
      <c r="F8" s="255"/>
      <c r="G8" s="309"/>
      <c r="H8" s="309"/>
      <c r="I8" s="348">
        <f>IFERROR(VLOOKUP(D8&amp;G8,tbl_Entfernung[[Verketten]:[Entfernung]],2,FALSE),"")</f>
        <v>0</v>
      </c>
      <c r="J8" s="361"/>
      <c r="K8" s="352"/>
      <c r="L8" s="309"/>
      <c r="M8" s="309"/>
      <c r="N8" s="321">
        <f>IFERROR(VLOOKUP(G8&amp;L8,tbl_Entfernung[[Verketten]:[Entfernung]],2,FALSE),"")</f>
        <v>0</v>
      </c>
      <c r="O8" s="316">
        <f>IF(S8&gt;PauseGTime,PauseGWert,IF(S8&gt;PauseKTime,PauseKWert,IF(S8&lt;=PauseKTime,0,WENN)))</f>
        <v>0</v>
      </c>
      <c r="P8" s="364"/>
      <c r="Q8" s="356">
        <f t="shared" si="2"/>
        <v>0</v>
      </c>
      <c r="R8" s="225">
        <f t="shared" ca="1" si="3"/>
        <v>0.29166666666666669</v>
      </c>
      <c r="S8" s="225">
        <f t="shared" si="7"/>
        <v>0</v>
      </c>
      <c r="T8" s="130">
        <f t="shared" ca="1" si="4"/>
        <v>-0.29166666666667002</v>
      </c>
      <c r="U8" s="251">
        <f t="shared" ca="1" si="5"/>
        <v>0.29166666666666669</v>
      </c>
      <c r="V8" s="131"/>
      <c r="W8" s="214" t="e">
        <f t="shared" ca="1" si="8"/>
        <v>#REF!</v>
      </c>
      <c r="AB8" s="345">
        <f t="shared" si="9"/>
        <v>0</v>
      </c>
      <c r="AC8" s="345">
        <f t="shared" si="10"/>
        <v>0</v>
      </c>
    </row>
    <row r="9" spans="1:29" s="19" customFormat="1" ht="12" x14ac:dyDescent="0.2">
      <c r="A9" s="312">
        <f t="shared" si="6"/>
        <v>44535</v>
      </c>
      <c r="B9" s="129">
        <f t="shared" si="0"/>
        <v>44535</v>
      </c>
      <c r="C9" s="262" t="str">
        <f t="shared" si="1"/>
        <v/>
      </c>
      <c r="D9" s="358"/>
      <c r="E9" s="352"/>
      <c r="F9" s="255"/>
      <c r="G9" s="309"/>
      <c r="H9" s="309"/>
      <c r="I9" s="349">
        <f>IFERROR(VLOOKUP(D9&amp;G9,tbl_Entfernung[[Verketten]:[Entfernung]],2,FALSE),"")</f>
        <v>0</v>
      </c>
      <c r="J9" s="361"/>
      <c r="K9" s="352"/>
      <c r="L9" s="309"/>
      <c r="M9" s="309"/>
      <c r="N9" s="322">
        <f>IFERROR(VLOOKUP(G9&amp;L9,tbl_Entfernung[[Verketten]:[Entfernung]],2,FALSE),"")</f>
        <v>0</v>
      </c>
      <c r="O9" s="316">
        <f>IF(S9&gt;PauseGTime,PauseGWert,IF(S9&gt;PauseKTime,PauseKWert,IF(S9&lt;=PauseKTime,0,WENN)))</f>
        <v>0</v>
      </c>
      <c r="P9" s="364"/>
      <c r="Q9" s="356">
        <f t="shared" si="2"/>
        <v>0</v>
      </c>
      <c r="R9" s="225">
        <f t="shared" ca="1" si="3"/>
        <v>0</v>
      </c>
      <c r="S9" s="225">
        <f t="shared" si="7"/>
        <v>0</v>
      </c>
      <c r="T9" s="130">
        <f t="shared" ca="1" si="4"/>
        <v>0</v>
      </c>
      <c r="U9" s="251">
        <f t="shared" ca="1" si="5"/>
        <v>0</v>
      </c>
      <c r="V9" s="131"/>
      <c r="W9" s="214" t="e">
        <f t="shared" ca="1" si="8"/>
        <v>#REF!</v>
      </c>
      <c r="AB9" s="345">
        <f t="shared" si="9"/>
        <v>0</v>
      </c>
      <c r="AC9" s="345">
        <f t="shared" si="10"/>
        <v>0</v>
      </c>
    </row>
    <row r="10" spans="1:29" s="19" customFormat="1" ht="12" x14ac:dyDescent="0.2">
      <c r="A10" s="312">
        <f t="shared" si="6"/>
        <v>44536</v>
      </c>
      <c r="B10" s="129">
        <f t="shared" si="0"/>
        <v>44536</v>
      </c>
      <c r="C10" s="262" t="str">
        <f t="shared" si="1"/>
        <v/>
      </c>
      <c r="D10" s="358"/>
      <c r="E10" s="352"/>
      <c r="F10" s="255"/>
      <c r="G10" s="309"/>
      <c r="H10" s="309"/>
      <c r="I10" s="349">
        <f>IFERROR(VLOOKUP(D10&amp;G10,tbl_Entfernung[[Verketten]:[Entfernung]],2,FALSE),"")</f>
        <v>0</v>
      </c>
      <c r="J10" s="361"/>
      <c r="K10" s="352"/>
      <c r="L10" s="309"/>
      <c r="M10" s="309"/>
      <c r="N10" s="322">
        <f>IFERROR(VLOOKUP(G10&amp;L10,tbl_Entfernung[[Verketten]:[Entfernung]],2,FALSE),"")</f>
        <v>0</v>
      </c>
      <c r="O10" s="316">
        <f>IF(S10&gt;PauseGTime,PauseGWert,IF(S10&gt;PauseKTime,PauseKWert,IF(S10&lt;=PauseKTime,0,WENN)))</f>
        <v>0</v>
      </c>
      <c r="P10" s="364"/>
      <c r="Q10" s="356">
        <f t="shared" si="2"/>
        <v>0</v>
      </c>
      <c r="R10" s="225">
        <f t="shared" ca="1" si="3"/>
        <v>0</v>
      </c>
      <c r="S10" s="225">
        <f t="shared" si="7"/>
        <v>0</v>
      </c>
      <c r="T10" s="130">
        <f t="shared" ca="1" si="4"/>
        <v>0</v>
      </c>
      <c r="U10" s="251">
        <f t="shared" ca="1" si="5"/>
        <v>0</v>
      </c>
      <c r="V10" s="131"/>
      <c r="W10" s="214" t="e">
        <f t="shared" ca="1" si="8"/>
        <v>#REF!</v>
      </c>
      <c r="AB10" s="345">
        <f t="shared" si="9"/>
        <v>0</v>
      </c>
      <c r="AC10" s="345">
        <f t="shared" si="10"/>
        <v>0</v>
      </c>
    </row>
    <row r="11" spans="1:29" s="19" customFormat="1" ht="12" x14ac:dyDescent="0.2">
      <c r="A11" s="312">
        <f t="shared" si="6"/>
        <v>44537</v>
      </c>
      <c r="B11" s="129">
        <f t="shared" si="0"/>
        <v>44537</v>
      </c>
      <c r="C11" s="262" t="str">
        <f t="shared" si="1"/>
        <v/>
      </c>
      <c r="D11" s="358"/>
      <c r="E11" s="352"/>
      <c r="F11" s="255"/>
      <c r="G11" s="309"/>
      <c r="H11" s="309"/>
      <c r="I11" s="348">
        <f>IFERROR(VLOOKUP(D11&amp;G11,tbl_Entfernung[[Verketten]:[Entfernung]],2,FALSE),"")</f>
        <v>0</v>
      </c>
      <c r="J11" s="361"/>
      <c r="K11" s="352"/>
      <c r="L11" s="309"/>
      <c r="M11" s="309"/>
      <c r="N11" s="321">
        <f>IFERROR(VLOOKUP(G11&amp;L11,tbl_Entfernung[[Verketten]:[Entfernung]],2,FALSE),"")</f>
        <v>0</v>
      </c>
      <c r="O11" s="316">
        <f>IF(S11&gt;PauseGTime,PauseGWert,IF(S11&gt;PauseKTime,PauseKWert,IF(S11&lt;=PauseKTime,0,WENN)))</f>
        <v>0</v>
      </c>
      <c r="P11" s="364"/>
      <c r="Q11" s="356">
        <f t="shared" si="2"/>
        <v>0</v>
      </c>
      <c r="R11" s="225">
        <f t="shared" ca="1" si="3"/>
        <v>0.29166666666666669</v>
      </c>
      <c r="S11" s="225">
        <f t="shared" si="7"/>
        <v>0</v>
      </c>
      <c r="T11" s="130">
        <f t="shared" ca="1" si="4"/>
        <v>-0.29166666666667002</v>
      </c>
      <c r="U11" s="251">
        <f t="shared" ca="1" si="5"/>
        <v>0.29166666666666669</v>
      </c>
      <c r="V11" s="131"/>
      <c r="W11" s="214" t="e">
        <f t="shared" ca="1" si="8"/>
        <v>#REF!</v>
      </c>
      <c r="AB11" s="345">
        <f t="shared" si="9"/>
        <v>0</v>
      </c>
      <c r="AC11" s="345">
        <f t="shared" si="10"/>
        <v>0</v>
      </c>
    </row>
    <row r="12" spans="1:29" s="19" customFormat="1" ht="12" x14ac:dyDescent="0.2">
      <c r="A12" s="312">
        <f t="shared" si="6"/>
        <v>44538</v>
      </c>
      <c r="B12" s="129">
        <f t="shared" si="0"/>
        <v>44538</v>
      </c>
      <c r="C12" s="262" t="str">
        <f t="shared" si="1"/>
        <v/>
      </c>
      <c r="D12" s="358"/>
      <c r="E12" s="352"/>
      <c r="F12" s="255"/>
      <c r="G12" s="309"/>
      <c r="H12" s="309"/>
      <c r="I12" s="348">
        <f>IFERROR(VLOOKUP(D12&amp;G12,tbl_Entfernung[[Verketten]:[Entfernung]],2,FALSE),"")</f>
        <v>0</v>
      </c>
      <c r="J12" s="361"/>
      <c r="K12" s="352"/>
      <c r="L12" s="309"/>
      <c r="M12" s="309"/>
      <c r="N12" s="321">
        <f>IFERROR(VLOOKUP(G12&amp;L12,tbl_Entfernung[[Verketten]:[Entfernung]],2,FALSE),"")</f>
        <v>0</v>
      </c>
      <c r="O12" s="316">
        <f>IF(S12&gt;PauseGTime,PauseGWert,IF(S12&gt;PauseKTime,PauseKWert,IF(S12&lt;=PauseKTime,0,WENN)))</f>
        <v>0</v>
      </c>
      <c r="P12" s="364"/>
      <c r="Q12" s="356">
        <f t="shared" si="2"/>
        <v>0</v>
      </c>
      <c r="R12" s="225">
        <f t="shared" ca="1" si="3"/>
        <v>0.29166666666666669</v>
      </c>
      <c r="S12" s="225">
        <f t="shared" si="7"/>
        <v>0</v>
      </c>
      <c r="T12" s="130">
        <f t="shared" ca="1" si="4"/>
        <v>-0.29166666666667002</v>
      </c>
      <c r="U12" s="251">
        <f t="shared" ca="1" si="5"/>
        <v>0.29166666666666669</v>
      </c>
      <c r="V12" s="131"/>
      <c r="W12" s="214" t="e">
        <f t="shared" ca="1" si="8"/>
        <v>#REF!</v>
      </c>
      <c r="AB12" s="345">
        <f t="shared" si="9"/>
        <v>0</v>
      </c>
      <c r="AC12" s="345">
        <f t="shared" si="10"/>
        <v>0</v>
      </c>
    </row>
    <row r="13" spans="1:29" s="19" customFormat="1" ht="12" x14ac:dyDescent="0.2">
      <c r="A13" s="312">
        <f t="shared" si="6"/>
        <v>44539</v>
      </c>
      <c r="B13" s="129">
        <f t="shared" si="0"/>
        <v>44539</v>
      </c>
      <c r="C13" s="262" t="str">
        <f t="shared" si="1"/>
        <v/>
      </c>
      <c r="D13" s="358"/>
      <c r="E13" s="352"/>
      <c r="F13" s="255"/>
      <c r="G13" s="309"/>
      <c r="H13" s="309"/>
      <c r="I13" s="348">
        <f>IFERROR(VLOOKUP(D13&amp;G13,tbl_Entfernung[[Verketten]:[Entfernung]],2,FALSE),"")</f>
        <v>0</v>
      </c>
      <c r="J13" s="361"/>
      <c r="K13" s="352"/>
      <c r="L13" s="309"/>
      <c r="M13" s="309"/>
      <c r="N13" s="321">
        <f>IFERROR(VLOOKUP(G13&amp;L13,tbl_Entfernung[[Verketten]:[Entfernung]],2,FALSE),"")</f>
        <v>0</v>
      </c>
      <c r="O13" s="316">
        <f>IF(S13&gt;PauseGTime,PauseGWert,IF(S13&gt;PauseKTime,PauseKWert,IF(S13&lt;=PauseKTime,0,WENN)))</f>
        <v>0</v>
      </c>
      <c r="P13" s="364"/>
      <c r="Q13" s="356">
        <f t="shared" si="2"/>
        <v>0</v>
      </c>
      <c r="R13" s="225">
        <f t="shared" ca="1" si="3"/>
        <v>0.29166666666666669</v>
      </c>
      <c r="S13" s="225">
        <f t="shared" si="7"/>
        <v>0</v>
      </c>
      <c r="T13" s="130">
        <f t="shared" ca="1" si="4"/>
        <v>-0.29166666666667002</v>
      </c>
      <c r="U13" s="251">
        <f t="shared" ca="1" si="5"/>
        <v>0.29166666666666669</v>
      </c>
      <c r="V13" s="131"/>
      <c r="W13" s="214" t="e">
        <f t="shared" ca="1" si="8"/>
        <v>#REF!</v>
      </c>
      <c r="AB13" s="345">
        <f t="shared" si="9"/>
        <v>0</v>
      </c>
      <c r="AC13" s="345">
        <f t="shared" si="10"/>
        <v>0</v>
      </c>
    </row>
    <row r="14" spans="1:29" s="19" customFormat="1" ht="12" x14ac:dyDescent="0.2">
      <c r="A14" s="312">
        <f t="shared" si="6"/>
        <v>44540</v>
      </c>
      <c r="B14" s="129">
        <f t="shared" si="0"/>
        <v>44540</v>
      </c>
      <c r="C14" s="262" t="str">
        <f t="shared" si="1"/>
        <v/>
      </c>
      <c r="D14" s="358"/>
      <c r="E14" s="352"/>
      <c r="F14" s="255"/>
      <c r="G14" s="309"/>
      <c r="H14" s="309"/>
      <c r="I14" s="348">
        <f>IFERROR(VLOOKUP(D14&amp;G14,tbl_Entfernung[[Verketten]:[Entfernung]],2,FALSE),"")</f>
        <v>0</v>
      </c>
      <c r="J14" s="361"/>
      <c r="K14" s="352"/>
      <c r="L14" s="309"/>
      <c r="M14" s="309"/>
      <c r="N14" s="321">
        <f>IFERROR(VLOOKUP(G14&amp;L14,tbl_Entfernung[[Verketten]:[Entfernung]],2,FALSE),"")</f>
        <v>0</v>
      </c>
      <c r="O14" s="316">
        <f>IF(S14&gt;PauseGTime,PauseGWert,IF(S14&gt;PauseKTime,PauseKWert,IF(S14&lt;=PauseKTime,0,WENN)))</f>
        <v>0</v>
      </c>
      <c r="P14" s="364"/>
      <c r="Q14" s="356">
        <f t="shared" si="2"/>
        <v>0</v>
      </c>
      <c r="R14" s="225">
        <f t="shared" ca="1" si="3"/>
        <v>0.29166666666666669</v>
      </c>
      <c r="S14" s="225">
        <f t="shared" si="7"/>
        <v>0</v>
      </c>
      <c r="T14" s="130">
        <f t="shared" ca="1" si="4"/>
        <v>-0.29166666666667002</v>
      </c>
      <c r="U14" s="251">
        <f t="shared" ca="1" si="5"/>
        <v>0.29166666666666669</v>
      </c>
      <c r="V14" s="131"/>
      <c r="W14" s="214" t="e">
        <f t="shared" ca="1" si="8"/>
        <v>#REF!</v>
      </c>
      <c r="AB14" s="345">
        <f t="shared" si="9"/>
        <v>0</v>
      </c>
      <c r="AC14" s="345">
        <f t="shared" si="10"/>
        <v>0</v>
      </c>
    </row>
    <row r="15" spans="1:29" s="19" customFormat="1" ht="12" x14ac:dyDescent="0.2">
      <c r="A15" s="312">
        <f t="shared" si="6"/>
        <v>44541</v>
      </c>
      <c r="B15" s="129">
        <f t="shared" si="0"/>
        <v>44541</v>
      </c>
      <c r="C15" s="262" t="str">
        <f t="shared" si="1"/>
        <v/>
      </c>
      <c r="D15" s="358"/>
      <c r="E15" s="352"/>
      <c r="F15" s="255"/>
      <c r="G15" s="309"/>
      <c r="H15" s="309"/>
      <c r="I15" s="348">
        <f>IFERROR(VLOOKUP(D15&amp;G15,tbl_Entfernung[[Verketten]:[Entfernung]],2,FALSE),"")</f>
        <v>0</v>
      </c>
      <c r="J15" s="361"/>
      <c r="K15" s="352"/>
      <c r="L15" s="309"/>
      <c r="M15" s="309"/>
      <c r="N15" s="321">
        <f>IFERROR(VLOOKUP(G15&amp;L15,tbl_Entfernung[[Verketten]:[Entfernung]],2,FALSE),"")</f>
        <v>0</v>
      </c>
      <c r="O15" s="316">
        <f>IF(S15&gt;PauseGTime,PauseGWert,IF(S15&gt;PauseKTime,PauseKWert,IF(S15&lt;=PauseKTime,0,WENN)))</f>
        <v>0</v>
      </c>
      <c r="P15" s="364"/>
      <c r="Q15" s="356">
        <f t="shared" si="2"/>
        <v>0</v>
      </c>
      <c r="R15" s="225">
        <f t="shared" ca="1" si="3"/>
        <v>0.29166666666666669</v>
      </c>
      <c r="S15" s="225">
        <f t="shared" si="7"/>
        <v>0</v>
      </c>
      <c r="T15" s="130">
        <f t="shared" ca="1" si="4"/>
        <v>-0.29166666666667002</v>
      </c>
      <c r="U15" s="251">
        <f t="shared" ca="1" si="5"/>
        <v>0.29166666666666669</v>
      </c>
      <c r="V15" s="131"/>
      <c r="W15" s="214" t="e">
        <f t="shared" ca="1" si="8"/>
        <v>#REF!</v>
      </c>
      <c r="AB15" s="345">
        <f t="shared" si="9"/>
        <v>0</v>
      </c>
      <c r="AC15" s="345">
        <f t="shared" si="10"/>
        <v>0</v>
      </c>
    </row>
    <row r="16" spans="1:29" s="19" customFormat="1" ht="12" x14ac:dyDescent="0.2">
      <c r="A16" s="312">
        <f t="shared" si="6"/>
        <v>44542</v>
      </c>
      <c r="B16" s="129">
        <f t="shared" si="0"/>
        <v>44542</v>
      </c>
      <c r="C16" s="262" t="str">
        <f t="shared" si="1"/>
        <v/>
      </c>
      <c r="D16" s="358"/>
      <c r="E16" s="352"/>
      <c r="F16" s="255"/>
      <c r="G16" s="309"/>
      <c r="H16" s="309"/>
      <c r="I16" s="349">
        <f>IFERROR(VLOOKUP(D16&amp;G16,tbl_Entfernung[[Verketten]:[Entfernung]],2,FALSE),"")</f>
        <v>0</v>
      </c>
      <c r="J16" s="361"/>
      <c r="K16" s="352"/>
      <c r="L16" s="309"/>
      <c r="M16" s="309"/>
      <c r="N16" s="322">
        <f>IFERROR(VLOOKUP(G16&amp;L16,tbl_Entfernung[[Verketten]:[Entfernung]],2,FALSE),"")</f>
        <v>0</v>
      </c>
      <c r="O16" s="316">
        <f>IF(S16&gt;PauseGTime,PauseGWert,IF(S16&gt;PauseKTime,PauseKWert,IF(S16&lt;=PauseKTime,0,WENN)))</f>
        <v>0</v>
      </c>
      <c r="P16" s="364"/>
      <c r="Q16" s="356">
        <f t="shared" si="2"/>
        <v>0</v>
      </c>
      <c r="R16" s="225">
        <f t="shared" ca="1" si="3"/>
        <v>0</v>
      </c>
      <c r="S16" s="225">
        <f t="shared" si="7"/>
        <v>0</v>
      </c>
      <c r="T16" s="130">
        <f t="shared" ca="1" si="4"/>
        <v>0</v>
      </c>
      <c r="U16" s="251">
        <f t="shared" ca="1" si="5"/>
        <v>0</v>
      </c>
      <c r="V16" s="131"/>
      <c r="W16" s="214" t="e">
        <f t="shared" ca="1" si="8"/>
        <v>#REF!</v>
      </c>
      <c r="AB16" s="345">
        <f t="shared" si="9"/>
        <v>0</v>
      </c>
      <c r="AC16" s="345">
        <f t="shared" si="10"/>
        <v>0</v>
      </c>
    </row>
    <row r="17" spans="1:29" s="19" customFormat="1" ht="12" x14ac:dyDescent="0.2">
      <c r="A17" s="312">
        <f t="shared" si="6"/>
        <v>44543</v>
      </c>
      <c r="B17" s="129">
        <f t="shared" si="0"/>
        <v>44543</v>
      </c>
      <c r="C17" s="262" t="str">
        <f t="shared" si="1"/>
        <v/>
      </c>
      <c r="D17" s="358"/>
      <c r="E17" s="352"/>
      <c r="F17" s="255"/>
      <c r="G17" s="309"/>
      <c r="H17" s="309"/>
      <c r="I17" s="349">
        <f>IFERROR(VLOOKUP(D17&amp;G17,tbl_Entfernung[[Verketten]:[Entfernung]],2,FALSE),"")</f>
        <v>0</v>
      </c>
      <c r="J17" s="361"/>
      <c r="K17" s="352"/>
      <c r="L17" s="309"/>
      <c r="M17" s="309"/>
      <c r="N17" s="322">
        <f>IFERROR(VLOOKUP(G17&amp;L17,tbl_Entfernung[[Verketten]:[Entfernung]],2,FALSE),"")</f>
        <v>0</v>
      </c>
      <c r="O17" s="316">
        <f>IF(S17&gt;PauseGTime,PauseGWert,IF(S17&gt;PauseKTime,PauseKWert,IF(S17&lt;=PauseKTime,0,WENN)))</f>
        <v>0</v>
      </c>
      <c r="P17" s="364"/>
      <c r="Q17" s="356">
        <f t="shared" si="2"/>
        <v>0</v>
      </c>
      <c r="R17" s="225">
        <f t="shared" ca="1" si="3"/>
        <v>0</v>
      </c>
      <c r="S17" s="225">
        <f t="shared" si="7"/>
        <v>0</v>
      </c>
      <c r="T17" s="130">
        <f t="shared" ca="1" si="4"/>
        <v>0</v>
      </c>
      <c r="U17" s="251">
        <f t="shared" ca="1" si="5"/>
        <v>0</v>
      </c>
      <c r="V17" s="131"/>
      <c r="W17" s="214" t="e">
        <f t="shared" ca="1" si="8"/>
        <v>#REF!</v>
      </c>
      <c r="AB17" s="345">
        <f t="shared" si="9"/>
        <v>0</v>
      </c>
      <c r="AC17" s="345">
        <f t="shared" si="10"/>
        <v>0</v>
      </c>
    </row>
    <row r="18" spans="1:29" s="19" customFormat="1" ht="12" x14ac:dyDescent="0.2">
      <c r="A18" s="312">
        <f t="shared" si="6"/>
        <v>44544</v>
      </c>
      <c r="B18" s="129">
        <f t="shared" si="0"/>
        <v>44544</v>
      </c>
      <c r="C18" s="262" t="str">
        <f t="shared" si="1"/>
        <v/>
      </c>
      <c r="D18" s="358"/>
      <c r="E18" s="352"/>
      <c r="F18" s="255"/>
      <c r="G18" s="309"/>
      <c r="H18" s="309"/>
      <c r="I18" s="348">
        <f>IFERROR(VLOOKUP(D18&amp;G18,tbl_Entfernung[[Verketten]:[Entfernung]],2,FALSE),"")</f>
        <v>0</v>
      </c>
      <c r="J18" s="361"/>
      <c r="K18" s="352"/>
      <c r="L18" s="309"/>
      <c r="M18" s="309"/>
      <c r="N18" s="321">
        <f>IFERROR(VLOOKUP(G18&amp;L18,tbl_Entfernung[[Verketten]:[Entfernung]],2,FALSE),"")</f>
        <v>0</v>
      </c>
      <c r="O18" s="316">
        <f>IF(S18&gt;PauseGTime,PauseGWert,IF(S18&gt;PauseKTime,PauseKWert,IF(S18&lt;=PauseKTime,0,WENN)))</f>
        <v>0</v>
      </c>
      <c r="P18" s="364"/>
      <c r="Q18" s="356">
        <f t="shared" si="2"/>
        <v>0</v>
      </c>
      <c r="R18" s="225">
        <f t="shared" ca="1" si="3"/>
        <v>0.29166666666666669</v>
      </c>
      <c r="S18" s="225">
        <f t="shared" si="7"/>
        <v>0</v>
      </c>
      <c r="T18" s="130">
        <f t="shared" ca="1" si="4"/>
        <v>-0.29166666666667002</v>
      </c>
      <c r="U18" s="251">
        <f t="shared" ca="1" si="5"/>
        <v>0.29166666666666669</v>
      </c>
      <c r="V18" s="131"/>
      <c r="W18" s="214" t="e">
        <f t="shared" ca="1" si="8"/>
        <v>#REF!</v>
      </c>
      <c r="AB18" s="345">
        <f t="shared" si="9"/>
        <v>0</v>
      </c>
      <c r="AC18" s="345">
        <f t="shared" si="10"/>
        <v>0</v>
      </c>
    </row>
    <row r="19" spans="1:29" s="19" customFormat="1" ht="12" x14ac:dyDescent="0.2">
      <c r="A19" s="312">
        <f t="shared" si="6"/>
        <v>44545</v>
      </c>
      <c r="B19" s="129">
        <f t="shared" si="0"/>
        <v>44545</v>
      </c>
      <c r="C19" s="262" t="str">
        <f t="shared" si="1"/>
        <v/>
      </c>
      <c r="D19" s="358"/>
      <c r="E19" s="352"/>
      <c r="F19" s="255"/>
      <c r="G19" s="309"/>
      <c r="H19" s="309"/>
      <c r="I19" s="348">
        <f>IFERROR(VLOOKUP(D19&amp;G19,tbl_Entfernung[[Verketten]:[Entfernung]],2,FALSE),"")</f>
        <v>0</v>
      </c>
      <c r="J19" s="361"/>
      <c r="K19" s="352"/>
      <c r="L19" s="309"/>
      <c r="M19" s="309"/>
      <c r="N19" s="321">
        <f>IFERROR(VLOOKUP(G19&amp;L19,tbl_Entfernung[[Verketten]:[Entfernung]],2,FALSE),"")</f>
        <v>0</v>
      </c>
      <c r="O19" s="316">
        <f>IF(S19&gt;PauseGTime,PauseGWert,IF(S19&gt;PauseKTime,PauseKWert,IF(S19&lt;=PauseKTime,0,WENN)))</f>
        <v>0</v>
      </c>
      <c r="P19" s="364"/>
      <c r="Q19" s="356">
        <f t="shared" si="2"/>
        <v>0</v>
      </c>
      <c r="R19" s="225">
        <f t="shared" ca="1" si="3"/>
        <v>0.29166666666666669</v>
      </c>
      <c r="S19" s="225">
        <f t="shared" si="7"/>
        <v>0</v>
      </c>
      <c r="T19" s="130">
        <f t="shared" ca="1" si="4"/>
        <v>-0.29166666666667002</v>
      </c>
      <c r="U19" s="251">
        <f t="shared" ca="1" si="5"/>
        <v>0.29166666666666669</v>
      </c>
      <c r="V19" s="131"/>
      <c r="W19" s="214" t="e">
        <f t="shared" ca="1" si="8"/>
        <v>#REF!</v>
      </c>
      <c r="AB19" s="345">
        <f t="shared" si="9"/>
        <v>0</v>
      </c>
      <c r="AC19" s="345">
        <f t="shared" si="10"/>
        <v>0</v>
      </c>
    </row>
    <row r="20" spans="1:29" s="19" customFormat="1" ht="12" x14ac:dyDescent="0.2">
      <c r="A20" s="312">
        <f t="shared" si="6"/>
        <v>44546</v>
      </c>
      <c r="B20" s="129">
        <f t="shared" si="0"/>
        <v>44546</v>
      </c>
      <c r="C20" s="262" t="str">
        <f t="shared" si="1"/>
        <v/>
      </c>
      <c r="D20" s="358"/>
      <c r="E20" s="352"/>
      <c r="F20" s="255"/>
      <c r="G20" s="309"/>
      <c r="H20" s="309"/>
      <c r="I20" s="348">
        <f>IFERROR(VLOOKUP(D20&amp;G20,tbl_Entfernung[[Verketten]:[Entfernung]],2,FALSE),"")</f>
        <v>0</v>
      </c>
      <c r="J20" s="361"/>
      <c r="K20" s="352"/>
      <c r="L20" s="309"/>
      <c r="M20" s="309"/>
      <c r="N20" s="321">
        <f>IFERROR(VLOOKUP(G20&amp;L20,tbl_Entfernung[[Verketten]:[Entfernung]],2,FALSE),"")</f>
        <v>0</v>
      </c>
      <c r="O20" s="316">
        <f>IF(S20&gt;PauseGTime,PauseGWert,IF(S20&gt;PauseKTime,PauseKWert,IF(S20&lt;=PauseKTime,0,WENN)))</f>
        <v>0</v>
      </c>
      <c r="P20" s="364"/>
      <c r="Q20" s="356">
        <f t="shared" si="2"/>
        <v>0</v>
      </c>
      <c r="R20" s="225">
        <f t="shared" ca="1" si="3"/>
        <v>0.29166666666666669</v>
      </c>
      <c r="S20" s="225">
        <f t="shared" si="7"/>
        <v>0</v>
      </c>
      <c r="T20" s="130">
        <f t="shared" ca="1" si="4"/>
        <v>-0.29166666666667002</v>
      </c>
      <c r="U20" s="251">
        <f t="shared" ca="1" si="5"/>
        <v>0.29166666666666669</v>
      </c>
      <c r="V20" s="131"/>
      <c r="W20" s="214" t="e">
        <f t="shared" ca="1" si="8"/>
        <v>#REF!</v>
      </c>
      <c r="AB20" s="345">
        <f t="shared" si="9"/>
        <v>0</v>
      </c>
      <c r="AC20" s="345">
        <f t="shared" si="10"/>
        <v>0</v>
      </c>
    </row>
    <row r="21" spans="1:29" s="19" customFormat="1" ht="12" x14ac:dyDescent="0.2">
      <c r="A21" s="312">
        <f t="shared" si="6"/>
        <v>44547</v>
      </c>
      <c r="B21" s="129">
        <f t="shared" si="0"/>
        <v>44547</v>
      </c>
      <c r="C21" s="262" t="str">
        <f t="shared" si="1"/>
        <v/>
      </c>
      <c r="D21" s="358"/>
      <c r="E21" s="352"/>
      <c r="F21" s="255"/>
      <c r="G21" s="309"/>
      <c r="H21" s="309"/>
      <c r="I21" s="348">
        <f>IFERROR(VLOOKUP(D21&amp;G21,tbl_Entfernung[[Verketten]:[Entfernung]],2,FALSE),"")</f>
        <v>0</v>
      </c>
      <c r="J21" s="361"/>
      <c r="K21" s="352"/>
      <c r="L21" s="309"/>
      <c r="M21" s="309"/>
      <c r="N21" s="321">
        <f>IFERROR(VLOOKUP(G21&amp;L21,tbl_Entfernung[[Verketten]:[Entfernung]],2,FALSE),"")</f>
        <v>0</v>
      </c>
      <c r="O21" s="316">
        <f>IF(S21&gt;PauseGTime,PauseGWert,IF(S21&gt;PauseKTime,PauseKWert,IF(S21&lt;=PauseKTime,0,WENN)))</f>
        <v>0</v>
      </c>
      <c r="P21" s="364"/>
      <c r="Q21" s="356">
        <f t="shared" si="2"/>
        <v>0</v>
      </c>
      <c r="R21" s="225">
        <f t="shared" ca="1" si="3"/>
        <v>0.29166666666666669</v>
      </c>
      <c r="S21" s="225">
        <f t="shared" si="7"/>
        <v>0</v>
      </c>
      <c r="T21" s="130">
        <f t="shared" ca="1" si="4"/>
        <v>-0.29166666666667002</v>
      </c>
      <c r="U21" s="251">
        <f t="shared" ca="1" si="5"/>
        <v>0.29166666666666669</v>
      </c>
      <c r="V21" s="131"/>
      <c r="W21" s="214" t="e">
        <f t="shared" ca="1" si="8"/>
        <v>#REF!</v>
      </c>
      <c r="AB21" s="345">
        <f t="shared" si="9"/>
        <v>0</v>
      </c>
      <c r="AC21" s="345">
        <f t="shared" si="10"/>
        <v>0</v>
      </c>
    </row>
    <row r="22" spans="1:29" s="19" customFormat="1" ht="12" x14ac:dyDescent="0.2">
      <c r="A22" s="312">
        <f t="shared" si="6"/>
        <v>44548</v>
      </c>
      <c r="B22" s="129">
        <f t="shared" si="0"/>
        <v>44548</v>
      </c>
      <c r="C22" s="262" t="str">
        <f t="shared" si="1"/>
        <v/>
      </c>
      <c r="D22" s="358"/>
      <c r="E22" s="352"/>
      <c r="F22" s="255"/>
      <c r="G22" s="309"/>
      <c r="H22" s="309"/>
      <c r="I22" s="348">
        <f>IFERROR(VLOOKUP(D22&amp;G22,tbl_Entfernung[[Verketten]:[Entfernung]],2,FALSE),"")</f>
        <v>0</v>
      </c>
      <c r="J22" s="361"/>
      <c r="K22" s="352"/>
      <c r="L22" s="309"/>
      <c r="M22" s="309"/>
      <c r="N22" s="321">
        <f>IFERROR(VLOOKUP(G22&amp;L22,tbl_Entfernung[[Verketten]:[Entfernung]],2,FALSE),"")</f>
        <v>0</v>
      </c>
      <c r="O22" s="316">
        <f>IF(S22&gt;PauseGTime,PauseGWert,IF(S22&gt;PauseKTime,PauseKWert,IF(S22&lt;=PauseKTime,0,WENN)))</f>
        <v>0</v>
      </c>
      <c r="P22" s="364"/>
      <c r="Q22" s="356">
        <f t="shared" si="2"/>
        <v>0</v>
      </c>
      <c r="R22" s="225">
        <f t="shared" ca="1" si="3"/>
        <v>0.29166666666666669</v>
      </c>
      <c r="S22" s="225">
        <f t="shared" si="7"/>
        <v>0</v>
      </c>
      <c r="T22" s="130">
        <f t="shared" ca="1" si="4"/>
        <v>-0.29166666666667002</v>
      </c>
      <c r="U22" s="251">
        <f t="shared" ca="1" si="5"/>
        <v>0.29166666666666669</v>
      </c>
      <c r="V22" s="131"/>
      <c r="W22" s="214" t="e">
        <f t="shared" ca="1" si="8"/>
        <v>#REF!</v>
      </c>
      <c r="AB22" s="345">
        <f t="shared" si="9"/>
        <v>0</v>
      </c>
      <c r="AC22" s="345">
        <f t="shared" si="10"/>
        <v>0</v>
      </c>
    </row>
    <row r="23" spans="1:29" s="19" customFormat="1" ht="12" x14ac:dyDescent="0.2">
      <c r="A23" s="312">
        <f t="shared" si="6"/>
        <v>44549</v>
      </c>
      <c r="B23" s="129">
        <f t="shared" si="0"/>
        <v>44549</v>
      </c>
      <c r="C23" s="262" t="str">
        <f t="shared" si="1"/>
        <v/>
      </c>
      <c r="D23" s="358"/>
      <c r="E23" s="352"/>
      <c r="F23" s="255"/>
      <c r="G23" s="309"/>
      <c r="H23" s="309"/>
      <c r="I23" s="349">
        <f>IFERROR(VLOOKUP(D23&amp;G23,tbl_Entfernung[[Verketten]:[Entfernung]],2,FALSE),"")</f>
        <v>0</v>
      </c>
      <c r="J23" s="361"/>
      <c r="K23" s="352"/>
      <c r="L23" s="309"/>
      <c r="M23" s="309"/>
      <c r="N23" s="322">
        <f>IFERROR(VLOOKUP(G23&amp;L23,tbl_Entfernung[[Verketten]:[Entfernung]],2,FALSE),"")</f>
        <v>0</v>
      </c>
      <c r="O23" s="316">
        <f>IF(S23&gt;PauseGTime,PauseGWert,IF(S23&gt;PauseKTime,PauseKWert,IF(S23&lt;=PauseKTime,0,WENN)))</f>
        <v>0</v>
      </c>
      <c r="P23" s="364"/>
      <c r="Q23" s="356">
        <f t="shared" si="2"/>
        <v>0</v>
      </c>
      <c r="R23" s="225">
        <f t="shared" ca="1" si="3"/>
        <v>0</v>
      </c>
      <c r="S23" s="225">
        <f t="shared" si="7"/>
        <v>0</v>
      </c>
      <c r="T23" s="130">
        <f t="shared" ca="1" si="4"/>
        <v>0</v>
      </c>
      <c r="U23" s="251">
        <f t="shared" ca="1" si="5"/>
        <v>0</v>
      </c>
      <c r="V23" s="131"/>
      <c r="W23" s="214" t="e">
        <f t="shared" ca="1" si="8"/>
        <v>#REF!</v>
      </c>
      <c r="AB23" s="345">
        <f t="shared" si="9"/>
        <v>0</v>
      </c>
      <c r="AC23" s="345">
        <f t="shared" si="10"/>
        <v>0</v>
      </c>
    </row>
    <row r="24" spans="1:29" s="19" customFormat="1" ht="12" x14ac:dyDescent="0.2">
      <c r="A24" s="312">
        <f t="shared" si="6"/>
        <v>44550</v>
      </c>
      <c r="B24" s="129">
        <f t="shared" si="0"/>
        <v>44550</v>
      </c>
      <c r="C24" s="262" t="str">
        <f t="shared" si="1"/>
        <v/>
      </c>
      <c r="D24" s="358"/>
      <c r="E24" s="352"/>
      <c r="F24" s="255"/>
      <c r="G24" s="309"/>
      <c r="H24" s="309"/>
      <c r="I24" s="349">
        <f>IFERROR(VLOOKUP(D24&amp;G24,tbl_Entfernung[[Verketten]:[Entfernung]],2,FALSE),"")</f>
        <v>0</v>
      </c>
      <c r="J24" s="361"/>
      <c r="K24" s="352"/>
      <c r="L24" s="309"/>
      <c r="M24" s="309"/>
      <c r="N24" s="322">
        <f>IFERROR(VLOOKUP(G24&amp;L24,tbl_Entfernung[[Verketten]:[Entfernung]],2,FALSE),"")</f>
        <v>0</v>
      </c>
      <c r="O24" s="316">
        <f>IF(S24&gt;PauseGTime,PauseGWert,IF(S24&gt;PauseKTime,PauseKWert,IF(S24&lt;=PauseKTime,0,WENN)))</f>
        <v>0</v>
      </c>
      <c r="P24" s="364"/>
      <c r="Q24" s="356">
        <f t="shared" si="2"/>
        <v>0</v>
      </c>
      <c r="R24" s="225">
        <f t="shared" ca="1" si="3"/>
        <v>0</v>
      </c>
      <c r="S24" s="225">
        <f t="shared" si="7"/>
        <v>0</v>
      </c>
      <c r="T24" s="130">
        <f t="shared" ca="1" si="4"/>
        <v>0</v>
      </c>
      <c r="U24" s="251">
        <f t="shared" ca="1" si="5"/>
        <v>0</v>
      </c>
      <c r="V24" s="131"/>
      <c r="W24" s="214" t="e">
        <f t="shared" ca="1" si="8"/>
        <v>#REF!</v>
      </c>
      <c r="AB24" s="345">
        <f t="shared" si="9"/>
        <v>0</v>
      </c>
      <c r="AC24" s="345">
        <f t="shared" si="10"/>
        <v>0</v>
      </c>
    </row>
    <row r="25" spans="1:29" s="19" customFormat="1" ht="12" x14ac:dyDescent="0.2">
      <c r="A25" s="312">
        <f t="shared" si="6"/>
        <v>44551</v>
      </c>
      <c r="B25" s="129">
        <f t="shared" si="0"/>
        <v>44551</v>
      </c>
      <c r="C25" s="262" t="str">
        <f t="shared" si="1"/>
        <v/>
      </c>
      <c r="D25" s="358"/>
      <c r="E25" s="352"/>
      <c r="F25" s="255"/>
      <c r="G25" s="309"/>
      <c r="H25" s="309"/>
      <c r="I25" s="348">
        <f>IFERROR(VLOOKUP(D25&amp;G25,tbl_Entfernung[[Verketten]:[Entfernung]],2,FALSE),"")</f>
        <v>0</v>
      </c>
      <c r="J25" s="361"/>
      <c r="K25" s="352"/>
      <c r="L25" s="309"/>
      <c r="M25" s="309"/>
      <c r="N25" s="321">
        <f>IFERROR(VLOOKUP(G25&amp;L25,tbl_Entfernung[[Verketten]:[Entfernung]],2,FALSE),"")</f>
        <v>0</v>
      </c>
      <c r="O25" s="316">
        <f>IF(S25&gt;PauseGTime,PauseGWert,IF(S25&gt;PauseKTime,PauseKWert,IF(S25&lt;=PauseKTime,0,WENN)))</f>
        <v>0</v>
      </c>
      <c r="P25" s="364"/>
      <c r="Q25" s="356">
        <f t="shared" si="2"/>
        <v>0</v>
      </c>
      <c r="R25" s="225">
        <f t="shared" ca="1" si="3"/>
        <v>0.29166666666666669</v>
      </c>
      <c r="S25" s="225">
        <f t="shared" si="7"/>
        <v>0</v>
      </c>
      <c r="T25" s="130">
        <f t="shared" ca="1" si="4"/>
        <v>-0.29166666666667002</v>
      </c>
      <c r="U25" s="251">
        <f t="shared" ca="1" si="5"/>
        <v>0.29166666666666669</v>
      </c>
      <c r="V25" s="131"/>
      <c r="W25" s="214" t="e">
        <f t="shared" ca="1" si="8"/>
        <v>#REF!</v>
      </c>
      <c r="AB25" s="345">
        <f t="shared" si="9"/>
        <v>0</v>
      </c>
      <c r="AC25" s="345">
        <f t="shared" si="10"/>
        <v>0</v>
      </c>
    </row>
    <row r="26" spans="1:29" s="19" customFormat="1" ht="12" x14ac:dyDescent="0.2">
      <c r="A26" s="312">
        <f t="shared" si="6"/>
        <v>44552</v>
      </c>
      <c r="B26" s="129">
        <f t="shared" si="0"/>
        <v>44552</v>
      </c>
      <c r="C26" s="262" t="str">
        <f t="shared" si="1"/>
        <v/>
      </c>
      <c r="D26" s="358"/>
      <c r="E26" s="352"/>
      <c r="F26" s="255"/>
      <c r="G26" s="309"/>
      <c r="H26" s="309"/>
      <c r="I26" s="348">
        <f>IFERROR(VLOOKUP(D26&amp;G26,tbl_Entfernung[[Verketten]:[Entfernung]],2,FALSE),"")</f>
        <v>0</v>
      </c>
      <c r="J26" s="361"/>
      <c r="K26" s="352"/>
      <c r="L26" s="309"/>
      <c r="M26" s="309"/>
      <c r="N26" s="321">
        <f>IFERROR(VLOOKUP(G26&amp;L26,tbl_Entfernung[[Verketten]:[Entfernung]],2,FALSE),"")</f>
        <v>0</v>
      </c>
      <c r="O26" s="316">
        <f>IF(S26&gt;PauseGTime,PauseGWert,IF(S26&gt;PauseKTime,PauseKWert,IF(S26&lt;=PauseKTime,0,WENN)))</f>
        <v>0</v>
      </c>
      <c r="P26" s="364"/>
      <c r="Q26" s="356">
        <f t="shared" si="2"/>
        <v>0</v>
      </c>
      <c r="R26" s="225">
        <f t="shared" ca="1" si="3"/>
        <v>0.29166666666666669</v>
      </c>
      <c r="S26" s="225">
        <f t="shared" si="7"/>
        <v>0</v>
      </c>
      <c r="T26" s="130">
        <f t="shared" ca="1" si="4"/>
        <v>-0.29166666666667002</v>
      </c>
      <c r="U26" s="251">
        <f t="shared" ca="1" si="5"/>
        <v>0.29166666666666669</v>
      </c>
      <c r="V26" s="131"/>
      <c r="W26" s="214" t="e">
        <f t="shared" ca="1" si="8"/>
        <v>#REF!</v>
      </c>
      <c r="AB26" s="345">
        <f t="shared" si="9"/>
        <v>0</v>
      </c>
      <c r="AC26" s="345">
        <f t="shared" si="10"/>
        <v>0</v>
      </c>
    </row>
    <row r="27" spans="1:29" s="19" customFormat="1" ht="12" x14ac:dyDescent="0.2">
      <c r="A27" s="312">
        <f t="shared" si="6"/>
        <v>44553</v>
      </c>
      <c r="B27" s="129">
        <f t="shared" si="0"/>
        <v>44553</v>
      </c>
      <c r="C27" s="262" t="str">
        <f t="shared" si="1"/>
        <v>Heiliger Abend</v>
      </c>
      <c r="D27" s="358"/>
      <c r="E27" s="352"/>
      <c r="F27" s="255"/>
      <c r="G27" s="309"/>
      <c r="H27" s="309"/>
      <c r="I27" s="348">
        <f>IFERROR(VLOOKUP(D27&amp;G27,tbl_Entfernung[[Verketten]:[Entfernung]],2,FALSE),"")</f>
        <v>0</v>
      </c>
      <c r="J27" s="361"/>
      <c r="K27" s="352"/>
      <c r="L27" s="309"/>
      <c r="M27" s="309"/>
      <c r="N27" s="321">
        <f>IFERROR(VLOOKUP(G27&amp;L27,tbl_Entfernung[[Verketten]:[Entfernung]],2,FALSE),"")</f>
        <v>0</v>
      </c>
      <c r="O27" s="316">
        <f>IF(S27&gt;PauseGTime,PauseGWert,IF(S27&gt;PauseKTime,PauseKWert,IF(S27&lt;=PauseKTime,0,WENN)))</f>
        <v>0</v>
      </c>
      <c r="P27" s="364"/>
      <c r="Q27" s="356">
        <f t="shared" si="2"/>
        <v>0</v>
      </c>
      <c r="R27" s="225">
        <f t="shared" ca="1" si="3"/>
        <v>0.14583333333333334</v>
      </c>
      <c r="S27" s="225">
        <f t="shared" si="7"/>
        <v>0</v>
      </c>
      <c r="T27" s="130">
        <f t="shared" ca="1" si="4"/>
        <v>-0.14583333333333001</v>
      </c>
      <c r="U27" s="251">
        <f t="shared" ca="1" si="5"/>
        <v>0.29166666666666669</v>
      </c>
      <c r="V27" s="131"/>
      <c r="W27" s="214" t="e">
        <f t="shared" ca="1" si="8"/>
        <v>#REF!</v>
      </c>
      <c r="AB27" s="345">
        <f t="shared" si="9"/>
        <v>0</v>
      </c>
      <c r="AC27" s="345">
        <f t="shared" si="10"/>
        <v>0</v>
      </c>
    </row>
    <row r="28" spans="1:29" s="19" customFormat="1" ht="12" x14ac:dyDescent="0.2">
      <c r="A28" s="312">
        <f t="shared" si="6"/>
        <v>44554</v>
      </c>
      <c r="B28" s="129">
        <f t="shared" si="0"/>
        <v>44554</v>
      </c>
      <c r="C28" s="262" t="str">
        <f t="shared" si="1"/>
        <v>1.Weihnachtsfeiertag</v>
      </c>
      <c r="D28" s="358"/>
      <c r="E28" s="352"/>
      <c r="F28" s="255"/>
      <c r="G28" s="309"/>
      <c r="H28" s="309"/>
      <c r="I28" s="348">
        <f>IFERROR(VLOOKUP(D28&amp;G28,tbl_Entfernung[[Verketten]:[Entfernung]],2,FALSE),"")</f>
        <v>0</v>
      </c>
      <c r="J28" s="361"/>
      <c r="K28" s="352"/>
      <c r="L28" s="309"/>
      <c r="M28" s="309"/>
      <c r="N28" s="321">
        <f>IFERROR(VLOOKUP(G28&amp;L28,tbl_Entfernung[[Verketten]:[Entfernung]],2,FALSE),"")</f>
        <v>0</v>
      </c>
      <c r="O28" s="316">
        <f>IF(S28&gt;PauseGTime,PauseGWert,IF(S28&gt;PauseKTime,PauseKWert,IF(S28&lt;=PauseKTime,0,WENN)))</f>
        <v>0</v>
      </c>
      <c r="P28" s="364"/>
      <c r="Q28" s="356">
        <f t="shared" si="2"/>
        <v>0</v>
      </c>
      <c r="R28" s="225">
        <f t="shared" ca="1" si="3"/>
        <v>0</v>
      </c>
      <c r="S28" s="225">
        <f t="shared" si="7"/>
        <v>0</v>
      </c>
      <c r="T28" s="130">
        <f t="shared" ca="1" si="4"/>
        <v>0</v>
      </c>
      <c r="U28" s="251">
        <f t="shared" ca="1" si="5"/>
        <v>0.29166666666666669</v>
      </c>
      <c r="V28" s="131"/>
      <c r="W28" s="214" t="e">
        <f t="shared" ca="1" si="8"/>
        <v>#REF!</v>
      </c>
      <c r="AB28" s="345">
        <f t="shared" si="9"/>
        <v>0</v>
      </c>
      <c r="AC28" s="345">
        <f t="shared" si="10"/>
        <v>0</v>
      </c>
    </row>
    <row r="29" spans="1:29" s="19" customFormat="1" ht="12" x14ac:dyDescent="0.2">
      <c r="A29" s="312">
        <f t="shared" si="6"/>
        <v>44555</v>
      </c>
      <c r="B29" s="129">
        <f t="shared" si="0"/>
        <v>44555</v>
      </c>
      <c r="C29" s="262" t="str">
        <f t="shared" si="1"/>
        <v>2.Weihnachtsfeiertag</v>
      </c>
      <c r="D29" s="358"/>
      <c r="E29" s="352"/>
      <c r="F29" s="255"/>
      <c r="G29" s="309"/>
      <c r="H29" s="309"/>
      <c r="I29" s="348">
        <f>IFERROR(VLOOKUP(D29&amp;G29,tbl_Entfernung[[Verketten]:[Entfernung]],2,FALSE),"")</f>
        <v>0</v>
      </c>
      <c r="J29" s="361"/>
      <c r="K29" s="352"/>
      <c r="L29" s="309"/>
      <c r="M29" s="309"/>
      <c r="N29" s="321">
        <f>IFERROR(VLOOKUP(G29&amp;L29,tbl_Entfernung[[Verketten]:[Entfernung]],2,FALSE),"")</f>
        <v>0</v>
      </c>
      <c r="O29" s="316">
        <f>IF(S29&gt;PauseGTime,PauseGWert,IF(S29&gt;PauseKTime,PauseKWert,IF(S29&lt;=PauseKTime,0,WENN)))</f>
        <v>0</v>
      </c>
      <c r="P29" s="364"/>
      <c r="Q29" s="356">
        <f t="shared" si="2"/>
        <v>0</v>
      </c>
      <c r="R29" s="225">
        <f t="shared" ca="1" si="3"/>
        <v>0</v>
      </c>
      <c r="S29" s="225">
        <f t="shared" si="7"/>
        <v>0</v>
      </c>
      <c r="T29" s="130">
        <f t="shared" ca="1" si="4"/>
        <v>0</v>
      </c>
      <c r="U29" s="251">
        <f t="shared" ca="1" si="5"/>
        <v>0.29166666666666669</v>
      </c>
      <c r="V29" s="131"/>
      <c r="W29" s="214" t="e">
        <f t="shared" ca="1" si="8"/>
        <v>#REF!</v>
      </c>
      <c r="AB29" s="345">
        <f t="shared" si="9"/>
        <v>0</v>
      </c>
      <c r="AC29" s="345">
        <f t="shared" si="10"/>
        <v>0</v>
      </c>
    </row>
    <row r="30" spans="1:29" s="19" customFormat="1" ht="12" x14ac:dyDescent="0.2">
      <c r="A30" s="312">
        <f t="shared" si="6"/>
        <v>44556</v>
      </c>
      <c r="B30" s="129">
        <f t="shared" si="0"/>
        <v>44556</v>
      </c>
      <c r="C30" s="262" t="str">
        <f t="shared" si="1"/>
        <v/>
      </c>
      <c r="D30" s="358"/>
      <c r="E30" s="352"/>
      <c r="F30" s="255"/>
      <c r="G30" s="309"/>
      <c r="H30" s="309"/>
      <c r="I30" s="349">
        <f>IFERROR(VLOOKUP(D30&amp;G30,tbl_Entfernung[[Verketten]:[Entfernung]],2,FALSE),"")</f>
        <v>0</v>
      </c>
      <c r="J30" s="361"/>
      <c r="K30" s="352"/>
      <c r="L30" s="309"/>
      <c r="M30" s="309"/>
      <c r="N30" s="322">
        <f>IFERROR(VLOOKUP(G30&amp;L30,tbl_Entfernung[[Verketten]:[Entfernung]],2,FALSE),"")</f>
        <v>0</v>
      </c>
      <c r="O30" s="316">
        <f>IF(S30&gt;PauseGTime,PauseGWert,IF(S30&gt;PauseKTime,PauseKWert,IF(S30&lt;=PauseKTime,0,WENN)))</f>
        <v>0</v>
      </c>
      <c r="P30" s="364"/>
      <c r="Q30" s="356">
        <f t="shared" si="2"/>
        <v>0</v>
      </c>
      <c r="R30" s="225">
        <f t="shared" ca="1" si="3"/>
        <v>0</v>
      </c>
      <c r="S30" s="225">
        <f t="shared" si="7"/>
        <v>0</v>
      </c>
      <c r="T30" s="130">
        <f t="shared" ca="1" si="4"/>
        <v>0</v>
      </c>
      <c r="U30" s="251">
        <f t="shared" ca="1" si="5"/>
        <v>0</v>
      </c>
      <c r="V30" s="131"/>
      <c r="W30" s="214" t="e">
        <f t="shared" ca="1" si="8"/>
        <v>#REF!</v>
      </c>
      <c r="AB30" s="345">
        <f t="shared" si="9"/>
        <v>0</v>
      </c>
      <c r="AC30" s="345">
        <f t="shared" si="10"/>
        <v>0</v>
      </c>
    </row>
    <row r="31" spans="1:29" s="19" customFormat="1" ht="12" x14ac:dyDescent="0.2">
      <c r="A31" s="312">
        <f t="shared" si="6"/>
        <v>44557</v>
      </c>
      <c r="B31" s="129">
        <f t="shared" si="0"/>
        <v>44557</v>
      </c>
      <c r="C31" s="262" t="str">
        <f t="shared" si="1"/>
        <v/>
      </c>
      <c r="D31" s="358"/>
      <c r="E31" s="352"/>
      <c r="F31" s="255"/>
      <c r="G31" s="309"/>
      <c r="H31" s="309"/>
      <c r="I31" s="349">
        <f>IFERROR(VLOOKUP(D31&amp;G31,tbl_Entfernung[[Verketten]:[Entfernung]],2,FALSE),"")</f>
        <v>0</v>
      </c>
      <c r="J31" s="361"/>
      <c r="K31" s="352"/>
      <c r="L31" s="309"/>
      <c r="M31" s="309"/>
      <c r="N31" s="322">
        <f>IFERROR(VLOOKUP(G31&amp;L31,tbl_Entfernung[[Verketten]:[Entfernung]],2,FALSE),"")</f>
        <v>0</v>
      </c>
      <c r="O31" s="316">
        <f>IF(S31&gt;PauseGTime,PauseGWert,IF(S31&gt;PauseKTime,PauseKWert,IF(S31&lt;=PauseKTime,0,WENN)))</f>
        <v>0</v>
      </c>
      <c r="P31" s="364"/>
      <c r="Q31" s="356">
        <f t="shared" si="2"/>
        <v>0</v>
      </c>
      <c r="R31" s="225">
        <f t="shared" ca="1" si="3"/>
        <v>0</v>
      </c>
      <c r="S31" s="225">
        <f t="shared" si="7"/>
        <v>0</v>
      </c>
      <c r="T31" s="130">
        <f t="shared" ca="1" si="4"/>
        <v>0</v>
      </c>
      <c r="U31" s="251">
        <f t="shared" ca="1" si="5"/>
        <v>0</v>
      </c>
      <c r="V31" s="131"/>
      <c r="W31" s="214" t="e">
        <f t="shared" ca="1" si="8"/>
        <v>#REF!</v>
      </c>
      <c r="AB31" s="345">
        <f t="shared" si="9"/>
        <v>0</v>
      </c>
      <c r="AC31" s="345">
        <f t="shared" si="10"/>
        <v>0</v>
      </c>
    </row>
    <row r="32" spans="1:29" s="19" customFormat="1" ht="12" x14ac:dyDescent="0.2">
      <c r="A32" s="312">
        <f>IF(MONTH(A31+1)&gt;MONTH(A31),"",A31+1)</f>
        <v>44558</v>
      </c>
      <c r="B32" s="129">
        <f t="shared" si="0"/>
        <v>44558</v>
      </c>
      <c r="C32" s="262" t="str">
        <f>IF(ISERROR(VLOOKUP(A32,Feiertage,2,FALSE)),"",(VLOOKUP(A32,Feiertage,2,FALSE)))</f>
        <v/>
      </c>
      <c r="D32" s="358"/>
      <c r="E32" s="352"/>
      <c r="F32" s="255"/>
      <c r="G32" s="309"/>
      <c r="H32" s="309"/>
      <c r="I32" s="349">
        <f>IFERROR(VLOOKUP(D32&amp;G32,tbl_Entfernung[[Verketten]:[Entfernung]],2,FALSE),"")</f>
        <v>0</v>
      </c>
      <c r="J32" s="361"/>
      <c r="K32" s="352"/>
      <c r="L32" s="309"/>
      <c r="M32" s="309"/>
      <c r="N32" s="322">
        <f>IFERROR(VLOOKUP(G32&amp;L32,tbl_Entfernung[[Verketten]:[Entfernung]],2,FALSE),"")</f>
        <v>0</v>
      </c>
      <c r="O32" s="316">
        <f>IF(S32&gt;PauseGTime,PauseGWert,IF(S32&gt;PauseKTime,PauseKWert,IF(S32&lt;=PauseKTime,0,WENN)))</f>
        <v>0</v>
      </c>
      <c r="P32" s="364"/>
      <c r="Q32" s="356">
        <f t="shared" si="2"/>
        <v>0</v>
      </c>
      <c r="R32" s="225">
        <f t="shared" ca="1" si="3"/>
        <v>0.29166666666666669</v>
      </c>
      <c r="S32" s="225">
        <f t="shared" si="7"/>
        <v>0</v>
      </c>
      <c r="T32" s="130">
        <f t="shared" ca="1" si="4"/>
        <v>-0.29166666666667002</v>
      </c>
      <c r="U32" s="251">
        <f t="shared" ca="1" si="5"/>
        <v>0.29166666666666669</v>
      </c>
      <c r="V32" s="131"/>
      <c r="W32" s="214" t="e">
        <f t="shared" ca="1" si="8"/>
        <v>#REF!</v>
      </c>
      <c r="AB32" s="345">
        <f t="shared" si="9"/>
        <v>0</v>
      </c>
      <c r="AC32" s="345">
        <f t="shared" si="10"/>
        <v>0</v>
      </c>
    </row>
    <row r="33" spans="1:29" s="19" customFormat="1" ht="12" x14ac:dyDescent="0.2">
      <c r="A33" s="312">
        <f>IF(MONTH(A31+2)&gt;MONTH(A31),"",A31+2)</f>
        <v>44559</v>
      </c>
      <c r="B33" s="129">
        <f t="shared" si="0"/>
        <v>44559</v>
      </c>
      <c r="C33" s="262" t="str">
        <f>IF(ISERROR(VLOOKUP(A33,Feiertage,2,FALSE)),"",(VLOOKUP(A33,Feiertage,2,FALSE)))</f>
        <v/>
      </c>
      <c r="D33" s="358"/>
      <c r="E33" s="352"/>
      <c r="F33" s="255"/>
      <c r="G33" s="309"/>
      <c r="H33" s="309"/>
      <c r="I33" s="349">
        <f>IFERROR(VLOOKUP(D33&amp;G33,tbl_Entfernung[[Verketten]:[Entfernung]],2,FALSE),"")</f>
        <v>0</v>
      </c>
      <c r="J33" s="361"/>
      <c r="K33" s="352"/>
      <c r="L33" s="309"/>
      <c r="M33" s="309"/>
      <c r="N33" s="322">
        <f>IFERROR(VLOOKUP(G33&amp;L33,tbl_Entfernung[[Verketten]:[Entfernung]],2,FALSE),"")</f>
        <v>0</v>
      </c>
      <c r="O33" s="316">
        <f>IF(S33&gt;PauseGTime,PauseGWert,IF(S33&gt;PauseKTime,PauseKWert,IF(S33&lt;=PauseKTime,0,WENN)))</f>
        <v>0</v>
      </c>
      <c r="P33" s="364"/>
      <c r="Q33" s="356">
        <f t="shared" si="2"/>
        <v>0</v>
      </c>
      <c r="R33" s="225">
        <f t="shared" ca="1" si="3"/>
        <v>0.29166666666666669</v>
      </c>
      <c r="S33" s="225">
        <f t="shared" si="7"/>
        <v>0</v>
      </c>
      <c r="T33" s="130">
        <f t="shared" ca="1" si="4"/>
        <v>-0.29166666666667002</v>
      </c>
      <c r="U33" s="251">
        <f t="shared" ca="1" si="5"/>
        <v>0.29166666666666669</v>
      </c>
      <c r="V33" s="131"/>
      <c r="W33" s="214" t="e">
        <f t="shared" ca="1" si="8"/>
        <v>#REF!</v>
      </c>
      <c r="AB33" s="345">
        <f t="shared" si="9"/>
        <v>0</v>
      </c>
      <c r="AC33" s="345">
        <f t="shared" si="10"/>
        <v>0</v>
      </c>
    </row>
    <row r="34" spans="1:29" s="19" customFormat="1" ht="12" x14ac:dyDescent="0.2">
      <c r="A34" s="313">
        <f>IF(MONTH(A31+3)&gt;MONTH(A31),"",A31+3)</f>
        <v>44560</v>
      </c>
      <c r="B34" s="215">
        <f t="shared" si="0"/>
        <v>44560</v>
      </c>
      <c r="C34" s="263" t="str">
        <f>IF(ISERROR(VLOOKUP(A34,Feiertage,2,FALSE)),"",(VLOOKUP(A34,Feiertage,2,FALSE)))</f>
        <v>Silvester</v>
      </c>
      <c r="D34" s="359"/>
      <c r="E34" s="353"/>
      <c r="F34" s="256"/>
      <c r="G34" s="310"/>
      <c r="H34" s="310"/>
      <c r="I34" s="350">
        <f>IFERROR(VLOOKUP(D34&amp;G34,tbl_Entfernung[[Verketten]:[Entfernung]],2,FALSE),"")</f>
        <v>0</v>
      </c>
      <c r="J34" s="362"/>
      <c r="K34" s="354"/>
      <c r="L34" s="310"/>
      <c r="M34" s="310"/>
      <c r="N34" s="323">
        <f>IFERROR(VLOOKUP(G34&amp;L34,tbl_Entfernung[[Verketten]:[Entfernung]],2,FALSE),"")</f>
        <v>0</v>
      </c>
      <c r="O34" s="317">
        <f>IF(S34&gt;PauseGTime,PauseGWert,IF(S34&gt;PauseKTime,PauseKWert,IF(S34&lt;=PauseKTime,0,WENN)))</f>
        <v>0</v>
      </c>
      <c r="P34" s="365"/>
      <c r="Q34" s="357">
        <f t="shared" si="2"/>
        <v>0</v>
      </c>
      <c r="R34" s="226">
        <f t="shared" ca="1" si="3"/>
        <v>0.14583333333333334</v>
      </c>
      <c r="S34" s="226">
        <f t="shared" si="7"/>
        <v>0</v>
      </c>
      <c r="T34" s="216">
        <f t="shared" ca="1" si="4"/>
        <v>-0.14583333333333001</v>
      </c>
      <c r="U34" s="252">
        <f t="shared" ca="1" si="5"/>
        <v>0.29166666666666669</v>
      </c>
      <c r="V34" s="217"/>
      <c r="W34" s="218" t="e">
        <f t="shared" ca="1" si="8"/>
        <v>#REF!</v>
      </c>
      <c r="AB34" s="345">
        <f t="shared" si="9"/>
        <v>0</v>
      </c>
      <c r="AC34" s="345">
        <f t="shared" si="10"/>
        <v>0</v>
      </c>
    </row>
    <row r="35" spans="1:29" s="19" customFormat="1" ht="4.5" customHeight="1" x14ac:dyDescent="0.2">
      <c r="B35" s="48"/>
      <c r="C35" s="48"/>
      <c r="D35" s="48"/>
      <c r="E35" s="48"/>
      <c r="F35" s="49"/>
      <c r="G35" s="49"/>
      <c r="H35" s="49"/>
      <c r="I35" s="49"/>
      <c r="J35" s="49"/>
      <c r="K35" s="49"/>
      <c r="L35" s="50"/>
      <c r="M35" s="50"/>
      <c r="N35" s="50"/>
      <c r="O35" s="50"/>
      <c r="P35" s="50"/>
      <c r="Q35" s="49"/>
      <c r="R35" s="51"/>
      <c r="S35" s="51"/>
      <c r="T35" s="51"/>
      <c r="U35" s="1"/>
      <c r="V35" s="1"/>
      <c r="W35" s="1"/>
    </row>
    <row r="36" spans="1:29" ht="12.75" customHeight="1" x14ac:dyDescent="0.2">
      <c r="A36" s="132"/>
      <c r="B36" s="133"/>
      <c r="C36" s="133"/>
      <c r="D36" s="290"/>
      <c r="E36" s="272"/>
      <c r="F36" s="291" t="str">
        <f>"Übertrag "&amp;TEXT(DATE(YEAR(A1),MONTH(A1)-1,1),"MMMM JJJJ")&amp;":"</f>
        <v>Übertrag November 2025:</v>
      </c>
      <c r="G36" s="272"/>
      <c r="H36" s="272"/>
      <c r="I36" s="272"/>
      <c r="J36" s="292" t="e">
        <f ca="1">November!J40</f>
        <v>#REF!</v>
      </c>
      <c r="K36" s="287"/>
      <c r="P36" s="293">
        <f>COUNTIF(P4:P34,Voreinstellungen!B21)+IF(COUNTIF(P4:P34,Voreinstellungen!B22)&gt;0,1-(SUMIF(P4:P34,Voreinstellungen!B22,R4:R34)/SUMIF(P4:P34,Voreinstellungen!B22,U4:U34)),0)</f>
        <v>0</v>
      </c>
      <c r="Q36" s="325" t="str">
        <f>Voreinstellungen!A21&amp;" ("&amp;Voreinstellungen!B21&amp;"/"&amp;Voreinstellungen!B22&amp;")"</f>
        <v>Krank (K/KK)</v>
      </c>
      <c r="R36" s="326"/>
      <c r="S36" s="326"/>
      <c r="T36" s="326"/>
      <c r="U36" s="326"/>
      <c r="V36" s="326"/>
      <c r="W36" s="173">
        <f>(SUMIF(P4:P34,Voreinstellungen!B21,R4:R34)-SUMIF(P4:P34,Voreinstellungen!B21,U4:U34)+SUMIF(P4:P34,Voreinstellungen!B22,R4:R34)-SUMIF(P4:P34,Voreinstellungen!B22,U4:U34))*-1</f>
        <v>0</v>
      </c>
      <c r="Y36" s="372" t="s">
        <v>145</v>
      </c>
      <c r="Z36" s="385" t="s">
        <v>150</v>
      </c>
      <c r="AA36" s="385" t="s">
        <v>151</v>
      </c>
      <c r="AB36" s="386" t="s">
        <v>152</v>
      </c>
    </row>
    <row r="37" spans="1:29" ht="12.75" customHeight="1" x14ac:dyDescent="0.2">
      <c r="A37" s="134"/>
      <c r="B37" s="135"/>
      <c r="C37" s="135"/>
      <c r="D37" s="135"/>
      <c r="E37" s="136"/>
      <c r="F37" s="294" t="str">
        <f>"SOLL Arbeitszeit ("&amp;TEXT(A1,"MMMM")&amp;"):"</f>
        <v>SOLL Arbeitszeit (Dezember):</v>
      </c>
      <c r="G37" s="136"/>
      <c r="H37" s="136"/>
      <c r="I37" s="136"/>
      <c r="J37" s="295">
        <f ca="1">SUM(R4:R34)</f>
        <v>5.8333333333333339</v>
      </c>
      <c r="K37" s="287"/>
      <c r="P37" s="296">
        <f>COUNTIF(P4:P34,Voreinstellungen!B25)+(COUNTIF(P4:P34,Voreinstellungen!B26)*Voreinstellungen!C26)</f>
        <v>0</v>
      </c>
      <c r="Q37" s="327" t="str">
        <f>Voreinstellungen!A25&amp;" ("&amp;Voreinstellungen!B25&amp;"/"&amp;Voreinstellungen!B26&amp;") aktuell noch Verfügbar: "&amp;Voreinstellungen!C38&amp;" Tag(e)"</f>
        <v>Urlaub (U/UH) aktuell noch Verfügbar: 27 Tag(e)</v>
      </c>
      <c r="R37" s="328"/>
      <c r="S37" s="328"/>
      <c r="T37" s="328"/>
      <c r="U37" s="328"/>
      <c r="V37" s="328"/>
      <c r="W37" s="167">
        <f>SUMIF(P4:P34,Voreinstellungen!B25,U4:U34)+(SUMIF(P4:P34,Voreinstellungen!B26,U4:U34)*0.5)</f>
        <v>0</v>
      </c>
      <c r="Y37" s="374">
        <f>Voreinstellungen!J45</f>
        <v>0</v>
      </c>
      <c r="Z37" s="377">
        <f t="shared" ref="Z37:Z49" si="11">SUMIFS($AB$4:$AB$34,$G$4:$G$34,$Y37)+SUMIFS($AC$4:$AC$34,$L$4:$L$34,$Y37)</f>
        <v>0</v>
      </c>
      <c r="AA37" s="378">
        <f t="shared" ref="AA37:AA49" si="12">SUMIFS($I$4:$I$34,$G$4:$G$34,$Y37)+SUMIFS($N$4:$N$34,$L$4:$L$34,$Y37)</f>
        <v>0</v>
      </c>
      <c r="AB37" s="379">
        <f>SUM(AA37*Voreinstellungen!$C$44)</f>
        <v>0</v>
      </c>
    </row>
    <row r="38" spans="1:29" ht="12.75" customHeight="1" x14ac:dyDescent="0.2">
      <c r="A38" s="137"/>
      <c r="B38" s="138"/>
      <c r="C38" s="138"/>
      <c r="D38" s="138"/>
      <c r="E38" s="136"/>
      <c r="F38" s="294" t="str">
        <f>"IST Arbeitszeit ("&amp;TEXT(A1,"MMMM")&amp;"):"</f>
        <v>IST Arbeitszeit (Dezember):</v>
      </c>
      <c r="G38" s="273"/>
      <c r="H38" s="273"/>
      <c r="I38" s="273"/>
      <c r="J38" s="297">
        <f>SUM(Q4:Q34)</f>
        <v>0</v>
      </c>
      <c r="K38" s="287"/>
      <c r="P38" s="296">
        <f>COUNTIF(P4:P34,Voreinstellungen!B20)</f>
        <v>0</v>
      </c>
      <c r="Q38" s="327" t="str">
        <f>Voreinstellungen!A20&amp;" ("&amp;Voreinstellungen!B20&amp;")"</f>
        <v>Gleittag (G)</v>
      </c>
      <c r="R38" s="328"/>
      <c r="S38" s="328"/>
      <c r="T38" s="328"/>
      <c r="U38" s="328"/>
      <c r="V38" s="328"/>
      <c r="W38" s="172"/>
      <c r="Y38" s="375">
        <f>Voreinstellungen!J46</f>
        <v>0</v>
      </c>
      <c r="Z38" s="380">
        <f t="shared" si="11"/>
        <v>0</v>
      </c>
      <c r="AA38" s="380">
        <f t="shared" si="12"/>
        <v>0</v>
      </c>
      <c r="AB38" s="381">
        <f>SUM(AA38*Voreinstellungen!$C$44)</f>
        <v>0</v>
      </c>
    </row>
    <row r="39" spans="1:29" ht="12.75" customHeight="1" x14ac:dyDescent="0.2">
      <c r="A39" s="137"/>
      <c r="B39" s="138"/>
      <c r="C39" s="138"/>
      <c r="D39" s="138"/>
      <c r="E39" s="136"/>
      <c r="F39" s="136" t="s">
        <v>84</v>
      </c>
      <c r="G39" s="274"/>
      <c r="H39" s="274"/>
      <c r="I39" s="274"/>
      <c r="J39" s="298"/>
      <c r="K39" s="287"/>
      <c r="P39" s="296">
        <f>COUNTIF(P4:P34,Voreinstellungen!B23)+IF(SUMIF(P4:P34,Voreinstellungen!B24,U4:U34)&lt;&gt;0,(1-(SUMIF(P4:P34,Voreinstellungen!B24,R4:R34)/SUMIF(P4:P34,Voreinstellungen!B24,U4:U34)))*COUNTIF(P4:P34,Voreinstellungen!B24),0)</f>
        <v>0</v>
      </c>
      <c r="Q39" s="327" t="str">
        <f>Voreinstellungen!A23&amp;" ("&amp;Voreinstellungen!B23&amp;")/("&amp;Voreinstellungen!B24&amp;")"</f>
        <v>Kurzarbeit (KU)/(KA)</v>
      </c>
      <c r="R39" s="329"/>
      <c r="S39" s="329"/>
      <c r="T39" s="329"/>
      <c r="U39" s="329"/>
      <c r="V39" s="329"/>
      <c r="W39" s="166">
        <f>(SUMIF(P4:P34,Voreinstellungen!B23,R4:R34)-SUMIF(P4:P34,Voreinstellungen!B23,U4:U34)+SUMIF(P4:P34,Voreinstellungen!B24,R4:R34)-SUMIF(P4:P34,Voreinstellungen!B24,U4:U34))*-1</f>
        <v>0</v>
      </c>
      <c r="Y39" s="375">
        <f>Voreinstellungen!J48</f>
        <v>0</v>
      </c>
      <c r="Z39" s="380">
        <f t="shared" si="11"/>
        <v>0</v>
      </c>
      <c r="AA39" s="380">
        <f t="shared" si="12"/>
        <v>0</v>
      </c>
      <c r="AB39" s="381">
        <f>SUM(AA39*Voreinstellungen!$C$44)</f>
        <v>0</v>
      </c>
    </row>
    <row r="40" spans="1:29" ht="12.75" customHeight="1" x14ac:dyDescent="0.2">
      <c r="A40" s="139"/>
      <c r="B40" s="140"/>
      <c r="C40" s="140"/>
      <c r="D40" s="140"/>
      <c r="E40" s="141"/>
      <c r="F40" s="299" t="s">
        <v>85</v>
      </c>
      <c r="G40" s="275"/>
      <c r="H40" s="275"/>
      <c r="I40" s="275"/>
      <c r="J40" s="300" t="e">
        <f ca="1">ROUND(J38+J36-J39-J37,14)</f>
        <v>#REF!</v>
      </c>
      <c r="K40" s="287"/>
      <c r="P40" s="296">
        <f>COUNTIF(Q4:Q34,"&gt;0")-IF(Voreinstellungen!C28="XTRA",COUNTIF(P4:P34,Voreinstellungen!B28),0)-IF(Voreinstellungen!C29="XTRA",COUNTIF(P4:P34,Voreinstellungen!B29),0)-IF(Voreinstellungen!C30="XTRA",COUNTIF(P4:P34,Voreinstellungen!B30),0)-IF(Voreinstellungen!C31="XTRA",COUNTIF(P4:P34,Voreinstellungen!B31),0)-IF(Voreinstellungen!C32="XTRA",COUNTIF(P4:P34,Voreinstellungen!B32),0)-IF(Voreinstellungen!C33="XTRA",COUNTIF(P4:P34,Voreinstellungen!B33),0)-COUNTIF(P4:P34,"H")</f>
        <v>0</v>
      </c>
      <c r="Q40" s="327" t="s">
        <v>86</v>
      </c>
      <c r="R40" s="328"/>
      <c r="S40" s="328"/>
      <c r="T40" s="328"/>
      <c r="U40" s="328"/>
      <c r="V40" s="328"/>
      <c r="W40" s="234"/>
      <c r="Y40" s="375">
        <f>Voreinstellungen!J49</f>
        <v>0</v>
      </c>
      <c r="Z40" s="380">
        <f t="shared" si="11"/>
        <v>0</v>
      </c>
      <c r="AA40" s="380">
        <f t="shared" si="12"/>
        <v>0</v>
      </c>
      <c r="AB40" s="381">
        <f>SUM(AA40*Voreinstellungen!$C$44)</f>
        <v>0</v>
      </c>
    </row>
    <row r="41" spans="1:29" ht="12.75" customHeight="1" x14ac:dyDescent="0.2">
      <c r="P41" s="296">
        <f>COUNTIF(P4:P34,Voreinstellungen!B27)</f>
        <v>0</v>
      </c>
      <c r="Q41" s="327" t="str">
        <f>Voreinstellungen!A27</f>
        <v>Homeoffice</v>
      </c>
      <c r="R41" s="328"/>
      <c r="S41" s="328"/>
      <c r="T41" s="328"/>
      <c r="U41" s="328"/>
      <c r="V41" s="328"/>
      <c r="W41" s="234"/>
      <c r="Y41" s="375">
        <f>Voreinstellungen!J50</f>
        <v>0</v>
      </c>
      <c r="Z41" s="380">
        <f t="shared" si="11"/>
        <v>0</v>
      </c>
      <c r="AA41" s="380">
        <f t="shared" si="12"/>
        <v>0</v>
      </c>
      <c r="AB41" s="381">
        <f>SUM(AA41*Voreinstellungen!$C$44)</f>
        <v>0</v>
      </c>
    </row>
    <row r="42" spans="1:29" ht="12.75" customHeight="1" x14ac:dyDescent="0.2">
      <c r="A42" s="169"/>
      <c r="B42" s="169"/>
      <c r="C42" s="169"/>
      <c r="D42" s="277"/>
      <c r="E42" s="277"/>
      <c r="F42" s="277"/>
      <c r="G42" s="277"/>
      <c r="H42" s="277"/>
      <c r="I42" s="277"/>
      <c r="J42" s="277"/>
      <c r="P42" s="302">
        <f>IF(Voreinstellungen!C28="","",IF(Voreinstellungen!C28="REST",IFERROR(SUMIF(P4:P34,Voreinstellungen!B28,Q4:Q34)/SUMIF(P4:P34,Voreinstellungen!B28,U4:U34),0),IF(Voreinstellungen!C28="NONE",COUNTIF(P4:P34,Voreinstellungen!B28),IF(Voreinstellungen!C28="XTRA",COUNTIF(P4:P34,Voreinstellungen!B28),COUNTIF(P4:P34,Voreinstellungen!B28)*IF(Voreinstellungen!C28=0,1,Voreinstellungen!C28)))))</f>
        <v>0</v>
      </c>
      <c r="Q42" s="330" t="str">
        <f>IF(Voreinstellungen!A28="","",REPT(Voreinstellungen!A28,1) &amp; " (" &amp; REPT(Voreinstellungen!B28,1) &amp; ")")</f>
        <v>Bereitschaft (B)</v>
      </c>
      <c r="R42" s="331"/>
      <c r="S42" s="331"/>
      <c r="T42" s="331"/>
      <c r="U42" s="331"/>
      <c r="V42" s="331"/>
      <c r="W42" s="168">
        <f>IF(ISBLANK(Voreinstellungen!C28),"",IF(Voreinstellungen!C28="REST",SUMIF(P4:P34,Voreinstellungen!B28,U4:U34)-SUMIF(P4:P34,Voreinstellungen!B28,Q4:Q34),IF(ISTEXT(Voreinstellungen!C28),SUMIF(P4:P34,Voreinstellungen!B28,Q4:Q34),"")))</f>
        <v>0</v>
      </c>
      <c r="Y42" s="375">
        <f>Voreinstellungen!J51</f>
        <v>0</v>
      </c>
      <c r="Z42" s="380">
        <f t="shared" si="11"/>
        <v>0</v>
      </c>
      <c r="AA42" s="380">
        <f t="shared" si="12"/>
        <v>0</v>
      </c>
      <c r="AB42" s="381">
        <f>SUM(AA42*Voreinstellungen!$C$44)</f>
        <v>0</v>
      </c>
    </row>
    <row r="43" spans="1:29" ht="12.75" customHeight="1" x14ac:dyDescent="0.2">
      <c r="A43" s="170"/>
      <c r="B43" s="170"/>
      <c r="C43" s="170"/>
      <c r="D43" s="278"/>
      <c r="E43" s="278"/>
      <c r="F43" s="278"/>
      <c r="G43" s="278"/>
      <c r="H43" s="278"/>
      <c r="I43" s="278"/>
      <c r="J43" s="278"/>
      <c r="P43" s="302">
        <f>IF(Voreinstellungen!C29="","",IF(Voreinstellungen!C29="REST",IFERROR(SUMIF(P4:P34,Voreinstellungen!B29,Q4:Q34)/SUMIF(P4:P34,Voreinstellungen!B29,U4:U34),0),IF(Voreinstellungen!C29="NONE",COUNTIF(P4:P34,Voreinstellungen!B29),IF(Voreinstellungen!C29="XTRA",COUNTIF(P4:P34,Voreinstellungen!B29),COUNTIF(P4:P34,Voreinstellungen!B29)*IF(Voreinstellungen!C29=0,1,Voreinstellungen!C29)))))</f>
        <v>0</v>
      </c>
      <c r="Q43" s="330" t="str">
        <f>IF(Voreinstellungen!A29="","",REPT(Voreinstellungen!A29,1) &amp; " (" &amp; REPT(Voreinstellungen!B29,1) &amp; ")")</f>
        <v>Eigener Code 1 (E1)</v>
      </c>
      <c r="R43" s="331"/>
      <c r="S43" s="331"/>
      <c r="T43" s="331"/>
      <c r="U43" s="331"/>
      <c r="V43" s="331"/>
      <c r="W43" s="168">
        <f>IF(ISBLANK(Voreinstellungen!C29),"",IF(Voreinstellungen!C29="REST",SUMIF(P4:P34,Voreinstellungen!B29,U4:U34)-SUMIF(P4:P34,Voreinstellungen!B29,Q4:Q34),IF(ISTEXT(Voreinstellungen!C29),SUMIF(P4:P34,Voreinstellungen!B29,Q4:Q34),"")))</f>
        <v>0</v>
      </c>
      <c r="Y43" s="375">
        <f>Voreinstellungen!J52</f>
        <v>0</v>
      </c>
      <c r="Z43" s="380">
        <f t="shared" si="11"/>
        <v>0</v>
      </c>
      <c r="AA43" s="380">
        <f t="shared" si="12"/>
        <v>0</v>
      </c>
      <c r="AB43" s="381">
        <f>SUM(AA43*Voreinstellungen!$C$44)</f>
        <v>0</v>
      </c>
    </row>
    <row r="44" spans="1:29" ht="12.75" customHeight="1" x14ac:dyDescent="0.2">
      <c r="A44" s="169" t="s">
        <v>46</v>
      </c>
      <c r="B44" s="169"/>
      <c r="C44" s="169"/>
      <c r="D44" s="277"/>
      <c r="E44" s="277"/>
      <c r="F44" s="277"/>
      <c r="G44" s="277"/>
      <c r="H44" s="277"/>
      <c r="I44" s="277"/>
      <c r="J44" s="277" t="s">
        <v>87</v>
      </c>
      <c r="P44" s="302">
        <f>IF(Voreinstellungen!C30="","",IF(Voreinstellungen!C30="REST",IFERROR(SUMIF(P4:P34,Voreinstellungen!B30,Q4:Q34)/SUMIF(P4:P34,Voreinstellungen!B30,U4:U34),0),IF(Voreinstellungen!C30="NONE",COUNTIF(P4:P34,Voreinstellungen!B30),IF(Voreinstellungen!C30="XTRA",COUNTIF(P4:P34,Voreinstellungen!B30),COUNTIF(P4:P34,Voreinstellungen!B30)*IF(Voreinstellungen!C30=0,1,Voreinstellungen!C30)))))</f>
        <v>0</v>
      </c>
      <c r="Q44" s="330" t="str">
        <f>IF(Voreinstellungen!A30="","",REPT(Voreinstellungen!A30,1) &amp; " (" &amp; REPT(Voreinstellungen!B30,1) &amp; ")")</f>
        <v>Eigener Code 2 (E2)</v>
      </c>
      <c r="R44" s="331"/>
      <c r="S44" s="331"/>
      <c r="T44" s="331"/>
      <c r="U44" s="331"/>
      <c r="V44" s="331"/>
      <c r="W44" s="168" t="str">
        <f>IF(ISBLANK(Voreinstellungen!C30),"",IF(Voreinstellungen!C30="REST",SUMIF(P4:P34,Voreinstellungen!B30,U4:U34)-SUMIF(P4:P34,Voreinstellungen!B30,Q4:Q34),IF(ISTEXT(Voreinstellungen!C30),SUMIF(P4:P34,Voreinstellungen!B30,Q4:Q34),"")))</f>
        <v/>
      </c>
      <c r="Y44" s="375">
        <f>Voreinstellungen!J53</f>
        <v>0</v>
      </c>
      <c r="Z44" s="380">
        <f t="shared" si="11"/>
        <v>0</v>
      </c>
      <c r="AA44" s="380">
        <f t="shared" si="12"/>
        <v>0</v>
      </c>
      <c r="AB44" s="381">
        <f>SUM(AA44*Voreinstellungen!$C$44)</f>
        <v>0</v>
      </c>
    </row>
    <row r="45" spans="1:29" ht="12.75" customHeight="1" x14ac:dyDescent="0.2">
      <c r="A45" s="169"/>
      <c r="B45" s="169"/>
      <c r="C45" s="169"/>
      <c r="D45" s="277"/>
      <c r="E45" s="277"/>
      <c r="F45" s="277"/>
      <c r="G45" s="277"/>
      <c r="H45" s="277"/>
      <c r="I45" s="277"/>
      <c r="J45" s="277"/>
      <c r="P45" s="302">
        <f>IF(Voreinstellungen!C31="","",IF(Voreinstellungen!C31="REST",IFERROR(SUMIF(P4:P34,Voreinstellungen!B31,Q4:Q34)/SUMIF(P4:P34,Voreinstellungen!B31,U4:U34),0),IF(Voreinstellungen!C31="NONE",COUNTIF(P4:P34,Voreinstellungen!B31),IF(Voreinstellungen!C31="XTRA",COUNTIF(P4:P34,Voreinstellungen!B31),COUNTIF(P4:P34,Voreinstellungen!B31)*IF(Voreinstellungen!C31=0,1,Voreinstellungen!C31)))))</f>
        <v>0</v>
      </c>
      <c r="Q45" s="330" t="str">
        <f>IF(Voreinstellungen!A31="","",REPT(Voreinstellungen!A31,1) &amp; " (" &amp; REPT(Voreinstellungen!B31,1) &amp; ")")</f>
        <v>Eigener Code 3 (E3)</v>
      </c>
      <c r="R45" s="331"/>
      <c r="S45" s="331"/>
      <c r="T45" s="331"/>
      <c r="U45" s="331"/>
      <c r="V45" s="331"/>
      <c r="W45" s="168" t="str">
        <f>IF(ISBLANK(Voreinstellungen!C31),"",IF(Voreinstellungen!C31="REST",SUMIF(P4:P34,Voreinstellungen!B31,U4:U34)-SUMIF(P4:P34,Voreinstellungen!B31,Q4:Q34),IF(ISTEXT(Voreinstellungen!C31),SUMIF(P4:P34,Voreinstellungen!B31,Q4:Q34),"")))</f>
        <v/>
      </c>
      <c r="Y45" s="375">
        <f>Voreinstellungen!J54</f>
        <v>0</v>
      </c>
      <c r="Z45" s="380">
        <f t="shared" si="11"/>
        <v>0</v>
      </c>
      <c r="AA45" s="380">
        <f t="shared" si="12"/>
        <v>0</v>
      </c>
      <c r="AB45" s="381">
        <f>SUM(AA45*Voreinstellungen!$C$44)</f>
        <v>0</v>
      </c>
    </row>
    <row r="46" spans="1:29" ht="12.75" customHeight="1" x14ac:dyDescent="0.2">
      <c r="A46" s="170"/>
      <c r="B46" s="170"/>
      <c r="C46" s="170"/>
      <c r="D46" s="278"/>
      <c r="E46" s="278"/>
      <c r="F46" s="278"/>
      <c r="G46" s="278"/>
      <c r="H46" s="278"/>
      <c r="I46" s="278"/>
      <c r="J46" s="278"/>
      <c r="P46" s="302">
        <f>IF(Voreinstellungen!C32="","",IF(Voreinstellungen!C32="REST",IFERROR(SUMIF(P4:P34,Voreinstellungen!B32,Q4:Q34)/SUMIF(P4:P34,Voreinstellungen!B32,U4:U34),0),IF(Voreinstellungen!C32="NONE",COUNTIF(P4:P34,Voreinstellungen!B32),IF(Voreinstellungen!C32="XTRA",COUNTIF(P4:P34,Voreinstellungen!B32),COUNTIF(P4:P34,Voreinstellungen!B32)*IF(Voreinstellungen!C32=0,1,Voreinstellungen!C32)))))</f>
        <v>0</v>
      </c>
      <c r="Q46" s="330" t="str">
        <f>IF(Voreinstellungen!A32="","",REPT(Voreinstellungen!A32,1) &amp; " (" &amp; REPT(Voreinstellungen!B32,1) &amp; ")")</f>
        <v>Eigener Code 4 (E4)</v>
      </c>
      <c r="R46" s="331"/>
      <c r="S46" s="331"/>
      <c r="T46" s="331"/>
      <c r="U46" s="331"/>
      <c r="V46" s="331"/>
      <c r="W46" s="168" t="str">
        <f>IF(ISBLANK(Voreinstellungen!C32),"",IF(Voreinstellungen!C32="REST",SUMIF(P4:P34,Voreinstellungen!B32,U4:U34)-SUMIF(P4:P34,Voreinstellungen!B32,Q4:Q34),IF(ISTEXT(Voreinstellungen!C32),SUMIF(P4:P34,Voreinstellungen!B32,Q4:Q34),"")))</f>
        <v/>
      </c>
      <c r="Y46" s="375">
        <f>Voreinstellungen!J55</f>
        <v>0</v>
      </c>
      <c r="Z46" s="380">
        <f t="shared" si="11"/>
        <v>0</v>
      </c>
      <c r="AA46" s="380">
        <f t="shared" si="12"/>
        <v>0</v>
      </c>
      <c r="AB46" s="381">
        <f>SUM(AA46*Voreinstellungen!$C$44)</f>
        <v>0</v>
      </c>
    </row>
    <row r="47" spans="1:29" ht="12.75" customHeight="1" x14ac:dyDescent="0.2">
      <c r="A47" s="169" t="s">
        <v>46</v>
      </c>
      <c r="B47" s="169"/>
      <c r="C47" s="169"/>
      <c r="D47" s="277"/>
      <c r="E47" s="277"/>
      <c r="F47" s="277"/>
      <c r="G47" s="277"/>
      <c r="H47" s="277"/>
      <c r="I47" s="277"/>
      <c r="J47" s="277" t="s">
        <v>88</v>
      </c>
      <c r="P47" s="303">
        <f>IF(Voreinstellungen!C33="","",IF(Voreinstellungen!C33="REST",IFERROR(SUMIF(P4:P34,Voreinstellungen!B33,Q4:Q34)/SUMIF(P4:P34,Voreinstellungen!B33,U4:U34),0),IF(Voreinstellungen!C33="NONE",COUNTIF(P4:P34,Voreinstellungen!B33),IF(Voreinstellungen!C33="XTRA",COUNTIF(P4:P34,Voreinstellungen!B33),COUNTIF(P4:P34,Voreinstellungen!B33)*IF(Voreinstellungen!C33=0,1,Voreinstellungen!C33)))))</f>
        <v>0</v>
      </c>
      <c r="Q47" s="332" t="str">
        <f>IF(Voreinstellungen!A33="","",REPT(Voreinstellungen!A33,1) &amp; " (" &amp; REPT(Voreinstellungen!B33,1) &amp; ")")</f>
        <v>Eigener Code 5 (E5)</v>
      </c>
      <c r="R47" s="333"/>
      <c r="S47" s="333"/>
      <c r="T47" s="333"/>
      <c r="U47" s="333"/>
      <c r="V47" s="333"/>
      <c r="W47" s="319" t="str">
        <f>IF(ISBLANK(Voreinstellungen!C33),"",IF(Voreinstellungen!C33="REST",SUMIF(P4:P34,Voreinstellungen!B33,U4:U34)-SUMIF(P4:P34,Voreinstellungen!B33,Q4:Q34),IF(ISTEXT(Voreinstellungen!C33),SUMIF(P4:P34,Voreinstellungen!B33,Q4:Q34),"")))</f>
        <v/>
      </c>
      <c r="Y47" s="375">
        <f>Voreinstellungen!J56</f>
        <v>0</v>
      </c>
      <c r="Z47" s="380">
        <f t="shared" si="11"/>
        <v>0</v>
      </c>
      <c r="AA47" s="380">
        <f t="shared" si="12"/>
        <v>0</v>
      </c>
      <c r="AB47" s="381">
        <f>SUM(AA47*Voreinstellungen!$C$44)</f>
        <v>0</v>
      </c>
    </row>
    <row r="48" spans="1:29" x14ac:dyDescent="0.2">
      <c r="P48" s="334"/>
      <c r="Q48" s="45" t="s">
        <v>148</v>
      </c>
      <c r="R48" s="335"/>
      <c r="S48" s="335"/>
      <c r="T48" s="335"/>
      <c r="U48" s="335"/>
      <c r="V48" s="336"/>
      <c r="W48" s="337">
        <f>SUM(I7:I34,N7:N34)</f>
        <v>0</v>
      </c>
      <c r="X48" s="338"/>
      <c r="Y48" s="375">
        <f>Voreinstellungen!J57</f>
        <v>0</v>
      </c>
      <c r="Z48" s="380">
        <f t="shared" si="11"/>
        <v>0</v>
      </c>
      <c r="AA48" s="380">
        <f t="shared" si="12"/>
        <v>0</v>
      </c>
      <c r="AB48" s="381">
        <f>SUM(AA48*Voreinstellungen!$C$44)</f>
        <v>0</v>
      </c>
    </row>
    <row r="49" spans="17:28" x14ac:dyDescent="0.2">
      <c r="Q49" s="339"/>
      <c r="R49" s="340"/>
      <c r="S49" s="340"/>
      <c r="T49" s="340"/>
      <c r="U49" s="339"/>
      <c r="V49" s="339"/>
      <c r="Y49" s="376">
        <f>Voreinstellungen!J58</f>
        <v>0</v>
      </c>
      <c r="Z49" s="382">
        <f t="shared" si="11"/>
        <v>0</v>
      </c>
      <c r="AA49" s="382">
        <f t="shared" si="12"/>
        <v>0</v>
      </c>
      <c r="AB49" s="383">
        <f>SUM(AA49*Voreinstellungen!$C$44)</f>
        <v>0</v>
      </c>
    </row>
    <row r="51" spans="17:28" x14ac:dyDescent="0.2">
      <c r="Y51" s="367"/>
      <c r="Z51" s="368"/>
      <c r="AA51" s="368"/>
      <c r="AB51" s="369"/>
    </row>
    <row r="52" spans="17:28" x14ac:dyDescent="0.2">
      <c r="Y52" s="341" t="s">
        <v>153</v>
      </c>
      <c r="Z52" s="346">
        <f>SUM(Z37:Z49)</f>
        <v>0</v>
      </c>
      <c r="AA52" s="342">
        <f>SUM(AA37:AA49)</f>
        <v>0</v>
      </c>
      <c r="AB52" s="343">
        <f>SUM(AB37:AB49)</f>
        <v>0</v>
      </c>
    </row>
  </sheetData>
  <mergeCells count="3">
    <mergeCell ref="A1:C2"/>
    <mergeCell ref="V1:W1"/>
    <mergeCell ref="V2:W2"/>
  </mergeCells>
  <conditionalFormatting sqref="E4:E34">
    <cfRule type="expression" dxfId="146" priority="7">
      <formula>ISTEXT($E4)</formula>
    </cfRule>
  </conditionalFormatting>
  <conditionalFormatting sqref="F4:I34">
    <cfRule type="expression" dxfId="145" priority="6">
      <formula>ISTEXT($F4)</formula>
    </cfRule>
  </conditionalFormatting>
  <conditionalFormatting sqref="J4:J34">
    <cfRule type="expression" dxfId="144" priority="5">
      <formula>ISTEXT($J4)</formula>
    </cfRule>
  </conditionalFormatting>
  <conditionalFormatting sqref="K4:K34">
    <cfRule type="expression" dxfId="143" priority="4">
      <formula>ISTEXT($K4)</formula>
    </cfRule>
  </conditionalFormatting>
  <conditionalFormatting sqref="M5:O34">
    <cfRule type="expression" dxfId="142" priority="3">
      <formula>ISTEXT($F5)</formula>
    </cfRule>
  </conditionalFormatting>
  <conditionalFormatting sqref="N4:N34">
    <cfRule type="expression" dxfId="141" priority="2">
      <formula>ISTEXT($F4)</formula>
    </cfRule>
  </conditionalFormatting>
  <conditionalFormatting sqref="P36:P47">
    <cfRule type="expression" dxfId="140" priority="1">
      <formula>MOD(P36,1)=0</formula>
    </cfRule>
  </conditionalFormatting>
  <conditionalFormatting sqref="Q4:W34 A4:O34">
    <cfRule type="expression" dxfId="139" priority="16">
      <formula>WEEKDAY($A4,2)=6</formula>
    </cfRule>
    <cfRule type="expression" dxfId="138" priority="17">
      <formula>OR(WEEKDAY($A4,2)=7,$C4&lt;&gt;"")</formula>
    </cfRule>
  </conditionalFormatting>
  <conditionalFormatting sqref="P4:P34">
    <cfRule type="expression" dxfId="137" priority="26">
      <formula>WEEKDAY($A4,2)=6</formula>
    </cfRule>
    <cfRule type="expression" dxfId="136" priority="27">
      <formula>OR(WEEKDAY($A4,2)=7,$C4&lt;&gt;"")</formula>
    </cfRule>
  </conditionalFormatting>
  <dataValidations count="3">
    <dataValidation type="list" showErrorMessage="1" sqref="P4:P34" xr:uid="{00000000-0002-0000-0D00-000000000000}">
      <formula1>CodeList</formula1>
    </dataValidation>
    <dataValidation type="list" allowBlank="1" showInputMessage="1" showErrorMessage="1" sqref="D4:D34 G4:G34 L4:L34" xr:uid="{ACDA4A7D-2D1E-4E96-8F7C-D85570F1550A}">
      <formula1>Einsatzorte</formula1>
    </dataValidation>
    <dataValidation type="list" allowBlank="1" showInputMessage="1" showErrorMessage="1" sqref="H4:H34 M4:M34" xr:uid="{4781CB89-A393-462C-9BEB-D41DEBF8FD95}">
      <formula1>Tätigkeiten</formula1>
    </dataValidation>
  </dataValidations>
  <printOptions horizontalCentered="1" verticalCentered="1"/>
  <pageMargins left="0.23622047244094491" right="0.23622047244094491" top="0.23622047244094491" bottom="0.23622047244094491" header="0.11811023622047245" footer="0.11811023622047245"/>
  <pageSetup paperSize="9" scale="95" firstPageNumber="0" orientation="landscape" r:id="rId1"/>
  <headerFooter alignWithMargins="0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8" id="{F6903AF8-5341-464E-B202-6857BE3FFDD1}">
            <xm:f>$P4=Voreinstellungen!$B$25</xm:f>
            <x14:dxf>
              <fill>
                <patternFill>
                  <bgColor rgb="FF0070C0"/>
                </patternFill>
              </fill>
            </x14:dxf>
          </x14:cfRule>
          <x14:cfRule type="expression" priority="9" id="{6D3E5F8D-877D-4DA9-8DB6-EDD47EAA4FC9}">
            <xm:f>$P4=Voreinstellungen!$B$26</xm:f>
            <x14:dxf>
              <fill>
                <patternFill>
                  <bgColor rgb="FF00B0F0"/>
                </patternFill>
              </fill>
            </x14:dxf>
          </x14:cfRule>
          <x14:cfRule type="expression" priority="10" id="{7D40A4D8-DB67-4339-A55F-1FAE5711E974}">
            <xm:f>$P4=Voreinstellungen!$B$20</xm:f>
            <x14:dxf>
              <fill>
                <patternFill>
                  <bgColor theme="4" tint="0.59996337778862885"/>
                </patternFill>
              </fill>
            </x14:dxf>
          </x14:cfRule>
          <x14:cfRule type="expression" priority="11" id="{A983E560-92AB-42BD-B840-2E453D5E02FB}">
            <xm:f>$P4=Voreinstellungen!$B$21</xm:f>
            <x14:dxf>
              <fill>
                <patternFill>
                  <bgColor indexed="13"/>
                </patternFill>
              </fill>
            </x14:dxf>
          </x14:cfRule>
          <x14:cfRule type="expression" priority="12" id="{F27EF8A6-AB93-4F05-8C36-BD80961DCA5A}">
            <xm:f>$P4=Voreinstellungen!$B$22</xm:f>
            <x14:dxf>
              <fill>
                <patternFill>
                  <bgColor rgb="FFFFFF66"/>
                </patternFill>
              </fill>
            </x14:dxf>
          </x14:cfRule>
          <x14:cfRule type="expression" priority="13" id="{EA4D625D-83B0-43F6-B083-81FE44DBE080}">
            <xm:f>$P4=Voreinstellungen!$B$31</xm:f>
            <x14:dxf>
              <fill>
                <patternFill>
                  <bgColor theme="3" tint="0.59996337778862885"/>
                </patternFill>
              </fill>
            </x14:dxf>
          </x14:cfRule>
          <x14:cfRule type="expression" priority="14" id="{DB16DEA4-67E7-42EF-BA72-72040893B226}">
            <xm:f>$P4=Voreinstellungen!$B$32</xm:f>
            <x14:dxf>
              <fill>
                <patternFill>
                  <bgColor rgb="FF92D050"/>
                </patternFill>
              </fill>
            </x14:dxf>
          </x14:cfRule>
          <x14:cfRule type="expression" priority="15" id="{4CF10D1D-C602-4BE4-8501-5054161C0BA4}">
            <xm:f>$P4=Voreinstellungen!$B$33</xm:f>
            <x14:dxf>
              <fill>
                <patternFill>
                  <bgColor theme="9" tint="0.39994506668294322"/>
                </patternFill>
              </fill>
            </x14:dxf>
          </x14:cfRule>
          <xm:sqref>Q4:W34 A4:O34</xm:sqref>
        </x14:conditionalFormatting>
        <x14:conditionalFormatting xmlns:xm="http://schemas.microsoft.com/office/excel/2006/main">
          <x14:cfRule type="expression" priority="18" id="{3E7B93D6-F94B-46CA-AAC2-B8A77B981A7D}">
            <xm:f>$L4=Voreinstellungen!$B$25</xm:f>
            <x14:dxf>
              <fill>
                <patternFill>
                  <bgColor rgb="FF0070C0"/>
                </patternFill>
              </fill>
            </x14:dxf>
          </x14:cfRule>
          <x14:cfRule type="expression" priority="19" id="{5D6A7EAD-5E57-4ED4-A81A-EA0180B85D44}">
            <xm:f>$L4=Voreinstellungen!$B$26</xm:f>
            <x14:dxf>
              <fill>
                <patternFill>
                  <bgColor rgb="FF00B0F0"/>
                </patternFill>
              </fill>
            </x14:dxf>
          </x14:cfRule>
          <x14:cfRule type="expression" priority="20" id="{CF9ACD3B-CA94-4490-9C7F-9D917EC3FC20}">
            <xm:f>$L4=Voreinstellungen!$B$20</xm:f>
            <x14:dxf>
              <fill>
                <patternFill>
                  <bgColor theme="4" tint="0.59996337778862885"/>
                </patternFill>
              </fill>
            </x14:dxf>
          </x14:cfRule>
          <x14:cfRule type="expression" priority="21" id="{B5668E3F-E47C-4EAB-92A5-33470AF23FA9}">
            <xm:f>$L4=Voreinstellungen!$B$21</xm:f>
            <x14:dxf>
              <fill>
                <patternFill>
                  <bgColor indexed="13"/>
                </patternFill>
              </fill>
            </x14:dxf>
          </x14:cfRule>
          <x14:cfRule type="expression" priority="22" id="{2C3D8A5F-35E7-4ACF-90E9-1643E3CFC525}">
            <xm:f>$L4=Voreinstellungen!$B$22</xm:f>
            <x14:dxf>
              <fill>
                <patternFill>
                  <bgColor rgb="FFFFFF66"/>
                </patternFill>
              </fill>
            </x14:dxf>
          </x14:cfRule>
          <x14:cfRule type="expression" priority="23" id="{F5CCF868-C553-48EA-B0D5-B2C0A6D3E3AF}">
            <xm:f>$L4=Voreinstellungen!$B$31</xm:f>
            <x14:dxf>
              <fill>
                <patternFill>
                  <bgColor theme="3" tint="0.59996337778862885"/>
                </patternFill>
              </fill>
            </x14:dxf>
          </x14:cfRule>
          <x14:cfRule type="expression" priority="24" id="{FB344BE8-0F02-4692-823F-E7E8122F01EC}">
            <xm:f>$L4=Voreinstellungen!$B$32</xm:f>
            <x14:dxf>
              <fill>
                <patternFill>
                  <bgColor rgb="FF92D050"/>
                </patternFill>
              </fill>
            </x14:dxf>
          </x14:cfRule>
          <x14:cfRule type="expression" priority="25" id="{C1816EFC-1463-4343-BF03-1723D47BAB87}">
            <xm:f>$L4=Voreinstellungen!$B$33</xm:f>
            <x14:dxf>
              <fill>
                <patternFill>
                  <bgColor theme="9" tint="0.39994506668294322"/>
                </patternFill>
              </fill>
            </x14:dxf>
          </x14:cfRule>
          <xm:sqref>P4:P34</xm:sqref>
        </x14:conditionalFormatting>
      </x14:conditionalFormatting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4">
    <tabColor indexed="17"/>
    <pageSetUpPr fitToPage="1"/>
  </sheetPr>
  <dimension ref="A1:AL52"/>
  <sheetViews>
    <sheetView showGridLines="0" zoomScale="87" zoomScaleNormal="87" workbookViewId="0">
      <selection activeCell="AL35" sqref="AL35"/>
    </sheetView>
  </sheetViews>
  <sheetFormatPr baseColWidth="10" defaultColWidth="11.42578125" defaultRowHeight="12.75" outlineLevelRow="1" x14ac:dyDescent="0.2"/>
  <cols>
    <col min="1" max="1" width="14.28515625" style="52" customWidth="1"/>
    <col min="2" max="2" width="3.7109375" style="52" customWidth="1"/>
    <col min="3" max="3" width="6.85546875" style="52" bestFit="1" customWidth="1"/>
    <col min="4" max="5" width="3.7109375" style="52" customWidth="1"/>
    <col min="6" max="6" width="5.7109375" style="52" customWidth="1"/>
    <col min="7" max="8" width="3.7109375" style="52" customWidth="1"/>
    <col min="9" max="9" width="5.7109375" style="52" customWidth="1"/>
    <col min="10" max="11" width="3.7109375" style="52" customWidth="1"/>
    <col min="12" max="12" width="5.7109375" style="52" customWidth="1"/>
    <col min="13" max="14" width="3.7109375" style="52" customWidth="1"/>
    <col min="15" max="15" width="5.7109375" style="52" customWidth="1"/>
    <col min="16" max="17" width="3.7109375" style="52" customWidth="1"/>
    <col min="18" max="18" width="5.7109375" style="52" customWidth="1"/>
    <col min="19" max="20" width="3.7109375" style="52" customWidth="1"/>
    <col min="21" max="21" width="5.7109375" style="52" customWidth="1"/>
    <col min="22" max="23" width="3.7109375" style="52" customWidth="1"/>
    <col min="24" max="24" width="5.7109375" style="52" customWidth="1"/>
    <col min="25" max="26" width="3.7109375" style="52" customWidth="1"/>
    <col min="27" max="27" width="5.7109375" style="52" customWidth="1"/>
    <col min="28" max="29" width="3.7109375" style="52" customWidth="1"/>
    <col min="30" max="30" width="5.7109375" style="52" customWidth="1"/>
    <col min="31" max="32" width="3.7109375" style="52" customWidth="1"/>
    <col min="33" max="33" width="5.7109375" style="52" customWidth="1"/>
    <col min="34" max="35" width="3.7109375" style="52" customWidth="1"/>
    <col min="36" max="36" width="5.7109375" style="52" customWidth="1"/>
    <col min="37" max="37" width="3.7109375" style="52" customWidth="1"/>
    <col min="38" max="38" width="14.28515625" style="52" customWidth="1"/>
    <col min="39" max="39" width="3.28515625" style="52" customWidth="1"/>
    <col min="40" max="16384" width="11.42578125" style="52"/>
  </cols>
  <sheetData>
    <row r="1" spans="1:38" ht="13.5" thickTop="1" x14ac:dyDescent="0.2">
      <c r="A1" s="720"/>
      <c r="B1" s="718"/>
      <c r="C1" s="718"/>
      <c r="D1" s="718"/>
      <c r="E1" s="717" t="str">
        <f>"Jahresübersicht "&amp;Jahr</f>
        <v>Jahresübersicht 2025</v>
      </c>
      <c r="F1" s="718"/>
      <c r="G1" s="718"/>
      <c r="H1" s="718"/>
      <c r="I1" s="718"/>
      <c r="J1" s="718"/>
      <c r="K1" s="718"/>
      <c r="L1" s="718"/>
      <c r="M1" s="718"/>
      <c r="N1" s="718"/>
      <c r="O1" s="718"/>
      <c r="P1" s="718"/>
      <c r="Q1" s="718"/>
      <c r="R1" s="718"/>
      <c r="S1" s="718"/>
      <c r="T1" s="718"/>
      <c r="U1" s="718"/>
      <c r="V1" s="718"/>
      <c r="W1" s="718"/>
      <c r="X1" s="718"/>
      <c r="Y1" s="718"/>
      <c r="Z1" s="718"/>
      <c r="AA1" s="718"/>
      <c r="AB1" s="718"/>
      <c r="AC1" s="718"/>
      <c r="AD1" s="718"/>
      <c r="AE1" s="718"/>
      <c r="AF1" s="718"/>
      <c r="AG1" s="718"/>
      <c r="AH1" s="718"/>
      <c r="AI1" s="714" t="str">
        <f>Voreinstellungen!C3</f>
        <v>Vivien Günther</v>
      </c>
      <c r="AJ1" s="715"/>
      <c r="AK1" s="715"/>
      <c r="AL1" s="716"/>
    </row>
    <row r="2" spans="1:38" x14ac:dyDescent="0.2">
      <c r="A2" s="721"/>
      <c r="B2" s="719"/>
      <c r="C2" s="719"/>
      <c r="D2" s="719"/>
      <c r="E2" s="719"/>
      <c r="F2" s="719"/>
      <c r="G2" s="719"/>
      <c r="H2" s="719"/>
      <c r="I2" s="719"/>
      <c r="J2" s="719"/>
      <c r="K2" s="719"/>
      <c r="L2" s="719"/>
      <c r="M2" s="719"/>
      <c r="N2" s="719"/>
      <c r="O2" s="719"/>
      <c r="P2" s="719"/>
      <c r="Q2" s="719"/>
      <c r="R2" s="719"/>
      <c r="S2" s="719"/>
      <c r="T2" s="719"/>
      <c r="U2" s="719"/>
      <c r="V2" s="719"/>
      <c r="W2" s="719"/>
      <c r="X2" s="719"/>
      <c r="Y2" s="719"/>
      <c r="Z2" s="719"/>
      <c r="AA2" s="719"/>
      <c r="AB2" s="719"/>
      <c r="AC2" s="719"/>
      <c r="AD2" s="719"/>
      <c r="AE2" s="719"/>
      <c r="AF2" s="719"/>
      <c r="AG2" s="719"/>
      <c r="AH2" s="719"/>
      <c r="AI2" s="711" t="str">
        <f>IF(ISBLANK(Voreinstellungen!C4),"","Personal-Nr.: "&amp;Voreinstellungen!C4)</f>
        <v>Personal-Nr.: 60161</v>
      </c>
      <c r="AJ2" s="712"/>
      <c r="AK2" s="712"/>
      <c r="AL2" s="713"/>
    </row>
    <row r="3" spans="1:38" ht="18" customHeight="1" x14ac:dyDescent="0.2">
      <c r="A3" s="53" t="s">
        <v>73</v>
      </c>
      <c r="B3" s="722" t="s">
        <v>89</v>
      </c>
      <c r="C3" s="722"/>
      <c r="D3" s="722"/>
      <c r="E3" s="722" t="s">
        <v>90</v>
      </c>
      <c r="F3" s="722"/>
      <c r="G3" s="722"/>
      <c r="H3" s="722" t="s">
        <v>91</v>
      </c>
      <c r="I3" s="722"/>
      <c r="J3" s="722"/>
      <c r="K3" s="722" t="s">
        <v>92</v>
      </c>
      <c r="L3" s="722"/>
      <c r="M3" s="722"/>
      <c r="N3" s="722" t="s">
        <v>93</v>
      </c>
      <c r="O3" s="722"/>
      <c r="P3" s="722"/>
      <c r="Q3" s="722" t="s">
        <v>94</v>
      </c>
      <c r="R3" s="722"/>
      <c r="S3" s="722"/>
      <c r="T3" s="722" t="s">
        <v>95</v>
      </c>
      <c r="U3" s="722"/>
      <c r="V3" s="722"/>
      <c r="W3" s="722" t="s">
        <v>96</v>
      </c>
      <c r="X3" s="722"/>
      <c r="Y3" s="722"/>
      <c r="Z3" s="722" t="s">
        <v>97</v>
      </c>
      <c r="AA3" s="722"/>
      <c r="AB3" s="722"/>
      <c r="AC3" s="722" t="s">
        <v>98</v>
      </c>
      <c r="AD3" s="722"/>
      <c r="AE3" s="722"/>
      <c r="AF3" s="722" t="s">
        <v>99</v>
      </c>
      <c r="AG3" s="722"/>
      <c r="AH3" s="722"/>
      <c r="AI3" s="722" t="s">
        <v>100</v>
      </c>
      <c r="AJ3" s="722"/>
      <c r="AK3" s="722"/>
      <c r="AL3" s="54" t="s">
        <v>73</v>
      </c>
    </row>
    <row r="4" spans="1:38" x14ac:dyDescent="0.2">
      <c r="A4" s="55">
        <v>1</v>
      </c>
      <c r="B4" s="92">
        <f>Januar!A5</f>
        <v>44196</v>
      </c>
      <c r="C4" s="265" t="str">
        <f>IF(Januar!R5&gt;0,Januar!R5,"")</f>
        <v/>
      </c>
      <c r="D4" s="93" t="str">
        <f>IF(OR(Januar!C5="",Januar!Q5&lt;&gt;""),UPPER(Januar!Q5),"F")</f>
        <v>F</v>
      </c>
      <c r="E4" s="92">
        <f>Februar!A5</f>
        <v>44227</v>
      </c>
      <c r="F4" s="265" t="str">
        <f>IF(Februar!R5&gt;0,Februar!R5,"")</f>
        <v/>
      </c>
      <c r="G4" s="94" t="str">
        <f>IF(OR(Februar!C5="",Februar!Q5&lt;&gt;""),UPPER(Februar!Q5),"F")</f>
        <v/>
      </c>
      <c r="H4" s="95">
        <f>März!A4</f>
        <v>44255</v>
      </c>
      <c r="I4" s="265" t="str">
        <f>IF(März!Q4&gt;0,März!Q4,"")</f>
        <v/>
      </c>
      <c r="J4" s="96" t="str">
        <f>IF(OR(März!C4="",März!P4&lt;&gt;""),UPPER(März!P4),"F")</f>
        <v/>
      </c>
      <c r="K4" s="92">
        <f>April!A4</f>
        <v>44286</v>
      </c>
      <c r="L4" s="265" t="str">
        <f>IF(April!Q4&gt;0,April!Q4,"")</f>
        <v/>
      </c>
      <c r="M4" s="97" t="str">
        <f>IF(OR(April!C4="",April!P4&lt;&gt;""),UPPER(April!P4),"F")</f>
        <v/>
      </c>
      <c r="N4" s="95">
        <f>Mai!A4</f>
        <v>44316</v>
      </c>
      <c r="O4" s="265" t="str">
        <f>IF(Mai!Q4&gt;0,Mai!Q4,"")</f>
        <v/>
      </c>
      <c r="P4" s="93" t="str">
        <f>IF(OR(Mai!C4="",Mai!P4&lt;&gt;""),UPPER(Mai!P4),"F")</f>
        <v>F</v>
      </c>
      <c r="Q4" s="92">
        <f>Juni!A4</f>
        <v>44347</v>
      </c>
      <c r="R4" s="265" t="str">
        <f>IF(Juni!Q4&gt;0,Juni!Q4,"")</f>
        <v/>
      </c>
      <c r="S4" s="97" t="str">
        <f>IF(OR(Juni!C4="",Juni!P4&lt;&gt;""),UPPER(Juni!P4),"F")</f>
        <v/>
      </c>
      <c r="T4" s="95">
        <f>Juli!A4</f>
        <v>44377</v>
      </c>
      <c r="U4" s="265" t="str">
        <f>IF(Juli!Q4&gt;0,Juli!Q4,"")</f>
        <v/>
      </c>
      <c r="V4" s="96" t="str">
        <f>IF(OR(Juli!C4="",Juli!P4&lt;&gt;""),UPPER(Juli!P4),"F")</f>
        <v/>
      </c>
      <c r="W4" s="92">
        <f>August!A4</f>
        <v>44408</v>
      </c>
      <c r="X4" s="265" t="str">
        <f>IF(August!Q4&gt;0,August!Q4,"")</f>
        <v/>
      </c>
      <c r="Y4" s="97" t="str">
        <f>IF(OR(August!C4="",August!P4&lt;&gt;""),UPPER(August!P4),"F")</f>
        <v/>
      </c>
      <c r="Z4" s="95">
        <f>September!A4</f>
        <v>44439</v>
      </c>
      <c r="AA4" s="265" t="str">
        <f>IF(September!Q4&gt;0,September!Q4,"")</f>
        <v/>
      </c>
      <c r="AB4" s="96" t="str">
        <f>IF(OR(September!C4="",September!P4&lt;&gt;""),UPPER(September!P4),"F")</f>
        <v/>
      </c>
      <c r="AC4" s="92">
        <f>Oktober!A4</f>
        <v>44469</v>
      </c>
      <c r="AD4" s="265" t="str">
        <f>IF(Oktober!Q4&gt;0,Oktober!Q4,"")</f>
        <v/>
      </c>
      <c r="AE4" s="97" t="str">
        <f>IF(OR(Oktober!C4="",Oktober!P4&lt;&gt;""),UPPER(Oktober!P4),"F")</f>
        <v/>
      </c>
      <c r="AF4" s="95">
        <f>November!A4</f>
        <v>44500</v>
      </c>
      <c r="AG4" s="265" t="str">
        <f>IF(November!Q4&gt;0,November!Q4,"")</f>
        <v/>
      </c>
      <c r="AH4" s="96" t="str">
        <f>IF(OR(November!C4="",November!P4&lt;&gt;""),UPPER(November!P4),"F")</f>
        <v/>
      </c>
      <c r="AI4" s="92">
        <f>Dezember!A4</f>
        <v>44530</v>
      </c>
      <c r="AJ4" s="265" t="str">
        <f>IF(Dezember!Q4&gt;0,Dezember!Q4,"")</f>
        <v/>
      </c>
      <c r="AK4" s="97" t="str">
        <f>IF(OR(Dezember!C4="",Dezember!P4&lt;&gt;""),UPPER(Dezember!P4),"F")</f>
        <v/>
      </c>
      <c r="AL4" s="56">
        <v>1</v>
      </c>
    </row>
    <row r="5" spans="1:38" x14ac:dyDescent="0.2">
      <c r="A5" s="57">
        <v>2</v>
      </c>
      <c r="B5" s="98">
        <f>Januar!A6</f>
        <v>44197</v>
      </c>
      <c r="C5" s="264">
        <f>IF(Januar!R6&gt;0,Januar!R6,"")</f>
        <v>0.33854166666666669</v>
      </c>
      <c r="D5" s="99" t="str">
        <f>IF(OR(Januar!C6="",Januar!Q6&lt;&gt;""),UPPER(Januar!Q6),"F")</f>
        <v/>
      </c>
      <c r="E5" s="98">
        <f>Februar!A6</f>
        <v>44228</v>
      </c>
      <c r="F5" s="264" t="str">
        <f>IF(Februar!R6&gt;0,Februar!R6,"")</f>
        <v/>
      </c>
      <c r="G5" s="100" t="str">
        <f>IF(OR(Februar!C6="",Februar!Q6&lt;&gt;""),UPPER(Februar!Q6),"F")</f>
        <v/>
      </c>
      <c r="H5" s="101">
        <f>März!A5</f>
        <v>44256</v>
      </c>
      <c r="I5" s="264" t="str">
        <f>IF(März!Q5&gt;0,März!Q5,"")</f>
        <v/>
      </c>
      <c r="J5" s="102" t="str">
        <f>IF(OR(März!C5="",März!P5&lt;&gt;""),UPPER(März!P5),"F")</f>
        <v/>
      </c>
      <c r="K5" s="98">
        <f>April!A5</f>
        <v>44287</v>
      </c>
      <c r="L5" s="264" t="str">
        <f>IF(April!Q5&gt;0,April!Q5,"")</f>
        <v/>
      </c>
      <c r="M5" s="103" t="str">
        <f>IF(OR(April!C5="",April!P5&lt;&gt;""),UPPER(April!P5),"F")</f>
        <v/>
      </c>
      <c r="N5" s="101">
        <f>Mai!A5</f>
        <v>44317</v>
      </c>
      <c r="O5" s="264" t="str">
        <f>IF(Mai!Q5&gt;0,Mai!Q5,"")</f>
        <v/>
      </c>
      <c r="P5" s="99" t="str">
        <f>IF(OR(Mai!C5="",Mai!P5&lt;&gt;""),UPPER(Mai!P5),"F")</f>
        <v/>
      </c>
      <c r="Q5" s="98">
        <f>Juni!A5</f>
        <v>44348</v>
      </c>
      <c r="R5" s="264" t="str">
        <f>IF(Juni!Q5&gt;0,Juni!Q5,"")</f>
        <v/>
      </c>
      <c r="S5" s="103" t="str">
        <f>IF(OR(Juni!C5="",Juni!P5&lt;&gt;""),UPPER(Juni!P5),"F")</f>
        <v/>
      </c>
      <c r="T5" s="101">
        <f>Juli!A5</f>
        <v>44378</v>
      </c>
      <c r="U5" s="264" t="str">
        <f>IF(Juli!Q5&gt;0,Juli!Q5,"")</f>
        <v/>
      </c>
      <c r="V5" s="102" t="str">
        <f>IF(OR(Juli!C5="",Juli!P5&lt;&gt;""),UPPER(Juli!P5),"F")</f>
        <v/>
      </c>
      <c r="W5" s="98">
        <f>August!A5</f>
        <v>44409</v>
      </c>
      <c r="X5" s="264" t="str">
        <f>IF(August!Q5&gt;0,August!Q5,"")</f>
        <v/>
      </c>
      <c r="Y5" s="103" t="str">
        <f>IF(OR(August!C5="",August!P5&lt;&gt;""),UPPER(August!P5),"F")</f>
        <v/>
      </c>
      <c r="Z5" s="101">
        <f>September!A5</f>
        <v>44440</v>
      </c>
      <c r="AA5" s="264" t="str">
        <f>IF(September!Q5&gt;0,September!Q5,"")</f>
        <v/>
      </c>
      <c r="AB5" s="102" t="str">
        <f>IF(OR(September!C5="",September!P5&lt;&gt;""),UPPER(September!P5),"F")</f>
        <v/>
      </c>
      <c r="AC5" s="98">
        <f>Oktober!A5</f>
        <v>44470</v>
      </c>
      <c r="AD5" s="264" t="str">
        <f>IF(Oktober!Q5&gt;0,Oktober!Q5,"")</f>
        <v/>
      </c>
      <c r="AE5" s="103" t="str">
        <f>IF(OR(Oktober!C5="",Oktober!P5&lt;&gt;""),UPPER(Oktober!P5),"F")</f>
        <v/>
      </c>
      <c r="AF5" s="101">
        <f>November!A5</f>
        <v>44501</v>
      </c>
      <c r="AG5" s="264" t="str">
        <f>IF(November!Q5&gt;0,November!Q5,"")</f>
        <v/>
      </c>
      <c r="AH5" s="102" t="str">
        <f>IF(OR(November!C5="",November!P5&lt;&gt;""),UPPER(November!P5),"F")</f>
        <v/>
      </c>
      <c r="AI5" s="98">
        <f>Dezember!A5</f>
        <v>44531</v>
      </c>
      <c r="AJ5" s="264" t="str">
        <f>IF(Dezember!Q5&gt;0,Dezember!Q5,"")</f>
        <v/>
      </c>
      <c r="AK5" s="103" t="str">
        <f>IF(OR(Dezember!C5="",Dezember!P5&lt;&gt;""),UPPER(Dezember!P5),"F")</f>
        <v/>
      </c>
      <c r="AL5" s="58">
        <v>2</v>
      </c>
    </row>
    <row r="6" spans="1:38" x14ac:dyDescent="0.2">
      <c r="A6" s="57">
        <v>3</v>
      </c>
      <c r="B6" s="98">
        <f>Januar!A7</f>
        <v>44198</v>
      </c>
      <c r="C6" s="264" t="str">
        <f>IF(Januar!R7&gt;0,Januar!R7,"")</f>
        <v/>
      </c>
      <c r="D6" s="99" t="str">
        <f>IF(OR(Januar!C7="",Januar!Q7&lt;&gt;""),UPPER(Januar!Q7),"F")</f>
        <v>U</v>
      </c>
      <c r="E6" s="98">
        <f>Februar!A7</f>
        <v>44229</v>
      </c>
      <c r="F6" s="264" t="str">
        <f>IF(Februar!R7&gt;0,Februar!R7,"")</f>
        <v/>
      </c>
      <c r="G6" s="100" t="str">
        <f>IF(OR(Februar!C7="",Februar!Q7&lt;&gt;""),UPPER(Februar!Q7),"F")</f>
        <v/>
      </c>
      <c r="H6" s="101">
        <f>März!A6</f>
        <v>44257</v>
      </c>
      <c r="I6" s="264" t="str">
        <f>IF(März!Q6&gt;0,März!Q6,"")</f>
        <v/>
      </c>
      <c r="J6" s="102" t="str">
        <f>IF(OR(März!C6="",März!P6&lt;&gt;""),UPPER(März!P6),"F")</f>
        <v/>
      </c>
      <c r="K6" s="98">
        <f>April!A6</f>
        <v>44288</v>
      </c>
      <c r="L6" s="264" t="str">
        <f>IF(April!Q6&gt;0,April!Q6,"")</f>
        <v/>
      </c>
      <c r="M6" s="103" t="str">
        <f>IF(OR(April!C6="",April!P6&lt;&gt;""),UPPER(April!P6),"F")</f>
        <v/>
      </c>
      <c r="N6" s="101">
        <f>Mai!A6</f>
        <v>44318</v>
      </c>
      <c r="O6" s="264" t="str">
        <f>IF(Mai!Q6&gt;0,Mai!Q6,"")</f>
        <v/>
      </c>
      <c r="P6" s="99" t="str">
        <f>IF(OR(Mai!C6="",Mai!P6&lt;&gt;""),UPPER(Mai!P6),"F")</f>
        <v/>
      </c>
      <c r="Q6" s="98">
        <f>Juni!A6</f>
        <v>44349</v>
      </c>
      <c r="R6" s="264" t="str">
        <f>IF(Juni!Q6&gt;0,Juni!Q6,"")</f>
        <v/>
      </c>
      <c r="S6" s="103" t="str">
        <f>IF(OR(Juni!C6="",Juni!P6&lt;&gt;""),UPPER(Juni!P6),"F")</f>
        <v/>
      </c>
      <c r="T6" s="101">
        <f>Juli!A6</f>
        <v>44379</v>
      </c>
      <c r="U6" s="264" t="str">
        <f>IF(Juli!Q6&gt;0,Juli!Q6,"")</f>
        <v/>
      </c>
      <c r="V6" s="102" t="str">
        <f>IF(OR(Juli!C6="",Juli!P6&lt;&gt;""),UPPER(Juli!P6),"F")</f>
        <v/>
      </c>
      <c r="W6" s="98">
        <f>August!A6</f>
        <v>44410</v>
      </c>
      <c r="X6" s="264" t="str">
        <f>IF(August!Q6&gt;0,August!Q6,"")</f>
        <v/>
      </c>
      <c r="Y6" s="103" t="str">
        <f>IF(OR(August!C6="",August!P6&lt;&gt;""),UPPER(August!P6),"F")</f>
        <v/>
      </c>
      <c r="Z6" s="101">
        <f>September!A6</f>
        <v>44441</v>
      </c>
      <c r="AA6" s="264" t="str">
        <f>IF(September!Q6&gt;0,September!Q6,"")</f>
        <v/>
      </c>
      <c r="AB6" s="102" t="str">
        <f>IF(OR(September!C6="",September!P6&lt;&gt;""),UPPER(September!P6),"F")</f>
        <v/>
      </c>
      <c r="AC6" s="98">
        <f>Oktober!A6</f>
        <v>44471</v>
      </c>
      <c r="AD6" s="264" t="str">
        <f>IF(Oktober!Q6&gt;0,Oktober!Q6,"")</f>
        <v/>
      </c>
      <c r="AE6" s="103" t="str">
        <f>IF(OR(Oktober!C6="",Oktober!P6&lt;&gt;""),UPPER(Oktober!P6),"F")</f>
        <v>F</v>
      </c>
      <c r="AF6" s="101">
        <f>November!A6</f>
        <v>44502</v>
      </c>
      <c r="AG6" s="264" t="str">
        <f>IF(November!Q6&gt;0,November!Q6,"")</f>
        <v/>
      </c>
      <c r="AH6" s="102" t="str">
        <f>IF(OR(November!C6="",November!P6&lt;&gt;""),UPPER(November!P6),"F")</f>
        <v/>
      </c>
      <c r="AI6" s="98">
        <f>Dezember!A6</f>
        <v>44532</v>
      </c>
      <c r="AJ6" s="264" t="str">
        <f>IF(Dezember!Q6&gt;0,Dezember!Q6,"")</f>
        <v/>
      </c>
      <c r="AK6" s="103" t="str">
        <f>IF(OR(Dezember!C6="",Dezember!P6&lt;&gt;""),UPPER(Dezember!P6),"F")</f>
        <v/>
      </c>
      <c r="AL6" s="58">
        <v>3</v>
      </c>
    </row>
    <row r="7" spans="1:38" x14ac:dyDescent="0.2">
      <c r="A7" s="57">
        <v>4</v>
      </c>
      <c r="B7" s="98">
        <f>Januar!A8</f>
        <v>44199</v>
      </c>
      <c r="C7" s="264" t="str">
        <f>IF(Januar!R8&gt;0,Januar!R8,"")</f>
        <v/>
      </c>
      <c r="D7" s="99" t="str">
        <f>IF(OR(Januar!C8="",Januar!Q8&lt;&gt;""),UPPER(Januar!Q8),"F")</f>
        <v/>
      </c>
      <c r="E7" s="98">
        <f>Februar!A8</f>
        <v>44230</v>
      </c>
      <c r="F7" s="264" t="str">
        <f>IF(Februar!R8&gt;0,Februar!R8,"")</f>
        <v/>
      </c>
      <c r="G7" s="100" t="str">
        <f>IF(OR(Februar!C8="",Februar!Q8&lt;&gt;""),UPPER(Februar!Q8),"F")</f>
        <v/>
      </c>
      <c r="H7" s="101">
        <f>März!A7</f>
        <v>44258</v>
      </c>
      <c r="I7" s="264" t="str">
        <f>IF(März!Q7&gt;0,März!Q7,"")</f>
        <v/>
      </c>
      <c r="J7" s="102" t="str">
        <f>IF(OR(März!C7="",März!P7&lt;&gt;""),UPPER(März!P7),"F")</f>
        <v/>
      </c>
      <c r="K7" s="98">
        <f>April!A7</f>
        <v>44289</v>
      </c>
      <c r="L7" s="264" t="str">
        <f>IF(April!Q7&gt;0,April!Q7,"")</f>
        <v/>
      </c>
      <c r="M7" s="103" t="str">
        <f>IF(OR(April!C7="",April!P7&lt;&gt;""),UPPER(April!P7),"F")</f>
        <v/>
      </c>
      <c r="N7" s="101">
        <f>Mai!A7</f>
        <v>44319</v>
      </c>
      <c r="O7" s="264" t="str">
        <f>IF(Mai!Q7&gt;0,Mai!Q7,"")</f>
        <v/>
      </c>
      <c r="P7" s="99" t="str">
        <f>IF(OR(Mai!C7="",Mai!P7&lt;&gt;""),UPPER(Mai!P7),"F")</f>
        <v/>
      </c>
      <c r="Q7" s="98">
        <f>Juni!A7</f>
        <v>44350</v>
      </c>
      <c r="R7" s="264" t="str">
        <f>IF(Juni!Q7&gt;0,Juni!Q7,"")</f>
        <v/>
      </c>
      <c r="S7" s="103" t="str">
        <f>IF(OR(Juni!C7="",Juni!P7&lt;&gt;""),UPPER(Juni!P7),"F")</f>
        <v/>
      </c>
      <c r="T7" s="101">
        <f>Juli!A7</f>
        <v>44380</v>
      </c>
      <c r="U7" s="264" t="str">
        <f>IF(Juli!Q7&gt;0,Juli!Q7,"")</f>
        <v/>
      </c>
      <c r="V7" s="102" t="str">
        <f>IF(OR(Juli!C7="",Juli!P7&lt;&gt;""),UPPER(Juli!P7),"F")</f>
        <v/>
      </c>
      <c r="W7" s="98">
        <f>August!A7</f>
        <v>44411</v>
      </c>
      <c r="X7" s="264" t="str">
        <f>IF(August!Q7&gt;0,August!Q7,"")</f>
        <v/>
      </c>
      <c r="Y7" s="103" t="str">
        <f>IF(OR(August!C7="",August!P7&lt;&gt;""),UPPER(August!P7),"F")</f>
        <v/>
      </c>
      <c r="Z7" s="101">
        <f>September!A7</f>
        <v>44442</v>
      </c>
      <c r="AA7" s="264" t="str">
        <f>IF(September!Q7&gt;0,September!Q7,"")</f>
        <v/>
      </c>
      <c r="AB7" s="102" t="str">
        <f>IF(OR(September!C7="",September!P7&lt;&gt;""),UPPER(September!P7),"F")</f>
        <v/>
      </c>
      <c r="AC7" s="98">
        <f>Oktober!A7</f>
        <v>44472</v>
      </c>
      <c r="AD7" s="264" t="str">
        <f>IF(Oktober!Q7&gt;0,Oktober!Q7,"")</f>
        <v/>
      </c>
      <c r="AE7" s="103" t="str">
        <f>IF(OR(Oktober!C7="",Oktober!P7&lt;&gt;""),UPPER(Oktober!P7),"F")</f>
        <v/>
      </c>
      <c r="AF7" s="101">
        <f>November!A7</f>
        <v>44503</v>
      </c>
      <c r="AG7" s="264" t="str">
        <f>IF(November!Q7&gt;0,November!Q7,"")</f>
        <v/>
      </c>
      <c r="AH7" s="102" t="str">
        <f>IF(OR(November!C7="",November!P7&lt;&gt;""),UPPER(November!P7),"F")</f>
        <v/>
      </c>
      <c r="AI7" s="98">
        <f>Dezember!A7</f>
        <v>44533</v>
      </c>
      <c r="AJ7" s="264" t="str">
        <f>IF(Dezember!Q7&gt;0,Dezember!Q7,"")</f>
        <v/>
      </c>
      <c r="AK7" s="103" t="str">
        <f>IF(OR(Dezember!C7="",Dezember!P7&lt;&gt;""),UPPER(Dezember!P7),"F")</f>
        <v/>
      </c>
      <c r="AL7" s="58">
        <v>4</v>
      </c>
    </row>
    <row r="8" spans="1:38" x14ac:dyDescent="0.2">
      <c r="A8" s="57">
        <v>5</v>
      </c>
      <c r="B8" s="98">
        <f>Januar!A9</f>
        <v>44200</v>
      </c>
      <c r="C8" s="264" t="str">
        <f>IF(Januar!R9&gt;0,Januar!R9,"")</f>
        <v/>
      </c>
      <c r="D8" s="99" t="str">
        <f>IF(OR(Januar!C9="",Januar!Q9&lt;&gt;""),UPPER(Januar!Q9),"F")</f>
        <v/>
      </c>
      <c r="E8" s="98">
        <f>Februar!A9</f>
        <v>44231</v>
      </c>
      <c r="F8" s="264" t="str">
        <f>IF(Februar!R9&gt;0,Februar!R9,"")</f>
        <v/>
      </c>
      <c r="G8" s="100" t="str">
        <f>IF(OR(Februar!C9="",Februar!Q9&lt;&gt;""),UPPER(Februar!Q9),"F")</f>
        <v/>
      </c>
      <c r="H8" s="101">
        <f>März!A8</f>
        <v>44259</v>
      </c>
      <c r="I8" s="264" t="str">
        <f>IF(März!Q8&gt;0,März!Q8,"")</f>
        <v/>
      </c>
      <c r="J8" s="102" t="str">
        <f>IF(OR(März!C8="",März!P8&lt;&gt;""),UPPER(März!P8),"F")</f>
        <v/>
      </c>
      <c r="K8" s="98">
        <f>April!A8</f>
        <v>44290</v>
      </c>
      <c r="L8" s="264" t="str">
        <f>IF(April!Q8&gt;0,April!Q8,"")</f>
        <v/>
      </c>
      <c r="M8" s="103" t="str">
        <f>IF(OR(April!C8="",April!P8&lt;&gt;""),UPPER(April!P8),"F")</f>
        <v/>
      </c>
      <c r="N8" s="101">
        <f>Mai!A8</f>
        <v>44320</v>
      </c>
      <c r="O8" s="264" t="str">
        <f>IF(Mai!Q8&gt;0,Mai!Q8,"")</f>
        <v/>
      </c>
      <c r="P8" s="99" t="str">
        <f>IF(OR(Mai!C8="",Mai!P8&lt;&gt;""),UPPER(Mai!P8),"F")</f>
        <v/>
      </c>
      <c r="Q8" s="98">
        <f>Juni!A8</f>
        <v>44351</v>
      </c>
      <c r="R8" s="264" t="str">
        <f>IF(Juni!Q8&gt;0,Juni!Q8,"")</f>
        <v/>
      </c>
      <c r="S8" s="103" t="str">
        <f>IF(OR(Juni!C8="",Juni!P8&lt;&gt;""),UPPER(Juni!P8),"F")</f>
        <v/>
      </c>
      <c r="T8" s="101">
        <f>Juli!A8</f>
        <v>44381</v>
      </c>
      <c r="U8" s="264" t="str">
        <f>IF(Juli!Q8&gt;0,Juli!Q8,"")</f>
        <v/>
      </c>
      <c r="V8" s="102" t="str">
        <f>IF(OR(Juli!C8="",Juli!P8&lt;&gt;""),UPPER(Juli!P8),"F")</f>
        <v/>
      </c>
      <c r="W8" s="98">
        <f>August!A8</f>
        <v>44412</v>
      </c>
      <c r="X8" s="264" t="str">
        <f>IF(August!Q8&gt;0,August!Q8,"")</f>
        <v/>
      </c>
      <c r="Y8" s="103" t="str">
        <f>IF(OR(August!C8="",August!P8&lt;&gt;""),UPPER(August!P8),"F")</f>
        <v/>
      </c>
      <c r="Z8" s="101">
        <f>September!A8</f>
        <v>44443</v>
      </c>
      <c r="AA8" s="264" t="str">
        <f>IF(September!Q8&gt;0,September!Q8,"")</f>
        <v/>
      </c>
      <c r="AB8" s="102" t="str">
        <f>IF(OR(September!C8="",September!P8&lt;&gt;""),UPPER(September!P8),"F")</f>
        <v/>
      </c>
      <c r="AC8" s="98">
        <f>Oktober!A8</f>
        <v>44473</v>
      </c>
      <c r="AD8" s="264" t="str">
        <f>IF(Oktober!Q8&gt;0,Oktober!Q8,"")</f>
        <v/>
      </c>
      <c r="AE8" s="103" t="str">
        <f>IF(OR(Oktober!C8="",Oktober!P8&lt;&gt;""),UPPER(Oktober!P8),"F")</f>
        <v/>
      </c>
      <c r="AF8" s="101">
        <f>November!A8</f>
        <v>44504</v>
      </c>
      <c r="AG8" s="264" t="str">
        <f>IF(November!Q8&gt;0,November!Q8,"")</f>
        <v/>
      </c>
      <c r="AH8" s="102" t="str">
        <f>IF(OR(November!C8="",November!P8&lt;&gt;""),UPPER(November!P8),"F")</f>
        <v/>
      </c>
      <c r="AI8" s="98">
        <f>Dezember!A8</f>
        <v>44534</v>
      </c>
      <c r="AJ8" s="264" t="str">
        <f>IF(Dezember!Q8&gt;0,Dezember!Q8,"")</f>
        <v/>
      </c>
      <c r="AK8" s="103" t="str">
        <f>IF(OR(Dezember!C8="",Dezember!P8&lt;&gt;""),UPPER(Dezember!P8),"F")</f>
        <v/>
      </c>
      <c r="AL8" s="58">
        <v>5</v>
      </c>
    </row>
    <row r="9" spans="1:38" x14ac:dyDescent="0.2">
      <c r="A9" s="57">
        <v>6</v>
      </c>
      <c r="B9" s="98">
        <f>Januar!A10</f>
        <v>44201</v>
      </c>
      <c r="C9" s="264" t="str">
        <f>IF(Januar!R10&gt;0,Januar!R10,"")</f>
        <v/>
      </c>
      <c r="D9" s="99" t="str">
        <f>IF(OR(Januar!C10="",Januar!Q10&lt;&gt;""),UPPER(Januar!Q10),"F")</f>
        <v/>
      </c>
      <c r="E9" s="98">
        <f>Februar!A10</f>
        <v>44232</v>
      </c>
      <c r="F9" s="264" t="str">
        <f>IF(Februar!R10&gt;0,Februar!R10,"")</f>
        <v/>
      </c>
      <c r="G9" s="100" t="str">
        <f>IF(OR(Februar!C10="",Februar!Q10&lt;&gt;""),UPPER(Februar!Q10),"F")</f>
        <v/>
      </c>
      <c r="H9" s="101">
        <f>März!A9</f>
        <v>44260</v>
      </c>
      <c r="I9" s="264" t="str">
        <f>IF(März!Q9&gt;0,März!Q9,"")</f>
        <v/>
      </c>
      <c r="J9" s="102" t="str">
        <f>IF(OR(März!C9="",März!P9&lt;&gt;""),UPPER(März!P9),"F")</f>
        <v/>
      </c>
      <c r="K9" s="98">
        <f>April!A9</f>
        <v>44291</v>
      </c>
      <c r="L9" s="264" t="str">
        <f>IF(April!Q9&gt;0,April!Q9,"")</f>
        <v/>
      </c>
      <c r="M9" s="103" t="str">
        <f>IF(OR(April!C9="",April!P9&lt;&gt;""),UPPER(April!P9),"F")</f>
        <v/>
      </c>
      <c r="N9" s="101">
        <f>Mai!A9</f>
        <v>44321</v>
      </c>
      <c r="O9" s="264" t="str">
        <f>IF(Mai!Q9&gt;0,Mai!Q9,"")</f>
        <v/>
      </c>
      <c r="P9" s="99" t="str">
        <f>IF(OR(Mai!C9="",Mai!P9&lt;&gt;""),UPPER(Mai!P9),"F")</f>
        <v/>
      </c>
      <c r="Q9" s="98">
        <f>Juni!A9</f>
        <v>44352</v>
      </c>
      <c r="R9" s="264" t="str">
        <f>IF(Juni!Q9&gt;0,Juni!Q9,"")</f>
        <v/>
      </c>
      <c r="S9" s="103" t="str">
        <f>IF(OR(Juni!C9="",Juni!P9&lt;&gt;""),UPPER(Juni!P9),"F")</f>
        <v/>
      </c>
      <c r="T9" s="101">
        <f>Juli!A9</f>
        <v>44382</v>
      </c>
      <c r="U9" s="264" t="str">
        <f>IF(Juli!Q9&gt;0,Juli!Q9,"")</f>
        <v/>
      </c>
      <c r="V9" s="102" t="str">
        <f>IF(OR(Juli!C9="",Juli!P9&lt;&gt;""),UPPER(Juli!P9),"F")</f>
        <v/>
      </c>
      <c r="W9" s="98">
        <f>August!A9</f>
        <v>44413</v>
      </c>
      <c r="X9" s="264" t="str">
        <f>IF(August!Q9&gt;0,August!Q9,"")</f>
        <v/>
      </c>
      <c r="Y9" s="103" t="str">
        <f>IF(OR(August!C9="",August!P9&lt;&gt;""),UPPER(August!P9),"F")</f>
        <v/>
      </c>
      <c r="Z9" s="101">
        <f>September!A9</f>
        <v>44444</v>
      </c>
      <c r="AA9" s="264" t="str">
        <f>IF(September!Q9&gt;0,September!Q9,"")</f>
        <v/>
      </c>
      <c r="AB9" s="102" t="str">
        <f>IF(OR(September!C9="",September!P9&lt;&gt;""),UPPER(September!P9),"F")</f>
        <v/>
      </c>
      <c r="AC9" s="98">
        <f>Oktober!A9</f>
        <v>44474</v>
      </c>
      <c r="AD9" s="264" t="str">
        <f>IF(Oktober!Q9&gt;0,Oktober!Q9,"")</f>
        <v/>
      </c>
      <c r="AE9" s="103" t="str">
        <f>IF(OR(Oktober!C9="",Oktober!P9&lt;&gt;""),UPPER(Oktober!P9),"F")</f>
        <v/>
      </c>
      <c r="AF9" s="101">
        <f>November!A9</f>
        <v>44505</v>
      </c>
      <c r="AG9" s="264" t="str">
        <f>IF(November!Q9&gt;0,November!Q9,"")</f>
        <v/>
      </c>
      <c r="AH9" s="102" t="str">
        <f>IF(OR(November!C9="",November!P9&lt;&gt;""),UPPER(November!P9),"F")</f>
        <v/>
      </c>
      <c r="AI9" s="98">
        <f>Dezember!A9</f>
        <v>44535</v>
      </c>
      <c r="AJ9" s="264" t="str">
        <f>IF(Dezember!Q9&gt;0,Dezember!Q9,"")</f>
        <v/>
      </c>
      <c r="AK9" s="103" t="str">
        <f>IF(OR(Dezember!C9="",Dezember!P9&lt;&gt;""),UPPER(Dezember!P9),"F")</f>
        <v/>
      </c>
      <c r="AL9" s="58">
        <v>6</v>
      </c>
    </row>
    <row r="10" spans="1:38" x14ac:dyDescent="0.2">
      <c r="A10" s="57">
        <v>7</v>
      </c>
      <c r="B10" s="98">
        <f>Januar!A11</f>
        <v>44202</v>
      </c>
      <c r="C10" s="264" t="str">
        <f>IF(Januar!R11&gt;0,Januar!R11,"")</f>
        <v/>
      </c>
      <c r="D10" s="99" t="str">
        <f>IF(OR(Januar!C11="",Januar!Q11&lt;&gt;""),UPPER(Januar!Q11),"F")</f>
        <v/>
      </c>
      <c r="E10" s="98">
        <f>Februar!A11</f>
        <v>44233</v>
      </c>
      <c r="F10" s="264" t="str">
        <f>IF(Februar!R11&gt;0,Februar!R11,"")</f>
        <v/>
      </c>
      <c r="G10" s="100" t="str">
        <f>IF(OR(Februar!C11="",Februar!Q11&lt;&gt;""),UPPER(Februar!Q11),"F")</f>
        <v/>
      </c>
      <c r="H10" s="101">
        <f>März!A10</f>
        <v>44261</v>
      </c>
      <c r="I10" s="264" t="str">
        <f>IF(März!Q10&gt;0,März!Q10,"")</f>
        <v/>
      </c>
      <c r="J10" s="102" t="str">
        <f>IF(OR(März!C10="",März!P10&lt;&gt;""),UPPER(März!P10),"F")</f>
        <v/>
      </c>
      <c r="K10" s="98">
        <f>April!A10</f>
        <v>44292</v>
      </c>
      <c r="L10" s="264" t="str">
        <f>IF(April!Q10&gt;0,April!Q10,"")</f>
        <v/>
      </c>
      <c r="M10" s="103" t="str">
        <f>IF(OR(April!C10="",April!P10&lt;&gt;""),UPPER(April!P10),"F")</f>
        <v/>
      </c>
      <c r="N10" s="101">
        <f>Mai!A10</f>
        <v>44322</v>
      </c>
      <c r="O10" s="264" t="str">
        <f>IF(Mai!Q10&gt;0,Mai!Q10,"")</f>
        <v/>
      </c>
      <c r="P10" s="99" t="str">
        <f>IF(OR(Mai!C10="",Mai!P10&lt;&gt;""),UPPER(Mai!P10),"F")</f>
        <v/>
      </c>
      <c r="Q10" s="98">
        <f>Juni!A10</f>
        <v>44353</v>
      </c>
      <c r="R10" s="264" t="str">
        <f>IF(Juni!Q10&gt;0,Juni!Q10,"")</f>
        <v/>
      </c>
      <c r="S10" s="103" t="str">
        <f>IF(OR(Juni!C10="",Juni!P10&lt;&gt;""),UPPER(Juni!P10),"F")</f>
        <v/>
      </c>
      <c r="T10" s="101">
        <f>Juli!A10</f>
        <v>44383</v>
      </c>
      <c r="U10" s="264" t="str">
        <f>IF(Juli!Q10&gt;0,Juli!Q10,"")</f>
        <v/>
      </c>
      <c r="V10" s="102" t="str">
        <f>IF(OR(Juli!C10="",Juli!P10&lt;&gt;""),UPPER(Juli!P10),"F")</f>
        <v/>
      </c>
      <c r="W10" s="98">
        <f>August!A10</f>
        <v>44414</v>
      </c>
      <c r="X10" s="264" t="str">
        <f>IF(August!Q10&gt;0,August!Q10,"")</f>
        <v/>
      </c>
      <c r="Y10" s="103" t="str">
        <f>IF(OR(August!C10="",August!P10&lt;&gt;""),UPPER(August!P10),"F")</f>
        <v/>
      </c>
      <c r="Z10" s="101">
        <f>September!A10</f>
        <v>44445</v>
      </c>
      <c r="AA10" s="264" t="str">
        <f>IF(September!Q10&gt;0,September!Q10,"")</f>
        <v/>
      </c>
      <c r="AB10" s="102" t="str">
        <f>IF(OR(September!C10="",September!P10&lt;&gt;""),UPPER(September!P10),"F")</f>
        <v/>
      </c>
      <c r="AC10" s="98">
        <f>Oktober!A10</f>
        <v>44475</v>
      </c>
      <c r="AD10" s="264" t="str">
        <f>IF(Oktober!Q10&gt;0,Oktober!Q10,"")</f>
        <v/>
      </c>
      <c r="AE10" s="103" t="str">
        <f>IF(OR(Oktober!C10="",Oktober!P10&lt;&gt;""),UPPER(Oktober!P10),"F")</f>
        <v/>
      </c>
      <c r="AF10" s="101">
        <f>November!A10</f>
        <v>44506</v>
      </c>
      <c r="AG10" s="264" t="str">
        <f>IF(November!Q10&gt;0,November!Q10,"")</f>
        <v/>
      </c>
      <c r="AH10" s="102" t="str">
        <f>IF(OR(November!C10="",November!P10&lt;&gt;""),UPPER(November!P10),"F")</f>
        <v/>
      </c>
      <c r="AI10" s="98">
        <f>Dezember!A10</f>
        <v>44536</v>
      </c>
      <c r="AJ10" s="264" t="str">
        <f>IF(Dezember!Q10&gt;0,Dezember!Q10,"")</f>
        <v/>
      </c>
      <c r="AK10" s="103" t="str">
        <f>IF(OR(Dezember!C10="",Dezember!P10&lt;&gt;""),UPPER(Dezember!P10),"F")</f>
        <v/>
      </c>
      <c r="AL10" s="58">
        <v>7</v>
      </c>
    </row>
    <row r="11" spans="1:38" x14ac:dyDescent="0.2">
      <c r="A11" s="57">
        <v>8</v>
      </c>
      <c r="B11" s="98">
        <f>Januar!A12</f>
        <v>44203</v>
      </c>
      <c r="C11" s="264" t="str">
        <f>IF(Januar!R12&gt;0,Januar!R12,"")</f>
        <v/>
      </c>
      <c r="D11" s="99" t="str">
        <f>IF(OR(Januar!C12="",Januar!Q12&lt;&gt;""),UPPER(Januar!Q12),"F")</f>
        <v/>
      </c>
      <c r="E11" s="98">
        <f>Februar!A12</f>
        <v>44234</v>
      </c>
      <c r="F11" s="264" t="str">
        <f>IF(Februar!R12&gt;0,Februar!R12,"")</f>
        <v/>
      </c>
      <c r="G11" s="100" t="str">
        <f>IF(OR(Februar!C12="",Februar!Q12&lt;&gt;""),UPPER(Februar!Q12),"F")</f>
        <v/>
      </c>
      <c r="H11" s="101">
        <f>März!A11</f>
        <v>44262</v>
      </c>
      <c r="I11" s="264" t="str">
        <f>IF(März!Q11&gt;0,März!Q11,"")</f>
        <v/>
      </c>
      <c r="J11" s="102" t="str">
        <f>IF(OR(März!C11="",März!P11&lt;&gt;""),UPPER(März!P11),"F")</f>
        <v/>
      </c>
      <c r="K11" s="98">
        <f>April!A11</f>
        <v>44293</v>
      </c>
      <c r="L11" s="264" t="str">
        <f>IF(April!Q11&gt;0,April!Q11,"")</f>
        <v/>
      </c>
      <c r="M11" s="103" t="str">
        <f>IF(OR(April!C11="",April!P11&lt;&gt;""),UPPER(April!P11),"F")</f>
        <v/>
      </c>
      <c r="N11" s="101">
        <f>Mai!A11</f>
        <v>44323</v>
      </c>
      <c r="O11" s="264" t="str">
        <f>IF(Mai!Q11&gt;0,Mai!Q11,"")</f>
        <v/>
      </c>
      <c r="P11" s="99" t="str">
        <f>IF(OR(Mai!C11="",Mai!P11&lt;&gt;""),UPPER(Mai!P11),"F")</f>
        <v/>
      </c>
      <c r="Q11" s="98">
        <f>Juni!A11</f>
        <v>44354</v>
      </c>
      <c r="R11" s="264" t="str">
        <f>IF(Juni!Q11&gt;0,Juni!Q11,"")</f>
        <v/>
      </c>
      <c r="S11" s="103" t="str">
        <f>IF(OR(Juni!C11="",Juni!P11&lt;&gt;""),UPPER(Juni!P11),"F")</f>
        <v>F</v>
      </c>
      <c r="T11" s="101">
        <f>Juli!A11</f>
        <v>44384</v>
      </c>
      <c r="U11" s="264" t="str">
        <f>IF(Juli!Q11&gt;0,Juli!Q11,"")</f>
        <v/>
      </c>
      <c r="V11" s="102" t="str">
        <f>IF(OR(Juli!C11="",Juli!P11&lt;&gt;""),UPPER(Juli!P11),"F")</f>
        <v/>
      </c>
      <c r="W11" s="98">
        <f>August!A11</f>
        <v>44415</v>
      </c>
      <c r="X11" s="264" t="str">
        <f>IF(August!Q11&gt;0,August!Q11,"")</f>
        <v/>
      </c>
      <c r="Y11" s="103" t="str">
        <f>IF(OR(August!C11="",August!P11&lt;&gt;""),UPPER(August!P11),"F")</f>
        <v/>
      </c>
      <c r="Z11" s="101">
        <f>September!A11</f>
        <v>44446</v>
      </c>
      <c r="AA11" s="264" t="str">
        <f>IF(September!Q11&gt;0,September!Q11,"")</f>
        <v/>
      </c>
      <c r="AB11" s="102" t="str">
        <f>IF(OR(September!C11="",September!P11&lt;&gt;""),UPPER(September!P11),"F")</f>
        <v/>
      </c>
      <c r="AC11" s="98">
        <f>Oktober!A11</f>
        <v>44476</v>
      </c>
      <c r="AD11" s="264" t="str">
        <f>IF(Oktober!Q11&gt;0,Oktober!Q11,"")</f>
        <v/>
      </c>
      <c r="AE11" s="103" t="str">
        <f>IF(OR(Oktober!C11="",Oktober!P11&lt;&gt;""),UPPER(Oktober!P11),"F")</f>
        <v/>
      </c>
      <c r="AF11" s="101">
        <f>November!A11</f>
        <v>44507</v>
      </c>
      <c r="AG11" s="264" t="str">
        <f>IF(November!Q11&gt;0,November!Q11,"")</f>
        <v/>
      </c>
      <c r="AH11" s="102" t="str">
        <f>IF(OR(November!C11="",November!P11&lt;&gt;""),UPPER(November!P11),"F")</f>
        <v/>
      </c>
      <c r="AI11" s="98">
        <f>Dezember!A11</f>
        <v>44537</v>
      </c>
      <c r="AJ11" s="264" t="str">
        <f>IF(Dezember!Q11&gt;0,Dezember!Q11,"")</f>
        <v/>
      </c>
      <c r="AK11" s="103" t="str">
        <f>IF(OR(Dezember!C11="",Dezember!P11&lt;&gt;""),UPPER(Dezember!P11),"F")</f>
        <v/>
      </c>
      <c r="AL11" s="58">
        <v>8</v>
      </c>
    </row>
    <row r="12" spans="1:38" x14ac:dyDescent="0.2">
      <c r="A12" s="57">
        <v>9</v>
      </c>
      <c r="B12" s="98">
        <f>Januar!A13</f>
        <v>44204</v>
      </c>
      <c r="C12" s="264" t="str">
        <f>IF(Januar!R13&gt;0,Januar!R13,"")</f>
        <v/>
      </c>
      <c r="D12" s="99" t="str">
        <f>IF(OR(Januar!C13="",Januar!Q13&lt;&gt;""),UPPER(Januar!Q13),"F")</f>
        <v/>
      </c>
      <c r="E12" s="98">
        <f>Februar!A13</f>
        <v>44235</v>
      </c>
      <c r="F12" s="264" t="str">
        <f>IF(Februar!R13&gt;0,Februar!R13,"")</f>
        <v/>
      </c>
      <c r="G12" s="100" t="str">
        <f>IF(OR(Februar!C13="",Februar!Q13&lt;&gt;""),UPPER(Februar!Q13),"F")</f>
        <v/>
      </c>
      <c r="H12" s="101">
        <f>März!A12</f>
        <v>44263</v>
      </c>
      <c r="I12" s="264" t="str">
        <f>IF(März!Q12&gt;0,März!Q12,"")</f>
        <v/>
      </c>
      <c r="J12" s="102" t="str">
        <f>IF(OR(März!C12="",März!P12&lt;&gt;""),UPPER(März!P12),"F")</f>
        <v/>
      </c>
      <c r="K12" s="98">
        <f>April!A12</f>
        <v>44294</v>
      </c>
      <c r="L12" s="264" t="str">
        <f>IF(April!Q12&gt;0,April!Q12,"")</f>
        <v/>
      </c>
      <c r="M12" s="103" t="str">
        <f>IF(OR(April!C12="",April!P12&lt;&gt;""),UPPER(April!P12),"F")</f>
        <v/>
      </c>
      <c r="N12" s="101">
        <f>Mai!A12</f>
        <v>44324</v>
      </c>
      <c r="O12" s="264" t="str">
        <f>IF(Mai!Q12&gt;0,Mai!Q12,"")</f>
        <v/>
      </c>
      <c r="P12" s="99" t="str">
        <f>IF(OR(Mai!C12="",Mai!P12&lt;&gt;""),UPPER(Mai!P12),"F")</f>
        <v/>
      </c>
      <c r="Q12" s="98">
        <f>Juni!A12</f>
        <v>44355</v>
      </c>
      <c r="R12" s="264" t="str">
        <f>IF(Juni!Q12&gt;0,Juni!Q12,"")</f>
        <v/>
      </c>
      <c r="S12" s="103" t="str">
        <f>IF(OR(Juni!C12="",Juni!P12&lt;&gt;""),UPPER(Juni!P12),"F")</f>
        <v>F</v>
      </c>
      <c r="T12" s="101">
        <f>Juli!A12</f>
        <v>44385</v>
      </c>
      <c r="U12" s="264" t="str">
        <f>IF(Juli!Q12&gt;0,Juli!Q12,"")</f>
        <v/>
      </c>
      <c r="V12" s="102" t="str">
        <f>IF(OR(Juli!C12="",Juli!P12&lt;&gt;""),UPPER(Juli!P12),"F")</f>
        <v/>
      </c>
      <c r="W12" s="98">
        <f>August!A12</f>
        <v>44416</v>
      </c>
      <c r="X12" s="264" t="str">
        <f>IF(August!Q12&gt;0,August!Q12,"")</f>
        <v/>
      </c>
      <c r="Y12" s="103" t="str">
        <f>IF(OR(August!C12="",August!P12&lt;&gt;""),UPPER(August!P12),"F")</f>
        <v/>
      </c>
      <c r="Z12" s="101">
        <f>September!A12</f>
        <v>44447</v>
      </c>
      <c r="AA12" s="264" t="str">
        <f>IF(September!Q12&gt;0,September!Q12,"")</f>
        <v/>
      </c>
      <c r="AB12" s="102" t="str">
        <f>IF(OR(September!C12="",September!P12&lt;&gt;""),UPPER(September!P12),"F")</f>
        <v/>
      </c>
      <c r="AC12" s="98">
        <f>Oktober!A12</f>
        <v>44477</v>
      </c>
      <c r="AD12" s="264" t="str">
        <f>IF(Oktober!Q12&gt;0,Oktober!Q12,"")</f>
        <v/>
      </c>
      <c r="AE12" s="103" t="str">
        <f>IF(OR(Oktober!C12="",Oktober!P12&lt;&gt;""),UPPER(Oktober!P12),"F")</f>
        <v/>
      </c>
      <c r="AF12" s="101">
        <f>November!A12</f>
        <v>44508</v>
      </c>
      <c r="AG12" s="264" t="str">
        <f>IF(November!Q12&gt;0,November!Q12,"")</f>
        <v/>
      </c>
      <c r="AH12" s="102" t="str">
        <f>IF(OR(November!C12="",November!P12&lt;&gt;""),UPPER(November!P12),"F")</f>
        <v/>
      </c>
      <c r="AI12" s="98">
        <f>Dezember!A12</f>
        <v>44538</v>
      </c>
      <c r="AJ12" s="264" t="str">
        <f>IF(Dezember!Q12&gt;0,Dezember!Q12,"")</f>
        <v/>
      </c>
      <c r="AK12" s="103" t="str">
        <f>IF(OR(Dezember!C12="",Dezember!P12&lt;&gt;""),UPPER(Dezember!P12),"F")</f>
        <v/>
      </c>
      <c r="AL12" s="58">
        <v>9</v>
      </c>
    </row>
    <row r="13" spans="1:38" x14ac:dyDescent="0.2">
      <c r="A13" s="57">
        <v>10</v>
      </c>
      <c r="B13" s="98">
        <f>Januar!A14</f>
        <v>44205</v>
      </c>
      <c r="C13" s="264" t="str">
        <f>IF(Januar!R14&gt;0,Januar!R14,"")</f>
        <v/>
      </c>
      <c r="D13" s="99" t="str">
        <f>IF(OR(Januar!C14="",Januar!Q14&lt;&gt;""),UPPER(Januar!Q14),"F")</f>
        <v/>
      </c>
      <c r="E13" s="98">
        <f>Februar!A14</f>
        <v>44236</v>
      </c>
      <c r="F13" s="264" t="str">
        <f>IF(Februar!R14&gt;0,Februar!R14,"")</f>
        <v/>
      </c>
      <c r="G13" s="100" t="str">
        <f>IF(OR(Februar!C14="",Februar!Q14&lt;&gt;""),UPPER(Februar!Q14),"F")</f>
        <v/>
      </c>
      <c r="H13" s="101">
        <f>März!A13</f>
        <v>44264</v>
      </c>
      <c r="I13" s="264" t="str">
        <f>IF(März!Q13&gt;0,März!Q13,"")</f>
        <v/>
      </c>
      <c r="J13" s="102" t="str">
        <f>IF(OR(März!C13="",März!P13&lt;&gt;""),UPPER(März!P13),"F")</f>
        <v/>
      </c>
      <c r="K13" s="98">
        <f>April!A13</f>
        <v>44295</v>
      </c>
      <c r="L13" s="264" t="str">
        <f>IF(April!Q13&gt;0,April!Q13,"")</f>
        <v/>
      </c>
      <c r="M13" s="103" t="str">
        <f>IF(OR(April!C13="",April!P13&lt;&gt;""),UPPER(April!P13),"F")</f>
        <v/>
      </c>
      <c r="N13" s="101">
        <f>Mai!A13</f>
        <v>44325</v>
      </c>
      <c r="O13" s="264" t="str">
        <f>IF(Mai!Q13&gt;0,Mai!Q13,"")</f>
        <v/>
      </c>
      <c r="P13" s="99" t="str">
        <f>IF(OR(Mai!C13="",Mai!P13&lt;&gt;""),UPPER(Mai!P13),"F")</f>
        <v/>
      </c>
      <c r="Q13" s="98">
        <f>Juni!A13</f>
        <v>44356</v>
      </c>
      <c r="R13" s="264" t="str">
        <f>IF(Juni!Q13&gt;0,Juni!Q13,"")</f>
        <v/>
      </c>
      <c r="S13" s="103" t="str">
        <f>IF(OR(Juni!C13="",Juni!P13&lt;&gt;""),UPPER(Juni!P13),"F")</f>
        <v/>
      </c>
      <c r="T13" s="101">
        <f>Juli!A13</f>
        <v>44386</v>
      </c>
      <c r="U13" s="264" t="str">
        <f>IF(Juli!Q13&gt;0,Juli!Q13,"")</f>
        <v/>
      </c>
      <c r="V13" s="102" t="str">
        <f>IF(OR(Juli!C13="",Juli!P13&lt;&gt;""),UPPER(Juli!P13),"F")</f>
        <v/>
      </c>
      <c r="W13" s="98">
        <f>August!A13</f>
        <v>44417</v>
      </c>
      <c r="X13" s="264" t="str">
        <f>IF(August!Q13&gt;0,August!Q13,"")</f>
        <v/>
      </c>
      <c r="Y13" s="103" t="str">
        <f>IF(OR(August!C13="",August!P13&lt;&gt;""),UPPER(August!P13),"F")</f>
        <v/>
      </c>
      <c r="Z13" s="101">
        <f>September!A13</f>
        <v>44448</v>
      </c>
      <c r="AA13" s="264" t="str">
        <f>IF(September!Q13&gt;0,September!Q13,"")</f>
        <v/>
      </c>
      <c r="AB13" s="102" t="str">
        <f>IF(OR(September!C13="",September!P13&lt;&gt;""),UPPER(September!P13),"F")</f>
        <v/>
      </c>
      <c r="AC13" s="98">
        <f>Oktober!A13</f>
        <v>44478</v>
      </c>
      <c r="AD13" s="264" t="str">
        <f>IF(Oktober!Q13&gt;0,Oktober!Q13,"")</f>
        <v/>
      </c>
      <c r="AE13" s="103" t="str">
        <f>IF(OR(Oktober!C13="",Oktober!P13&lt;&gt;""),UPPER(Oktober!P13),"F")</f>
        <v/>
      </c>
      <c r="AF13" s="101">
        <f>November!A13</f>
        <v>44509</v>
      </c>
      <c r="AG13" s="264" t="str">
        <f>IF(November!Q13&gt;0,November!Q13,"")</f>
        <v/>
      </c>
      <c r="AH13" s="102" t="str">
        <f>IF(OR(November!C13="",November!P13&lt;&gt;""),UPPER(November!P13),"F")</f>
        <v/>
      </c>
      <c r="AI13" s="98">
        <f>Dezember!A13</f>
        <v>44539</v>
      </c>
      <c r="AJ13" s="264" t="str">
        <f>IF(Dezember!Q13&gt;0,Dezember!Q13,"")</f>
        <v/>
      </c>
      <c r="AK13" s="103" t="str">
        <f>IF(OR(Dezember!C13="",Dezember!P13&lt;&gt;""),UPPER(Dezember!P13),"F")</f>
        <v/>
      </c>
      <c r="AL13" s="58">
        <v>10</v>
      </c>
    </row>
    <row r="14" spans="1:38" x14ac:dyDescent="0.2">
      <c r="A14" s="57">
        <v>11</v>
      </c>
      <c r="B14" s="98">
        <f>Januar!A15</f>
        <v>44206</v>
      </c>
      <c r="C14" s="264" t="str">
        <f>IF(Januar!R15&gt;0,Januar!R15,"")</f>
        <v/>
      </c>
      <c r="D14" s="99" t="str">
        <f>IF(OR(Januar!C15="",Januar!Q15&lt;&gt;""),UPPER(Januar!Q15),"F")</f>
        <v/>
      </c>
      <c r="E14" s="98">
        <f>Februar!A15</f>
        <v>44237</v>
      </c>
      <c r="F14" s="264" t="str">
        <f>IF(Februar!R15&gt;0,Februar!R15,"")</f>
        <v/>
      </c>
      <c r="G14" s="100" t="str">
        <f>IF(OR(Februar!C15="",Februar!Q15&lt;&gt;""),UPPER(Februar!Q15),"F")</f>
        <v/>
      </c>
      <c r="H14" s="101">
        <f>März!A14</f>
        <v>44265</v>
      </c>
      <c r="I14" s="264" t="str">
        <f>IF(März!Q14&gt;0,März!Q14,"")</f>
        <v/>
      </c>
      <c r="J14" s="102" t="str">
        <f>IF(OR(März!C14="",März!P14&lt;&gt;""),UPPER(März!P14),"F")</f>
        <v/>
      </c>
      <c r="K14" s="98">
        <f>April!A14</f>
        <v>44296</v>
      </c>
      <c r="L14" s="264" t="str">
        <f>IF(April!Q14&gt;0,April!Q14,"")</f>
        <v/>
      </c>
      <c r="M14" s="103" t="str">
        <f>IF(OR(April!C14="",April!P14&lt;&gt;""),UPPER(April!P14),"F")</f>
        <v/>
      </c>
      <c r="N14" s="101">
        <f>Mai!A14</f>
        <v>44326</v>
      </c>
      <c r="O14" s="264" t="str">
        <f>IF(Mai!Q14&gt;0,Mai!Q14,"")</f>
        <v/>
      </c>
      <c r="P14" s="99" t="str">
        <f>IF(OR(Mai!C14="",Mai!P14&lt;&gt;""),UPPER(Mai!P14),"F")</f>
        <v/>
      </c>
      <c r="Q14" s="98">
        <f>Juni!A14</f>
        <v>44357</v>
      </c>
      <c r="R14" s="264" t="str">
        <f>IF(Juni!Q14&gt;0,Juni!Q14,"")</f>
        <v/>
      </c>
      <c r="S14" s="103" t="str">
        <f>IF(OR(Juni!C14="",Juni!P14&lt;&gt;""),UPPER(Juni!P14),"F")</f>
        <v/>
      </c>
      <c r="T14" s="101">
        <f>Juli!A14</f>
        <v>44387</v>
      </c>
      <c r="U14" s="264" t="str">
        <f>IF(Juli!Q14&gt;0,Juli!Q14,"")</f>
        <v/>
      </c>
      <c r="V14" s="102" t="str">
        <f>IF(OR(Juli!C14="",Juli!P14&lt;&gt;""),UPPER(Juli!P14),"F")</f>
        <v/>
      </c>
      <c r="W14" s="98">
        <f>August!A14</f>
        <v>44418</v>
      </c>
      <c r="X14" s="264" t="str">
        <f>IF(August!Q14&gt;0,August!Q14,"")</f>
        <v/>
      </c>
      <c r="Y14" s="103" t="str">
        <f>IF(OR(August!C14="",August!P14&lt;&gt;""),UPPER(August!P14),"F")</f>
        <v/>
      </c>
      <c r="Z14" s="101">
        <f>September!A14</f>
        <v>44449</v>
      </c>
      <c r="AA14" s="264" t="str">
        <f>IF(September!Q14&gt;0,September!Q14,"")</f>
        <v/>
      </c>
      <c r="AB14" s="102" t="str">
        <f>IF(OR(September!C14="",September!P14&lt;&gt;""),UPPER(September!P14),"F")</f>
        <v/>
      </c>
      <c r="AC14" s="98">
        <f>Oktober!A14</f>
        <v>44479</v>
      </c>
      <c r="AD14" s="264" t="str">
        <f>IF(Oktober!Q14&gt;0,Oktober!Q14,"")</f>
        <v/>
      </c>
      <c r="AE14" s="103" t="str">
        <f>IF(OR(Oktober!C14="",Oktober!P14&lt;&gt;""),UPPER(Oktober!P14),"F")</f>
        <v/>
      </c>
      <c r="AF14" s="101">
        <f>November!A14</f>
        <v>44510</v>
      </c>
      <c r="AG14" s="264" t="str">
        <f>IF(November!Q14&gt;0,November!Q14,"")</f>
        <v/>
      </c>
      <c r="AH14" s="102" t="str">
        <f>IF(OR(November!C14="",November!P14&lt;&gt;""),UPPER(November!P14),"F")</f>
        <v/>
      </c>
      <c r="AI14" s="98">
        <f>Dezember!A14</f>
        <v>44540</v>
      </c>
      <c r="AJ14" s="264" t="str">
        <f>IF(Dezember!Q14&gt;0,Dezember!Q14,"")</f>
        <v/>
      </c>
      <c r="AK14" s="103" t="str">
        <f>IF(OR(Dezember!C14="",Dezember!P14&lt;&gt;""),UPPER(Dezember!P14),"F")</f>
        <v/>
      </c>
      <c r="AL14" s="58">
        <v>11</v>
      </c>
    </row>
    <row r="15" spans="1:38" x14ac:dyDescent="0.2">
      <c r="A15" s="57">
        <v>12</v>
      </c>
      <c r="B15" s="98">
        <f>Januar!A16</f>
        <v>44207</v>
      </c>
      <c r="C15" s="264" t="str">
        <f>IF(Januar!R16&gt;0,Januar!R16,"")</f>
        <v/>
      </c>
      <c r="D15" s="99" t="str">
        <f>IF(OR(Januar!C16="",Januar!Q16&lt;&gt;""),UPPER(Januar!Q16),"F")</f>
        <v/>
      </c>
      <c r="E15" s="98">
        <f>Februar!A16</f>
        <v>44238</v>
      </c>
      <c r="F15" s="264" t="str">
        <f>IF(Februar!R16&gt;0,Februar!R16,"")</f>
        <v/>
      </c>
      <c r="G15" s="100" t="str">
        <f>IF(OR(Februar!C16="",Februar!Q16&lt;&gt;""),UPPER(Februar!Q16),"F")</f>
        <v/>
      </c>
      <c r="H15" s="101">
        <f>März!A15</f>
        <v>44266</v>
      </c>
      <c r="I15" s="264" t="str">
        <f>IF(März!Q15&gt;0,März!Q15,"")</f>
        <v/>
      </c>
      <c r="J15" s="102" t="str">
        <f>IF(OR(März!C15="",März!P15&lt;&gt;""),UPPER(März!P15),"F")</f>
        <v/>
      </c>
      <c r="K15" s="98">
        <f>April!A15</f>
        <v>44297</v>
      </c>
      <c r="L15" s="264" t="str">
        <f>IF(April!Q15&gt;0,April!Q15,"")</f>
        <v/>
      </c>
      <c r="M15" s="103" t="str">
        <f>IF(OR(April!C15="",April!P15&lt;&gt;""),UPPER(April!P15),"F")</f>
        <v/>
      </c>
      <c r="N15" s="101">
        <f>Mai!A15</f>
        <v>44327</v>
      </c>
      <c r="O15" s="264" t="str">
        <f>IF(Mai!Q15&gt;0,Mai!Q15,"")</f>
        <v/>
      </c>
      <c r="P15" s="99" t="str">
        <f>IF(OR(Mai!C15="",Mai!P15&lt;&gt;""),UPPER(Mai!P15),"F")</f>
        <v/>
      </c>
      <c r="Q15" s="98">
        <f>Juni!A15</f>
        <v>44358</v>
      </c>
      <c r="R15" s="264" t="str">
        <f>IF(Juni!Q15&gt;0,Juni!Q15,"")</f>
        <v/>
      </c>
      <c r="S15" s="103" t="str">
        <f>IF(OR(Juni!C15="",Juni!P15&lt;&gt;""),UPPER(Juni!P15),"F")</f>
        <v/>
      </c>
      <c r="T15" s="101">
        <f>Juli!A15</f>
        <v>44388</v>
      </c>
      <c r="U15" s="264" t="str">
        <f>IF(Juli!Q15&gt;0,Juli!Q15,"")</f>
        <v/>
      </c>
      <c r="V15" s="102" t="str">
        <f>IF(OR(Juli!C15="",Juli!P15&lt;&gt;""),UPPER(Juli!P15),"F")</f>
        <v/>
      </c>
      <c r="W15" s="98">
        <f>August!A15</f>
        <v>44419</v>
      </c>
      <c r="X15" s="264" t="str">
        <f>IF(August!Q15&gt;0,August!Q15,"")</f>
        <v/>
      </c>
      <c r="Y15" s="103" t="str">
        <f>IF(OR(August!C15="",August!P15&lt;&gt;""),UPPER(August!P15),"F")</f>
        <v/>
      </c>
      <c r="Z15" s="101">
        <f>September!A15</f>
        <v>44450</v>
      </c>
      <c r="AA15" s="264" t="str">
        <f>IF(September!Q15&gt;0,September!Q15,"")</f>
        <v/>
      </c>
      <c r="AB15" s="102" t="str">
        <f>IF(OR(September!C15="",September!P15&lt;&gt;""),UPPER(September!P15),"F")</f>
        <v/>
      </c>
      <c r="AC15" s="98">
        <f>Oktober!A15</f>
        <v>44480</v>
      </c>
      <c r="AD15" s="264" t="str">
        <f>IF(Oktober!Q15&gt;0,Oktober!Q15,"")</f>
        <v/>
      </c>
      <c r="AE15" s="103" t="str">
        <f>IF(OR(Oktober!C15="",Oktober!P15&lt;&gt;""),UPPER(Oktober!P15),"F")</f>
        <v/>
      </c>
      <c r="AF15" s="101">
        <f>November!A15</f>
        <v>44511</v>
      </c>
      <c r="AG15" s="264" t="str">
        <f>IF(November!Q15&gt;0,November!Q15,"")</f>
        <v/>
      </c>
      <c r="AH15" s="102" t="str">
        <f>IF(OR(November!C15="",November!P15&lt;&gt;""),UPPER(November!P15),"F")</f>
        <v/>
      </c>
      <c r="AI15" s="98">
        <f>Dezember!A15</f>
        <v>44541</v>
      </c>
      <c r="AJ15" s="264" t="str">
        <f>IF(Dezember!Q15&gt;0,Dezember!Q15,"")</f>
        <v/>
      </c>
      <c r="AK15" s="103" t="str">
        <f>IF(OR(Dezember!C15="",Dezember!P15&lt;&gt;""),UPPER(Dezember!P15),"F")</f>
        <v/>
      </c>
      <c r="AL15" s="58">
        <v>12</v>
      </c>
    </row>
    <row r="16" spans="1:38" x14ac:dyDescent="0.2">
      <c r="A16" s="57">
        <v>13</v>
      </c>
      <c r="B16" s="98">
        <f>Januar!A17</f>
        <v>44208</v>
      </c>
      <c r="C16" s="264" t="str">
        <f>IF(Januar!R17&gt;0,Januar!R17,"")</f>
        <v/>
      </c>
      <c r="D16" s="99" t="str">
        <f>IF(OR(Januar!C17="",Januar!Q17&lt;&gt;""),UPPER(Januar!Q17),"F")</f>
        <v/>
      </c>
      <c r="E16" s="98">
        <f>Februar!A17</f>
        <v>44239</v>
      </c>
      <c r="F16" s="264" t="str">
        <f>IF(Februar!R17&gt;0,Februar!R17,"")</f>
        <v/>
      </c>
      <c r="G16" s="100" t="str">
        <f>IF(OR(Februar!C17="",Februar!Q17&lt;&gt;""),UPPER(Februar!Q17),"F")</f>
        <v/>
      </c>
      <c r="H16" s="101">
        <f>März!A16</f>
        <v>44267</v>
      </c>
      <c r="I16" s="264" t="str">
        <f>IF(März!Q16&gt;0,März!Q16,"")</f>
        <v/>
      </c>
      <c r="J16" s="102" t="str">
        <f>IF(OR(März!C16="",März!P16&lt;&gt;""),UPPER(März!P16),"F")</f>
        <v/>
      </c>
      <c r="K16" s="98">
        <f>April!A16</f>
        <v>44298</v>
      </c>
      <c r="L16" s="264" t="str">
        <f>IF(April!Q16&gt;0,April!Q16,"")</f>
        <v/>
      </c>
      <c r="M16" s="103" t="str">
        <f>IF(OR(April!C16="",April!P16&lt;&gt;""),UPPER(April!P16),"F")</f>
        <v/>
      </c>
      <c r="N16" s="101">
        <f>Mai!A16</f>
        <v>44328</v>
      </c>
      <c r="O16" s="264" t="str">
        <f>IF(Mai!Q16&gt;0,Mai!Q16,"")</f>
        <v/>
      </c>
      <c r="P16" s="99" t="str">
        <f>IF(OR(Mai!C16="",Mai!P16&lt;&gt;""),UPPER(Mai!P16),"F")</f>
        <v/>
      </c>
      <c r="Q16" s="98">
        <f>Juni!A16</f>
        <v>44359</v>
      </c>
      <c r="R16" s="264" t="str">
        <f>IF(Juni!Q16&gt;0,Juni!Q16,"")</f>
        <v/>
      </c>
      <c r="S16" s="103" t="str">
        <f>IF(OR(Juni!C16="",Juni!P16&lt;&gt;""),UPPER(Juni!P16),"F")</f>
        <v/>
      </c>
      <c r="T16" s="101">
        <f>Juli!A16</f>
        <v>44389</v>
      </c>
      <c r="U16" s="264" t="str">
        <f>IF(Juli!Q16&gt;0,Juli!Q16,"")</f>
        <v/>
      </c>
      <c r="V16" s="102" t="str">
        <f>IF(OR(Juli!C16="",Juli!P16&lt;&gt;""),UPPER(Juli!P16),"F")</f>
        <v/>
      </c>
      <c r="W16" s="98">
        <f>August!A16</f>
        <v>44420</v>
      </c>
      <c r="X16" s="264" t="str">
        <f>IF(August!Q16&gt;0,August!Q16,"")</f>
        <v/>
      </c>
      <c r="Y16" s="103" t="str">
        <f>IF(OR(August!C16="",August!P16&lt;&gt;""),UPPER(August!P16),"F")</f>
        <v/>
      </c>
      <c r="Z16" s="101">
        <f>September!A16</f>
        <v>44451</v>
      </c>
      <c r="AA16" s="264" t="str">
        <f>IF(September!Q16&gt;0,September!Q16,"")</f>
        <v/>
      </c>
      <c r="AB16" s="102" t="str">
        <f>IF(OR(September!C16="",September!P16&lt;&gt;""),UPPER(September!P16),"F")</f>
        <v/>
      </c>
      <c r="AC16" s="98">
        <f>Oktober!A16</f>
        <v>44481</v>
      </c>
      <c r="AD16" s="264" t="str">
        <f>IF(Oktober!Q16&gt;0,Oktober!Q16,"")</f>
        <v/>
      </c>
      <c r="AE16" s="103" t="str">
        <f>IF(OR(Oktober!C16="",Oktober!P16&lt;&gt;""),UPPER(Oktober!P16),"F")</f>
        <v/>
      </c>
      <c r="AF16" s="101">
        <f>November!A16</f>
        <v>44512</v>
      </c>
      <c r="AG16" s="264" t="str">
        <f>IF(November!Q16&gt;0,November!Q16,"")</f>
        <v/>
      </c>
      <c r="AH16" s="102" t="str">
        <f>IF(OR(November!C16="",November!P16&lt;&gt;""),UPPER(November!P16),"F")</f>
        <v/>
      </c>
      <c r="AI16" s="98">
        <f>Dezember!A16</f>
        <v>44542</v>
      </c>
      <c r="AJ16" s="264" t="str">
        <f>IF(Dezember!Q16&gt;0,Dezember!Q16,"")</f>
        <v/>
      </c>
      <c r="AK16" s="103" t="str">
        <f>IF(OR(Dezember!C16="",Dezember!P16&lt;&gt;""),UPPER(Dezember!P16),"F")</f>
        <v/>
      </c>
      <c r="AL16" s="58">
        <v>13</v>
      </c>
    </row>
    <row r="17" spans="1:38" x14ac:dyDescent="0.2">
      <c r="A17" s="57">
        <v>14</v>
      </c>
      <c r="B17" s="98">
        <f>Januar!A18</f>
        <v>44209</v>
      </c>
      <c r="C17" s="264" t="str">
        <f>IF(Januar!R18&gt;0,Januar!R18,"")</f>
        <v/>
      </c>
      <c r="D17" s="99" t="str">
        <f>IF(OR(Januar!C18="",Januar!Q18&lt;&gt;""),UPPER(Januar!Q18),"F")</f>
        <v/>
      </c>
      <c r="E17" s="98">
        <f>Februar!A18</f>
        <v>44240</v>
      </c>
      <c r="F17" s="264" t="str">
        <f>IF(Februar!R18&gt;0,Februar!R18,"")</f>
        <v/>
      </c>
      <c r="G17" s="100" t="str">
        <f>IF(OR(Februar!C18="",Februar!Q18&lt;&gt;""),UPPER(Februar!Q18),"F")</f>
        <v/>
      </c>
      <c r="H17" s="101">
        <f>März!A17</f>
        <v>44268</v>
      </c>
      <c r="I17" s="264" t="str">
        <f>IF(März!Q17&gt;0,März!Q17,"")</f>
        <v/>
      </c>
      <c r="J17" s="102" t="str">
        <f>IF(OR(März!C17="",März!P17&lt;&gt;""),UPPER(März!P17),"F")</f>
        <v/>
      </c>
      <c r="K17" s="98">
        <f>April!A17</f>
        <v>44299</v>
      </c>
      <c r="L17" s="264" t="str">
        <f>IF(April!Q17&gt;0,April!Q17,"")</f>
        <v/>
      </c>
      <c r="M17" s="103" t="str">
        <f>IF(OR(April!C17="",April!P17&lt;&gt;""),UPPER(April!P17),"F")</f>
        <v/>
      </c>
      <c r="N17" s="101">
        <f>Mai!A17</f>
        <v>44329</v>
      </c>
      <c r="O17" s="264" t="str">
        <f>IF(Mai!Q17&gt;0,Mai!Q17,"")</f>
        <v/>
      </c>
      <c r="P17" s="99" t="str">
        <f>IF(OR(Mai!C17="",Mai!P17&lt;&gt;""),UPPER(Mai!P17),"F")</f>
        <v/>
      </c>
      <c r="Q17" s="98">
        <f>Juni!A17</f>
        <v>44360</v>
      </c>
      <c r="R17" s="264" t="str">
        <f>IF(Juni!Q17&gt;0,Juni!Q17,"")</f>
        <v/>
      </c>
      <c r="S17" s="103" t="str">
        <f>IF(OR(Juni!C17="",Juni!P17&lt;&gt;""),UPPER(Juni!P17),"F")</f>
        <v/>
      </c>
      <c r="T17" s="101">
        <f>Juli!A17</f>
        <v>44390</v>
      </c>
      <c r="U17" s="264" t="str">
        <f>IF(Juli!Q17&gt;0,Juli!Q17,"")</f>
        <v/>
      </c>
      <c r="V17" s="102" t="str">
        <f>IF(OR(Juli!C17="",Juli!P17&lt;&gt;""),UPPER(Juli!P17),"F")</f>
        <v/>
      </c>
      <c r="W17" s="98">
        <f>August!A17</f>
        <v>44421</v>
      </c>
      <c r="X17" s="264" t="str">
        <f>IF(August!Q17&gt;0,August!Q17,"")</f>
        <v/>
      </c>
      <c r="Y17" s="103" t="str">
        <f>IF(OR(August!C17="",August!P17&lt;&gt;""),UPPER(August!P17),"F")</f>
        <v/>
      </c>
      <c r="Z17" s="101">
        <f>September!A17</f>
        <v>44452</v>
      </c>
      <c r="AA17" s="264" t="str">
        <f>IF(September!Q17&gt;0,September!Q17,"")</f>
        <v/>
      </c>
      <c r="AB17" s="102" t="str">
        <f>IF(OR(September!C17="",September!P17&lt;&gt;""),UPPER(September!P17),"F")</f>
        <v/>
      </c>
      <c r="AC17" s="98">
        <f>Oktober!A17</f>
        <v>44482</v>
      </c>
      <c r="AD17" s="264" t="str">
        <f>IF(Oktober!Q17&gt;0,Oktober!Q17,"")</f>
        <v/>
      </c>
      <c r="AE17" s="103" t="str">
        <f>IF(OR(Oktober!C17="",Oktober!P17&lt;&gt;""),UPPER(Oktober!P17),"F")</f>
        <v/>
      </c>
      <c r="AF17" s="101">
        <f>November!A17</f>
        <v>44513</v>
      </c>
      <c r="AG17" s="264" t="str">
        <f>IF(November!Q17&gt;0,November!Q17,"")</f>
        <v/>
      </c>
      <c r="AH17" s="102" t="str">
        <f>IF(OR(November!C17="",November!P17&lt;&gt;""),UPPER(November!P17),"F")</f>
        <v/>
      </c>
      <c r="AI17" s="98">
        <f>Dezember!A17</f>
        <v>44543</v>
      </c>
      <c r="AJ17" s="264" t="str">
        <f>IF(Dezember!Q17&gt;0,Dezember!Q17,"")</f>
        <v/>
      </c>
      <c r="AK17" s="103" t="str">
        <f>IF(OR(Dezember!C17="",Dezember!P17&lt;&gt;""),UPPER(Dezember!P17),"F")</f>
        <v/>
      </c>
      <c r="AL17" s="58">
        <v>14</v>
      </c>
    </row>
    <row r="18" spans="1:38" x14ac:dyDescent="0.2">
      <c r="A18" s="57">
        <v>15</v>
      </c>
      <c r="B18" s="98">
        <f>Januar!A19</f>
        <v>44210</v>
      </c>
      <c r="C18" s="264" t="str">
        <f>IF(Januar!R19&gt;0,Januar!R19,"")</f>
        <v/>
      </c>
      <c r="D18" s="99" t="str">
        <f>IF(OR(Januar!C19="",Januar!Q19&lt;&gt;""),UPPER(Januar!Q19),"F")</f>
        <v/>
      </c>
      <c r="E18" s="98">
        <f>Februar!A19</f>
        <v>44241</v>
      </c>
      <c r="F18" s="264" t="str">
        <f>IF(Februar!R19&gt;0,Februar!R19,"")</f>
        <v/>
      </c>
      <c r="G18" s="100" t="str">
        <f>IF(OR(Februar!C19="",Februar!Q19&lt;&gt;""),UPPER(Februar!Q19),"F")</f>
        <v/>
      </c>
      <c r="H18" s="101">
        <f>März!A18</f>
        <v>44269</v>
      </c>
      <c r="I18" s="264" t="str">
        <f>IF(März!Q18&gt;0,März!Q18,"")</f>
        <v/>
      </c>
      <c r="J18" s="102" t="str">
        <f>IF(OR(März!C18="",März!P18&lt;&gt;""),UPPER(März!P18),"F")</f>
        <v/>
      </c>
      <c r="K18" s="98">
        <f>April!A18</f>
        <v>44300</v>
      </c>
      <c r="L18" s="264" t="str">
        <f>IF(April!Q18&gt;0,April!Q18,"")</f>
        <v/>
      </c>
      <c r="M18" s="103" t="str">
        <f>IF(OR(April!C18="",April!P18&lt;&gt;""),UPPER(April!P18),"F")</f>
        <v/>
      </c>
      <c r="N18" s="101">
        <f>Mai!A18</f>
        <v>44330</v>
      </c>
      <c r="O18" s="264" t="str">
        <f>IF(Mai!Q18&gt;0,Mai!Q18,"")</f>
        <v/>
      </c>
      <c r="P18" s="99" t="str">
        <f>IF(OR(Mai!C18="",Mai!P18&lt;&gt;""),UPPER(Mai!P18),"F")</f>
        <v/>
      </c>
      <c r="Q18" s="98">
        <f>Juni!A18</f>
        <v>44361</v>
      </c>
      <c r="R18" s="264" t="str">
        <f>IF(Juni!Q18&gt;0,Juni!Q18,"")</f>
        <v/>
      </c>
      <c r="S18" s="103" t="str">
        <f>IF(OR(Juni!C18="",Juni!P18&lt;&gt;""),UPPER(Juni!P18),"F")</f>
        <v/>
      </c>
      <c r="T18" s="101">
        <f>Juli!A18</f>
        <v>44391</v>
      </c>
      <c r="U18" s="264" t="str">
        <f>IF(Juli!Q18&gt;0,Juli!Q18,"")</f>
        <v/>
      </c>
      <c r="V18" s="102" t="str">
        <f>IF(OR(Juli!C18="",Juli!P18&lt;&gt;""),UPPER(Juli!P18),"F")</f>
        <v/>
      </c>
      <c r="W18" s="98">
        <f>August!A18</f>
        <v>44422</v>
      </c>
      <c r="X18" s="264" t="str">
        <f>IF(August!Q18&gt;0,August!Q18,"")</f>
        <v/>
      </c>
      <c r="Y18" s="103" t="str">
        <f>IF(OR(August!C18="",August!P18&lt;&gt;""),UPPER(August!P18),"F")</f>
        <v/>
      </c>
      <c r="Z18" s="101">
        <f>September!A18</f>
        <v>44453</v>
      </c>
      <c r="AA18" s="264" t="str">
        <f>IF(September!Q18&gt;0,September!Q18,"")</f>
        <v/>
      </c>
      <c r="AB18" s="102" t="str">
        <f>IF(OR(September!C18="",September!P18&lt;&gt;""),UPPER(September!P18),"F")</f>
        <v/>
      </c>
      <c r="AC18" s="98">
        <f>Oktober!A18</f>
        <v>44483</v>
      </c>
      <c r="AD18" s="264" t="str">
        <f>IF(Oktober!Q18&gt;0,Oktober!Q18,"")</f>
        <v/>
      </c>
      <c r="AE18" s="103" t="str">
        <f>IF(OR(Oktober!C18="",Oktober!P18&lt;&gt;""),UPPER(Oktober!P18),"F")</f>
        <v/>
      </c>
      <c r="AF18" s="101">
        <f>November!A18</f>
        <v>44514</v>
      </c>
      <c r="AG18" s="264" t="str">
        <f>IF(November!Q18&gt;0,November!Q18,"")</f>
        <v/>
      </c>
      <c r="AH18" s="102" t="str">
        <f>IF(OR(November!C18="",November!P18&lt;&gt;""),UPPER(November!P18),"F")</f>
        <v/>
      </c>
      <c r="AI18" s="98">
        <f>Dezember!A18</f>
        <v>44544</v>
      </c>
      <c r="AJ18" s="264" t="str">
        <f>IF(Dezember!Q18&gt;0,Dezember!Q18,"")</f>
        <v/>
      </c>
      <c r="AK18" s="103" t="str">
        <f>IF(OR(Dezember!C18="",Dezember!P18&lt;&gt;""),UPPER(Dezember!P18),"F")</f>
        <v/>
      </c>
      <c r="AL18" s="58">
        <v>15</v>
      </c>
    </row>
    <row r="19" spans="1:38" x14ac:dyDescent="0.2">
      <c r="A19" s="57">
        <v>16</v>
      </c>
      <c r="B19" s="98">
        <f>Januar!A20</f>
        <v>44211</v>
      </c>
      <c r="C19" s="264" t="str">
        <f>IF(Januar!R20&gt;0,Januar!R20,"")</f>
        <v/>
      </c>
      <c r="D19" s="99" t="str">
        <f>IF(OR(Januar!C20="",Januar!Q20&lt;&gt;""),UPPER(Januar!Q20),"F")</f>
        <v/>
      </c>
      <c r="E19" s="98">
        <f>Februar!A20</f>
        <v>44242</v>
      </c>
      <c r="F19" s="264" t="str">
        <f>IF(Februar!R20&gt;0,Februar!R20,"")</f>
        <v/>
      </c>
      <c r="G19" s="100" t="str">
        <f>IF(OR(Februar!C20="",Februar!Q20&lt;&gt;""),UPPER(Februar!Q20),"F")</f>
        <v/>
      </c>
      <c r="H19" s="101">
        <f>März!A19</f>
        <v>44270</v>
      </c>
      <c r="I19" s="264" t="str">
        <f>IF(März!Q19&gt;0,März!Q19,"")</f>
        <v/>
      </c>
      <c r="J19" s="102" t="str">
        <f>IF(OR(März!C19="",März!P19&lt;&gt;""),UPPER(März!P19),"F")</f>
        <v/>
      </c>
      <c r="K19" s="98">
        <f>April!A19</f>
        <v>44301</v>
      </c>
      <c r="L19" s="264" t="str">
        <f>IF(April!Q19&gt;0,April!Q19,"")</f>
        <v/>
      </c>
      <c r="M19" s="103" t="str">
        <f>IF(OR(April!C19="",April!P19&lt;&gt;""),UPPER(April!P19),"F")</f>
        <v/>
      </c>
      <c r="N19" s="101">
        <f>Mai!A19</f>
        <v>44331</v>
      </c>
      <c r="O19" s="264" t="str">
        <f>IF(Mai!Q19&gt;0,Mai!Q19,"")</f>
        <v/>
      </c>
      <c r="P19" s="99" t="str">
        <f>IF(OR(Mai!C19="",Mai!P19&lt;&gt;""),UPPER(Mai!P19),"F")</f>
        <v/>
      </c>
      <c r="Q19" s="98">
        <f>Juni!A19</f>
        <v>44362</v>
      </c>
      <c r="R19" s="264" t="str">
        <f>IF(Juni!Q19&gt;0,Juni!Q19,"")</f>
        <v/>
      </c>
      <c r="S19" s="103" t="str">
        <f>IF(OR(Juni!C19="",Juni!P19&lt;&gt;""),UPPER(Juni!P19),"F")</f>
        <v/>
      </c>
      <c r="T19" s="101">
        <f>Juli!A19</f>
        <v>44392</v>
      </c>
      <c r="U19" s="264" t="str">
        <f>IF(Juli!Q19&gt;0,Juli!Q19,"")</f>
        <v/>
      </c>
      <c r="V19" s="102" t="str">
        <f>IF(OR(Juli!C19="",Juli!P19&lt;&gt;""),UPPER(Juli!P19),"F")</f>
        <v/>
      </c>
      <c r="W19" s="98">
        <f>August!A19</f>
        <v>44423</v>
      </c>
      <c r="X19" s="264" t="str">
        <f>IF(August!Q19&gt;0,August!Q19,"")</f>
        <v/>
      </c>
      <c r="Y19" s="103" t="str">
        <f>IF(OR(August!C19="",August!P19&lt;&gt;""),UPPER(August!P19),"F")</f>
        <v/>
      </c>
      <c r="Z19" s="101">
        <f>September!A19</f>
        <v>44454</v>
      </c>
      <c r="AA19" s="264" t="str">
        <f>IF(September!Q19&gt;0,September!Q19,"")</f>
        <v/>
      </c>
      <c r="AB19" s="102" t="str">
        <f>IF(OR(September!C19="",September!P19&lt;&gt;""),UPPER(September!P19),"F")</f>
        <v/>
      </c>
      <c r="AC19" s="98">
        <f>Oktober!A19</f>
        <v>44484</v>
      </c>
      <c r="AD19" s="264" t="str">
        <f>IF(Oktober!Q19&gt;0,Oktober!Q19,"")</f>
        <v/>
      </c>
      <c r="AE19" s="103" t="str">
        <f>IF(OR(Oktober!C19="",Oktober!P19&lt;&gt;""),UPPER(Oktober!P19),"F")</f>
        <v/>
      </c>
      <c r="AF19" s="101">
        <f>November!A19</f>
        <v>44515</v>
      </c>
      <c r="AG19" s="264" t="str">
        <f>IF(November!Q19&gt;0,November!Q19,"")</f>
        <v/>
      </c>
      <c r="AH19" s="102" t="str">
        <f>IF(OR(November!C19="",November!P19&lt;&gt;""),UPPER(November!P19),"F")</f>
        <v/>
      </c>
      <c r="AI19" s="98">
        <f>Dezember!A19</f>
        <v>44545</v>
      </c>
      <c r="AJ19" s="264" t="str">
        <f>IF(Dezember!Q19&gt;0,Dezember!Q19,"")</f>
        <v/>
      </c>
      <c r="AK19" s="103" t="str">
        <f>IF(OR(Dezember!C19="",Dezember!P19&lt;&gt;""),UPPER(Dezember!P19),"F")</f>
        <v/>
      </c>
      <c r="AL19" s="58">
        <v>16</v>
      </c>
    </row>
    <row r="20" spans="1:38" x14ac:dyDescent="0.2">
      <c r="A20" s="57">
        <v>17</v>
      </c>
      <c r="B20" s="98">
        <f>Januar!A21</f>
        <v>44212</v>
      </c>
      <c r="C20" s="264" t="str">
        <f>IF(Januar!R21&gt;0,Januar!R21,"")</f>
        <v/>
      </c>
      <c r="D20" s="99" t="str">
        <f>IF(OR(Januar!C21="",Januar!Q21&lt;&gt;""),UPPER(Januar!Q21),"F")</f>
        <v/>
      </c>
      <c r="E20" s="98">
        <f>Februar!A21</f>
        <v>44243</v>
      </c>
      <c r="F20" s="264" t="str">
        <f>IF(Februar!R21&gt;0,Februar!R21,"")</f>
        <v/>
      </c>
      <c r="G20" s="100" t="str">
        <f>IF(OR(Februar!C21="",Februar!Q21&lt;&gt;""),UPPER(Februar!Q21),"F")</f>
        <v/>
      </c>
      <c r="H20" s="101">
        <f>März!A20</f>
        <v>44271</v>
      </c>
      <c r="I20" s="264" t="str">
        <f>IF(März!Q20&gt;0,März!Q20,"")</f>
        <v/>
      </c>
      <c r="J20" s="102" t="str">
        <f>IF(OR(März!C20="",März!P20&lt;&gt;""),UPPER(März!P20),"F")</f>
        <v/>
      </c>
      <c r="K20" s="98">
        <f>April!A20</f>
        <v>44302</v>
      </c>
      <c r="L20" s="264" t="str">
        <f>IF(April!Q20&gt;0,April!Q20,"")</f>
        <v/>
      </c>
      <c r="M20" s="103" t="str">
        <f>IF(OR(April!C20="",April!P20&lt;&gt;""),UPPER(April!P20),"F")</f>
        <v/>
      </c>
      <c r="N20" s="101">
        <f>Mai!A20</f>
        <v>44332</v>
      </c>
      <c r="O20" s="264" t="str">
        <f>IF(Mai!Q20&gt;0,Mai!Q20,"")</f>
        <v/>
      </c>
      <c r="P20" s="99" t="str">
        <f>IF(OR(Mai!C20="",Mai!P20&lt;&gt;""),UPPER(Mai!P20),"F")</f>
        <v/>
      </c>
      <c r="Q20" s="98">
        <f>Juni!A20</f>
        <v>44363</v>
      </c>
      <c r="R20" s="264" t="str">
        <f>IF(Juni!Q20&gt;0,Juni!Q20,"")</f>
        <v/>
      </c>
      <c r="S20" s="103" t="str">
        <f>IF(OR(Juni!C20="",Juni!P20&lt;&gt;""),UPPER(Juni!P20),"F")</f>
        <v/>
      </c>
      <c r="T20" s="101">
        <f>Juli!A20</f>
        <v>44393</v>
      </c>
      <c r="U20" s="264" t="str">
        <f>IF(Juli!Q20&gt;0,Juli!Q20,"")</f>
        <v/>
      </c>
      <c r="V20" s="102" t="str">
        <f>IF(OR(Juli!C20="",Juli!P20&lt;&gt;""),UPPER(Juli!P20),"F")</f>
        <v/>
      </c>
      <c r="W20" s="98">
        <f>August!A20</f>
        <v>44424</v>
      </c>
      <c r="X20" s="264" t="str">
        <f>IF(August!Q20&gt;0,August!Q20,"")</f>
        <v/>
      </c>
      <c r="Y20" s="103" t="str">
        <f>IF(OR(August!C20="",August!P20&lt;&gt;""),UPPER(August!P20),"F")</f>
        <v/>
      </c>
      <c r="Z20" s="101">
        <f>September!A20</f>
        <v>44455</v>
      </c>
      <c r="AA20" s="264" t="str">
        <f>IF(September!Q20&gt;0,September!Q20,"")</f>
        <v/>
      </c>
      <c r="AB20" s="102" t="str">
        <f>IF(OR(September!C20="",September!P20&lt;&gt;""),UPPER(September!P20),"F")</f>
        <v/>
      </c>
      <c r="AC20" s="98">
        <f>Oktober!A20</f>
        <v>44485</v>
      </c>
      <c r="AD20" s="264" t="str">
        <f>IF(Oktober!Q20&gt;0,Oktober!Q20,"")</f>
        <v/>
      </c>
      <c r="AE20" s="103" t="str">
        <f>IF(OR(Oktober!C20="",Oktober!P20&lt;&gt;""),UPPER(Oktober!P20),"F")</f>
        <v/>
      </c>
      <c r="AF20" s="101">
        <f>November!A20</f>
        <v>44516</v>
      </c>
      <c r="AG20" s="264" t="str">
        <f>IF(November!Q20&gt;0,November!Q20,"")</f>
        <v/>
      </c>
      <c r="AH20" s="102" t="str">
        <f>IF(OR(November!C20="",November!P20&lt;&gt;""),UPPER(November!P20),"F")</f>
        <v/>
      </c>
      <c r="AI20" s="98">
        <f>Dezember!A20</f>
        <v>44546</v>
      </c>
      <c r="AJ20" s="264" t="str">
        <f>IF(Dezember!Q20&gt;0,Dezember!Q20,"")</f>
        <v/>
      </c>
      <c r="AK20" s="103" t="str">
        <f>IF(OR(Dezember!C20="",Dezember!P20&lt;&gt;""),UPPER(Dezember!P20),"F")</f>
        <v/>
      </c>
      <c r="AL20" s="58">
        <v>17</v>
      </c>
    </row>
    <row r="21" spans="1:38" x14ac:dyDescent="0.2">
      <c r="A21" s="57">
        <v>18</v>
      </c>
      <c r="B21" s="98">
        <f>Januar!A22</f>
        <v>44213</v>
      </c>
      <c r="C21" s="264" t="str">
        <f>IF(Januar!R22&gt;0,Januar!R22,"")</f>
        <v/>
      </c>
      <c r="D21" s="99" t="str">
        <f>IF(OR(Januar!C22="",Januar!Q22&lt;&gt;""),UPPER(Januar!Q22),"F")</f>
        <v/>
      </c>
      <c r="E21" s="98">
        <f>Februar!A22</f>
        <v>44244</v>
      </c>
      <c r="F21" s="264" t="str">
        <f>IF(Februar!R22&gt;0,Februar!R22,"")</f>
        <v/>
      </c>
      <c r="G21" s="100" t="str">
        <f>IF(OR(Februar!C22="",Februar!Q22&lt;&gt;""),UPPER(Februar!Q22),"F")</f>
        <v/>
      </c>
      <c r="H21" s="101">
        <f>März!A21</f>
        <v>44272</v>
      </c>
      <c r="I21" s="264" t="str">
        <f>IF(März!Q21&gt;0,März!Q21,"")</f>
        <v/>
      </c>
      <c r="J21" s="102" t="str">
        <f>IF(OR(März!C21="",März!P21&lt;&gt;""),UPPER(März!P21),"F")</f>
        <v/>
      </c>
      <c r="K21" s="98">
        <f>April!A21</f>
        <v>44303</v>
      </c>
      <c r="L21" s="264" t="str">
        <f>IF(April!Q21&gt;0,April!Q21,"")</f>
        <v/>
      </c>
      <c r="M21" s="103" t="str">
        <f>IF(OR(April!C21="",April!P21&lt;&gt;""),UPPER(April!P21),"F")</f>
        <v>F</v>
      </c>
      <c r="N21" s="101">
        <f>Mai!A21</f>
        <v>44333</v>
      </c>
      <c r="O21" s="264" t="str">
        <f>IF(Mai!Q21&gt;0,Mai!Q21,"")</f>
        <v/>
      </c>
      <c r="P21" s="99" t="str">
        <f>IF(OR(Mai!C21="",Mai!P21&lt;&gt;""),UPPER(Mai!P21),"F")</f>
        <v/>
      </c>
      <c r="Q21" s="98">
        <f>Juni!A21</f>
        <v>44364</v>
      </c>
      <c r="R21" s="264" t="str">
        <f>IF(Juni!Q21&gt;0,Juni!Q21,"")</f>
        <v/>
      </c>
      <c r="S21" s="103" t="str">
        <f>IF(OR(Juni!C21="",Juni!P21&lt;&gt;""),UPPER(Juni!P21),"F")</f>
        <v/>
      </c>
      <c r="T21" s="101">
        <f>Juli!A21</f>
        <v>44394</v>
      </c>
      <c r="U21" s="264" t="str">
        <f>IF(Juli!Q21&gt;0,Juli!Q21,"")</f>
        <v/>
      </c>
      <c r="V21" s="102" t="str">
        <f>IF(OR(Juli!C21="",Juli!P21&lt;&gt;""),UPPER(Juli!P21),"F")</f>
        <v/>
      </c>
      <c r="W21" s="98">
        <f>August!A21</f>
        <v>44425</v>
      </c>
      <c r="X21" s="264" t="str">
        <f>IF(August!Q21&gt;0,August!Q21,"")</f>
        <v/>
      </c>
      <c r="Y21" s="103" t="str">
        <f>IF(OR(August!C21="",August!P21&lt;&gt;""),UPPER(August!P21),"F")</f>
        <v/>
      </c>
      <c r="Z21" s="101">
        <f>September!A21</f>
        <v>44456</v>
      </c>
      <c r="AA21" s="264" t="str">
        <f>IF(September!Q21&gt;0,September!Q21,"")</f>
        <v/>
      </c>
      <c r="AB21" s="102" t="str">
        <f>IF(OR(September!C21="",September!P21&lt;&gt;""),UPPER(September!P21),"F")</f>
        <v/>
      </c>
      <c r="AC21" s="98">
        <f>Oktober!A21</f>
        <v>44486</v>
      </c>
      <c r="AD21" s="264" t="str">
        <f>IF(Oktober!Q21&gt;0,Oktober!Q21,"")</f>
        <v/>
      </c>
      <c r="AE21" s="103" t="str">
        <f>IF(OR(Oktober!C21="",Oktober!P21&lt;&gt;""),UPPER(Oktober!P21),"F")</f>
        <v/>
      </c>
      <c r="AF21" s="101">
        <f>November!A21</f>
        <v>44517</v>
      </c>
      <c r="AG21" s="264" t="str">
        <f>IF(November!Q21&gt;0,November!Q21,"")</f>
        <v/>
      </c>
      <c r="AH21" s="102" t="str">
        <f>IF(OR(November!C21="",November!P21&lt;&gt;""),UPPER(November!P21),"F")</f>
        <v/>
      </c>
      <c r="AI21" s="98">
        <f>Dezember!A21</f>
        <v>44547</v>
      </c>
      <c r="AJ21" s="264" t="str">
        <f>IF(Dezember!Q21&gt;0,Dezember!Q21,"")</f>
        <v/>
      </c>
      <c r="AK21" s="103" t="str">
        <f>IF(OR(Dezember!C21="",Dezember!P21&lt;&gt;""),UPPER(Dezember!P21),"F")</f>
        <v/>
      </c>
      <c r="AL21" s="58">
        <v>18</v>
      </c>
    </row>
    <row r="22" spans="1:38" x14ac:dyDescent="0.2">
      <c r="A22" s="57">
        <v>19</v>
      </c>
      <c r="B22" s="98">
        <f>Januar!A23</f>
        <v>44214</v>
      </c>
      <c r="C22" s="264" t="str">
        <f>IF(Januar!R23&gt;0,Januar!R23,"")</f>
        <v/>
      </c>
      <c r="D22" s="99" t="str">
        <f>IF(OR(Januar!C23="",Januar!Q23&lt;&gt;""),UPPER(Januar!Q23),"F")</f>
        <v/>
      </c>
      <c r="E22" s="98">
        <f>Februar!A23</f>
        <v>44245</v>
      </c>
      <c r="F22" s="264" t="str">
        <f>IF(Februar!R23&gt;0,Februar!R23,"")</f>
        <v/>
      </c>
      <c r="G22" s="100" t="str">
        <f>IF(OR(Februar!C23="",Februar!Q23&lt;&gt;""),UPPER(Februar!Q23),"F")</f>
        <v/>
      </c>
      <c r="H22" s="101">
        <f>März!A22</f>
        <v>44273</v>
      </c>
      <c r="I22" s="264" t="str">
        <f>IF(März!Q22&gt;0,März!Q22,"")</f>
        <v/>
      </c>
      <c r="J22" s="102" t="str">
        <f>IF(OR(März!C22="",März!P22&lt;&gt;""),UPPER(März!P22),"F")</f>
        <v/>
      </c>
      <c r="K22" s="98">
        <f>April!A22</f>
        <v>44304</v>
      </c>
      <c r="L22" s="264" t="str">
        <f>IF(April!Q22&gt;0,April!Q22,"")</f>
        <v/>
      </c>
      <c r="M22" s="103" t="str">
        <f>IF(OR(April!C22="",April!P22&lt;&gt;""),UPPER(April!P22),"F")</f>
        <v/>
      </c>
      <c r="N22" s="101">
        <f>Mai!A22</f>
        <v>44334</v>
      </c>
      <c r="O22" s="264" t="str">
        <f>IF(Mai!Q22&gt;0,Mai!Q22,"")</f>
        <v/>
      </c>
      <c r="P22" s="99" t="str">
        <f>IF(OR(Mai!C22="",Mai!P22&lt;&gt;""),UPPER(Mai!P22),"F")</f>
        <v/>
      </c>
      <c r="Q22" s="98">
        <f>Juni!A22</f>
        <v>44365</v>
      </c>
      <c r="R22" s="264" t="str">
        <f>IF(Juni!Q22&gt;0,Juni!Q22,"")</f>
        <v/>
      </c>
      <c r="S22" s="103" t="str">
        <f>IF(OR(Juni!C22="",Juni!P22&lt;&gt;""),UPPER(Juni!P22),"F")</f>
        <v/>
      </c>
      <c r="T22" s="101">
        <f>Juli!A22</f>
        <v>44395</v>
      </c>
      <c r="U22" s="264" t="str">
        <f>IF(Juli!Q22&gt;0,Juli!Q22,"")</f>
        <v/>
      </c>
      <c r="V22" s="102" t="str">
        <f>IF(OR(Juli!C22="",Juli!P22&lt;&gt;""),UPPER(Juli!P22),"F")</f>
        <v/>
      </c>
      <c r="W22" s="98">
        <f>August!A22</f>
        <v>44426</v>
      </c>
      <c r="X22" s="264" t="str">
        <f>IF(August!Q22&gt;0,August!Q22,"")</f>
        <v/>
      </c>
      <c r="Y22" s="103" t="str">
        <f>IF(OR(August!C22="",August!P22&lt;&gt;""),UPPER(August!P22),"F")</f>
        <v/>
      </c>
      <c r="Z22" s="101">
        <f>September!A22</f>
        <v>44457</v>
      </c>
      <c r="AA22" s="264" t="str">
        <f>IF(September!Q22&gt;0,September!Q22,"")</f>
        <v/>
      </c>
      <c r="AB22" s="102" t="str">
        <f>IF(OR(September!C22="",September!P22&lt;&gt;""),UPPER(September!P22),"F")</f>
        <v/>
      </c>
      <c r="AC22" s="98">
        <f>Oktober!A22</f>
        <v>44487</v>
      </c>
      <c r="AD22" s="264" t="str">
        <f>IF(Oktober!Q22&gt;0,Oktober!Q22,"")</f>
        <v/>
      </c>
      <c r="AE22" s="103" t="str">
        <f>IF(OR(Oktober!C22="",Oktober!P22&lt;&gt;""),UPPER(Oktober!P22),"F")</f>
        <v/>
      </c>
      <c r="AF22" s="101">
        <f>November!A22</f>
        <v>44518</v>
      </c>
      <c r="AG22" s="264" t="str">
        <f>IF(November!Q22&gt;0,November!Q22,"")</f>
        <v/>
      </c>
      <c r="AH22" s="102" t="str">
        <f>IF(OR(November!C22="",November!P22&lt;&gt;""),UPPER(November!P22),"F")</f>
        <v>F</v>
      </c>
      <c r="AI22" s="98">
        <f>Dezember!A22</f>
        <v>44548</v>
      </c>
      <c r="AJ22" s="264" t="str">
        <f>IF(Dezember!Q22&gt;0,Dezember!Q22,"")</f>
        <v/>
      </c>
      <c r="AK22" s="103" t="str">
        <f>IF(OR(Dezember!C22="",Dezember!P22&lt;&gt;""),UPPER(Dezember!P22),"F")</f>
        <v/>
      </c>
      <c r="AL22" s="58">
        <v>19</v>
      </c>
    </row>
    <row r="23" spans="1:38" x14ac:dyDescent="0.2">
      <c r="A23" s="57">
        <v>20</v>
      </c>
      <c r="B23" s="98">
        <f>Januar!A24</f>
        <v>44215</v>
      </c>
      <c r="C23" s="264" t="str">
        <f>IF(Januar!R24&gt;0,Januar!R24,"")</f>
        <v/>
      </c>
      <c r="D23" s="99" t="str">
        <f>IF(OR(Januar!C24="",Januar!Q24&lt;&gt;""),UPPER(Januar!Q24),"F")</f>
        <v/>
      </c>
      <c r="E23" s="98">
        <f>Februar!A24</f>
        <v>44246</v>
      </c>
      <c r="F23" s="264" t="str">
        <f>IF(Februar!R24&gt;0,Februar!R24,"")</f>
        <v/>
      </c>
      <c r="G23" s="100" t="str">
        <f>IF(OR(Februar!C24="",Februar!Q24&lt;&gt;""),UPPER(Februar!Q24),"F")</f>
        <v/>
      </c>
      <c r="H23" s="101">
        <f>März!A23</f>
        <v>44274</v>
      </c>
      <c r="I23" s="264" t="str">
        <f>IF(März!Q23&gt;0,März!Q23,"")</f>
        <v/>
      </c>
      <c r="J23" s="102" t="str">
        <f>IF(OR(März!C23="",März!P23&lt;&gt;""),UPPER(März!P23),"F")</f>
        <v/>
      </c>
      <c r="K23" s="98">
        <f>April!A23</f>
        <v>44305</v>
      </c>
      <c r="L23" s="264" t="str">
        <f>IF(April!Q23&gt;0,April!Q23,"")</f>
        <v/>
      </c>
      <c r="M23" s="103" t="str">
        <f>IF(OR(April!C23="",April!P23&lt;&gt;""),UPPER(April!P23),"F")</f>
        <v>F</v>
      </c>
      <c r="N23" s="101">
        <f>Mai!A23</f>
        <v>44335</v>
      </c>
      <c r="O23" s="264" t="str">
        <f>IF(Mai!Q23&gt;0,Mai!Q23,"")</f>
        <v/>
      </c>
      <c r="P23" s="99" t="str">
        <f>IF(OR(Mai!C23="",Mai!P23&lt;&gt;""),UPPER(Mai!P23),"F")</f>
        <v/>
      </c>
      <c r="Q23" s="98">
        <f>Juni!A23</f>
        <v>44366</v>
      </c>
      <c r="R23" s="264" t="str">
        <f>IF(Juni!Q23&gt;0,Juni!Q23,"")</f>
        <v/>
      </c>
      <c r="S23" s="103" t="str">
        <f>IF(OR(Juni!C23="",Juni!P23&lt;&gt;""),UPPER(Juni!P23),"F")</f>
        <v/>
      </c>
      <c r="T23" s="101">
        <f>Juli!A23</f>
        <v>44396</v>
      </c>
      <c r="U23" s="264" t="str">
        <f>IF(Juli!Q23&gt;0,Juli!Q23,"")</f>
        <v/>
      </c>
      <c r="V23" s="102" t="str">
        <f>IF(OR(Juli!C23="",Juli!P23&lt;&gt;""),UPPER(Juli!P23),"F")</f>
        <v/>
      </c>
      <c r="W23" s="98">
        <f>August!A23</f>
        <v>44427</v>
      </c>
      <c r="X23" s="264" t="str">
        <f>IF(August!Q23&gt;0,August!Q23,"")</f>
        <v/>
      </c>
      <c r="Y23" s="103" t="str">
        <f>IF(OR(August!C23="",August!P23&lt;&gt;""),UPPER(August!P23),"F")</f>
        <v/>
      </c>
      <c r="Z23" s="101">
        <f>September!A23</f>
        <v>44458</v>
      </c>
      <c r="AA23" s="264" t="str">
        <f>IF(September!Q23&gt;0,September!Q23,"")</f>
        <v/>
      </c>
      <c r="AB23" s="102" t="str">
        <f>IF(OR(September!C23="",September!P23&lt;&gt;""),UPPER(September!P23),"F")</f>
        <v/>
      </c>
      <c r="AC23" s="98">
        <f>Oktober!A23</f>
        <v>44488</v>
      </c>
      <c r="AD23" s="264" t="str">
        <f>IF(Oktober!Q23&gt;0,Oktober!Q23,"")</f>
        <v/>
      </c>
      <c r="AE23" s="103" t="str">
        <f>IF(OR(Oktober!C23="",Oktober!P23&lt;&gt;""),UPPER(Oktober!P23),"F")</f>
        <v/>
      </c>
      <c r="AF23" s="101">
        <f>November!A23</f>
        <v>44519</v>
      </c>
      <c r="AG23" s="264" t="str">
        <f>IF(November!Q23&gt;0,November!Q23,"")</f>
        <v/>
      </c>
      <c r="AH23" s="102" t="str">
        <f>IF(OR(November!C23="",November!P23&lt;&gt;""),UPPER(November!P23),"F")</f>
        <v/>
      </c>
      <c r="AI23" s="98">
        <f>Dezember!A23</f>
        <v>44549</v>
      </c>
      <c r="AJ23" s="264" t="str">
        <f>IF(Dezember!Q23&gt;0,Dezember!Q23,"")</f>
        <v/>
      </c>
      <c r="AK23" s="103" t="str">
        <f>IF(OR(Dezember!C23="",Dezember!P23&lt;&gt;""),UPPER(Dezember!P23),"F")</f>
        <v/>
      </c>
      <c r="AL23" s="58">
        <v>20</v>
      </c>
    </row>
    <row r="24" spans="1:38" x14ac:dyDescent="0.2">
      <c r="A24" s="57">
        <v>21</v>
      </c>
      <c r="B24" s="98">
        <f>Januar!A25</f>
        <v>44216</v>
      </c>
      <c r="C24" s="264" t="str">
        <f>IF(Januar!R25&gt;0,Januar!R25,"")</f>
        <v/>
      </c>
      <c r="D24" s="99" t="str">
        <f>IF(OR(Januar!C25="",Januar!Q25&lt;&gt;""),UPPER(Januar!Q25),"F")</f>
        <v/>
      </c>
      <c r="E24" s="98">
        <f>Februar!A25</f>
        <v>44247</v>
      </c>
      <c r="F24" s="264" t="str">
        <f>IF(Februar!R25&gt;0,Februar!R25,"")</f>
        <v/>
      </c>
      <c r="G24" s="100" t="str">
        <f>IF(OR(Februar!C25="",Februar!Q25&lt;&gt;""),UPPER(Februar!Q25),"F")</f>
        <v/>
      </c>
      <c r="H24" s="101">
        <f>März!A24</f>
        <v>44275</v>
      </c>
      <c r="I24" s="264" t="str">
        <f>IF(März!Q24&gt;0,März!Q24,"")</f>
        <v/>
      </c>
      <c r="J24" s="102" t="str">
        <f>IF(OR(März!C24="",März!P24&lt;&gt;""),UPPER(März!P24),"F")</f>
        <v/>
      </c>
      <c r="K24" s="98">
        <f>April!A24</f>
        <v>44306</v>
      </c>
      <c r="L24" s="264" t="str">
        <f>IF(April!Q24&gt;0,April!Q24,"")</f>
        <v/>
      </c>
      <c r="M24" s="103" t="str">
        <f>IF(OR(April!C24="",April!P24&lt;&gt;""),UPPER(April!P24),"F")</f>
        <v>F</v>
      </c>
      <c r="N24" s="101">
        <f>Mai!A24</f>
        <v>44336</v>
      </c>
      <c r="O24" s="264" t="str">
        <f>IF(Mai!Q24&gt;0,Mai!Q24,"")</f>
        <v/>
      </c>
      <c r="P24" s="99" t="str">
        <f>IF(OR(Mai!C24="",Mai!P24&lt;&gt;""),UPPER(Mai!P24),"F")</f>
        <v/>
      </c>
      <c r="Q24" s="98">
        <f>Juni!A24</f>
        <v>44367</v>
      </c>
      <c r="R24" s="264" t="str">
        <f>IF(Juni!Q24&gt;0,Juni!Q24,"")</f>
        <v/>
      </c>
      <c r="S24" s="103" t="str">
        <f>IF(OR(Juni!C24="",Juni!P24&lt;&gt;""),UPPER(Juni!P24),"F")</f>
        <v/>
      </c>
      <c r="T24" s="101">
        <f>Juli!A24</f>
        <v>44397</v>
      </c>
      <c r="U24" s="264" t="str">
        <f>IF(Juli!Q24&gt;0,Juli!Q24,"")</f>
        <v/>
      </c>
      <c r="V24" s="102" t="str">
        <f>IF(OR(Juli!C24="",Juli!P24&lt;&gt;""),UPPER(Juli!P24),"F")</f>
        <v/>
      </c>
      <c r="W24" s="98">
        <f>August!A24</f>
        <v>44428</v>
      </c>
      <c r="X24" s="264" t="str">
        <f>IF(August!Q24&gt;0,August!Q24,"")</f>
        <v/>
      </c>
      <c r="Y24" s="103" t="str">
        <f>IF(OR(August!C24="",August!P24&lt;&gt;""),UPPER(August!P24),"F")</f>
        <v/>
      </c>
      <c r="Z24" s="101">
        <f>September!A24</f>
        <v>44459</v>
      </c>
      <c r="AA24" s="264" t="str">
        <f>IF(September!Q24&gt;0,September!Q24,"")</f>
        <v/>
      </c>
      <c r="AB24" s="102" t="str">
        <f>IF(OR(September!C24="",September!P24&lt;&gt;""),UPPER(September!P24),"F")</f>
        <v/>
      </c>
      <c r="AC24" s="98">
        <f>Oktober!A24</f>
        <v>44489</v>
      </c>
      <c r="AD24" s="264" t="str">
        <f>IF(Oktober!Q24&gt;0,Oktober!Q24,"")</f>
        <v/>
      </c>
      <c r="AE24" s="103" t="str">
        <f>IF(OR(Oktober!C24="",Oktober!P24&lt;&gt;""),UPPER(Oktober!P24),"F")</f>
        <v/>
      </c>
      <c r="AF24" s="101">
        <f>November!A24</f>
        <v>44520</v>
      </c>
      <c r="AG24" s="264" t="str">
        <f>IF(November!Q24&gt;0,November!Q24,"")</f>
        <v/>
      </c>
      <c r="AH24" s="102" t="str">
        <f>IF(OR(November!C24="",November!P24&lt;&gt;""),UPPER(November!P24),"F")</f>
        <v/>
      </c>
      <c r="AI24" s="98">
        <f>Dezember!A24</f>
        <v>44550</v>
      </c>
      <c r="AJ24" s="264" t="str">
        <f>IF(Dezember!Q24&gt;0,Dezember!Q24,"")</f>
        <v/>
      </c>
      <c r="AK24" s="103" t="str">
        <f>IF(OR(Dezember!C24="",Dezember!P24&lt;&gt;""),UPPER(Dezember!P24),"F")</f>
        <v/>
      </c>
      <c r="AL24" s="58">
        <v>21</v>
      </c>
    </row>
    <row r="25" spans="1:38" x14ac:dyDescent="0.2">
      <c r="A25" s="57">
        <v>22</v>
      </c>
      <c r="B25" s="98">
        <f>Januar!A26</f>
        <v>44217</v>
      </c>
      <c r="C25" s="264" t="str">
        <f>IF(Januar!R26&gt;0,Januar!R26,"")</f>
        <v/>
      </c>
      <c r="D25" s="99" t="str">
        <f>IF(OR(Januar!C26="",Januar!Q26&lt;&gt;""),UPPER(Januar!Q26),"F")</f>
        <v/>
      </c>
      <c r="E25" s="98">
        <f>Februar!A26</f>
        <v>44248</v>
      </c>
      <c r="F25" s="264" t="str">
        <f>IF(Februar!R26&gt;0,Februar!R26,"")</f>
        <v/>
      </c>
      <c r="G25" s="100" t="str">
        <f>IF(OR(Februar!C26="",Februar!Q26&lt;&gt;""),UPPER(Februar!Q26),"F")</f>
        <v/>
      </c>
      <c r="H25" s="101">
        <f>März!A25</f>
        <v>44276</v>
      </c>
      <c r="I25" s="264" t="str">
        <f>IF(März!Q25&gt;0,März!Q25,"")</f>
        <v/>
      </c>
      <c r="J25" s="102" t="str">
        <f>IF(OR(März!C25="",März!P25&lt;&gt;""),UPPER(März!P25),"F")</f>
        <v/>
      </c>
      <c r="K25" s="98">
        <f>April!A25</f>
        <v>44307</v>
      </c>
      <c r="L25" s="264" t="str">
        <f>IF(April!Q25&gt;0,April!Q25,"")</f>
        <v/>
      </c>
      <c r="M25" s="103" t="str">
        <f>IF(OR(April!C25="",April!P25&lt;&gt;""),UPPER(April!P25),"F")</f>
        <v/>
      </c>
      <c r="N25" s="101">
        <f>Mai!A25</f>
        <v>44337</v>
      </c>
      <c r="O25" s="264" t="str">
        <f>IF(Mai!Q25&gt;0,Mai!Q25,"")</f>
        <v/>
      </c>
      <c r="P25" s="99" t="str">
        <f>IF(OR(Mai!C25="",Mai!P25&lt;&gt;""),UPPER(Mai!P25),"F")</f>
        <v/>
      </c>
      <c r="Q25" s="98">
        <f>Juni!A25</f>
        <v>44368</v>
      </c>
      <c r="R25" s="264" t="str">
        <f>IF(Juni!Q25&gt;0,Juni!Q25,"")</f>
        <v/>
      </c>
      <c r="S25" s="103" t="str">
        <f>IF(OR(Juni!C25="",Juni!P25&lt;&gt;""),UPPER(Juni!P25),"F")</f>
        <v/>
      </c>
      <c r="T25" s="101">
        <f>Juli!A25</f>
        <v>44398</v>
      </c>
      <c r="U25" s="264" t="str">
        <f>IF(Juli!Q25&gt;0,Juli!Q25,"")</f>
        <v/>
      </c>
      <c r="V25" s="102" t="str">
        <f>IF(OR(Juli!C25="",Juli!P25&lt;&gt;""),UPPER(Juli!P25),"F")</f>
        <v/>
      </c>
      <c r="W25" s="98">
        <f>August!A25</f>
        <v>44429</v>
      </c>
      <c r="X25" s="264" t="str">
        <f>IF(August!Q25&gt;0,August!Q25,"")</f>
        <v/>
      </c>
      <c r="Y25" s="103" t="str">
        <f>IF(OR(August!C25="",August!P25&lt;&gt;""),UPPER(August!P25),"F")</f>
        <v/>
      </c>
      <c r="Z25" s="101">
        <f>September!A25</f>
        <v>44460</v>
      </c>
      <c r="AA25" s="264" t="str">
        <f>IF(September!Q25&gt;0,September!Q25,"")</f>
        <v/>
      </c>
      <c r="AB25" s="102" t="str">
        <f>IF(OR(September!C25="",September!P25&lt;&gt;""),UPPER(September!P25),"F")</f>
        <v/>
      </c>
      <c r="AC25" s="98">
        <f>Oktober!A25</f>
        <v>44490</v>
      </c>
      <c r="AD25" s="264" t="str">
        <f>IF(Oktober!Q25&gt;0,Oktober!Q25,"")</f>
        <v/>
      </c>
      <c r="AE25" s="103" t="str">
        <f>IF(OR(Oktober!C25="",Oktober!P25&lt;&gt;""),UPPER(Oktober!P25),"F")</f>
        <v/>
      </c>
      <c r="AF25" s="101">
        <f>November!A25</f>
        <v>44521</v>
      </c>
      <c r="AG25" s="264" t="str">
        <f>IF(November!Q25&gt;0,November!Q25,"")</f>
        <v/>
      </c>
      <c r="AH25" s="102" t="str">
        <f>IF(OR(November!C25="",November!P25&lt;&gt;""),UPPER(November!P25),"F")</f>
        <v/>
      </c>
      <c r="AI25" s="98">
        <f>Dezember!A25</f>
        <v>44551</v>
      </c>
      <c r="AJ25" s="264" t="str">
        <f>IF(Dezember!Q25&gt;0,Dezember!Q25,"")</f>
        <v/>
      </c>
      <c r="AK25" s="103" t="str">
        <f>IF(OR(Dezember!C25="",Dezember!P25&lt;&gt;""),UPPER(Dezember!P25),"F")</f>
        <v/>
      </c>
      <c r="AL25" s="58">
        <v>22</v>
      </c>
    </row>
    <row r="26" spans="1:38" x14ac:dyDescent="0.2">
      <c r="A26" s="57">
        <v>23</v>
      </c>
      <c r="B26" s="98">
        <f>Januar!A27</f>
        <v>44218</v>
      </c>
      <c r="C26" s="264" t="str">
        <f>IF(Januar!R27&gt;0,Januar!R27,"")</f>
        <v/>
      </c>
      <c r="D26" s="99" t="str">
        <f>IF(OR(Januar!C27="",Januar!Q27&lt;&gt;""),UPPER(Januar!Q27),"F")</f>
        <v/>
      </c>
      <c r="E26" s="98">
        <f>Februar!A27</f>
        <v>44249</v>
      </c>
      <c r="F26" s="264" t="str">
        <f>IF(Februar!R27&gt;0,Februar!R27,"")</f>
        <v/>
      </c>
      <c r="G26" s="100" t="str">
        <f>IF(OR(Februar!C27="",Februar!Q27&lt;&gt;""),UPPER(Februar!Q27),"F")</f>
        <v/>
      </c>
      <c r="H26" s="101">
        <f>März!A26</f>
        <v>44277</v>
      </c>
      <c r="I26" s="264" t="str">
        <f>IF(März!Q26&gt;0,März!Q26,"")</f>
        <v/>
      </c>
      <c r="J26" s="102" t="str">
        <f>IF(OR(März!C26="",März!P26&lt;&gt;""),UPPER(März!P26),"F")</f>
        <v/>
      </c>
      <c r="K26" s="98">
        <f>April!A26</f>
        <v>44308</v>
      </c>
      <c r="L26" s="264" t="str">
        <f>IF(April!Q26&gt;0,April!Q26,"")</f>
        <v/>
      </c>
      <c r="M26" s="103" t="str">
        <f>IF(OR(April!C26="",April!P26&lt;&gt;""),UPPER(April!P26),"F")</f>
        <v/>
      </c>
      <c r="N26" s="101">
        <f>Mai!A26</f>
        <v>44338</v>
      </c>
      <c r="O26" s="264" t="str">
        <f>IF(Mai!Q26&gt;0,Mai!Q26,"")</f>
        <v/>
      </c>
      <c r="P26" s="99" t="str">
        <f>IF(OR(Mai!C26="",Mai!P26&lt;&gt;""),UPPER(Mai!P26),"F")</f>
        <v/>
      </c>
      <c r="Q26" s="98">
        <f>Juni!A26</f>
        <v>44369</v>
      </c>
      <c r="R26" s="264" t="str">
        <f>IF(Juni!Q26&gt;0,Juni!Q26,"")</f>
        <v/>
      </c>
      <c r="S26" s="103" t="str">
        <f>IF(OR(Juni!C26="",Juni!P26&lt;&gt;""),UPPER(Juni!P26),"F")</f>
        <v/>
      </c>
      <c r="T26" s="101">
        <f>Juli!A26</f>
        <v>44399</v>
      </c>
      <c r="U26" s="264" t="str">
        <f>IF(Juli!Q26&gt;0,Juli!Q26,"")</f>
        <v/>
      </c>
      <c r="V26" s="102" t="str">
        <f>IF(OR(Juli!C26="",Juli!P26&lt;&gt;""),UPPER(Juli!P26),"F")</f>
        <v/>
      </c>
      <c r="W26" s="98">
        <f>August!A26</f>
        <v>44430</v>
      </c>
      <c r="X26" s="264" t="str">
        <f>IF(August!Q26&gt;0,August!Q26,"")</f>
        <v/>
      </c>
      <c r="Y26" s="103" t="str">
        <f>IF(OR(August!C26="",August!P26&lt;&gt;""),UPPER(August!P26),"F")</f>
        <v/>
      </c>
      <c r="Z26" s="101">
        <f>September!A26</f>
        <v>44461</v>
      </c>
      <c r="AA26" s="264" t="str">
        <f>IF(September!Q26&gt;0,September!Q26,"")</f>
        <v/>
      </c>
      <c r="AB26" s="102" t="str">
        <f>IF(OR(September!C26="",September!P26&lt;&gt;""),UPPER(September!P26),"F")</f>
        <v/>
      </c>
      <c r="AC26" s="98">
        <f>Oktober!A26</f>
        <v>44491</v>
      </c>
      <c r="AD26" s="264" t="str">
        <f>IF(Oktober!Q26&gt;0,Oktober!Q26,"")</f>
        <v/>
      </c>
      <c r="AE26" s="103" t="str">
        <f>IF(OR(Oktober!C26="",Oktober!P26&lt;&gt;""),UPPER(Oktober!P26),"F")</f>
        <v/>
      </c>
      <c r="AF26" s="101">
        <f>November!A26</f>
        <v>44522</v>
      </c>
      <c r="AG26" s="264" t="str">
        <f>IF(November!Q26&gt;0,November!Q26,"")</f>
        <v/>
      </c>
      <c r="AH26" s="102" t="str">
        <f>IF(OR(November!C26="",November!P26&lt;&gt;""),UPPER(November!P26),"F")</f>
        <v/>
      </c>
      <c r="AI26" s="98">
        <f>Dezember!A26</f>
        <v>44552</v>
      </c>
      <c r="AJ26" s="264" t="str">
        <f>IF(Dezember!Q26&gt;0,Dezember!Q26,"")</f>
        <v/>
      </c>
      <c r="AK26" s="103" t="str">
        <f>IF(OR(Dezember!C26="",Dezember!P26&lt;&gt;""),UPPER(Dezember!P26),"F")</f>
        <v/>
      </c>
      <c r="AL26" s="58">
        <v>23</v>
      </c>
    </row>
    <row r="27" spans="1:38" x14ac:dyDescent="0.2">
      <c r="A27" s="57">
        <v>24</v>
      </c>
      <c r="B27" s="98">
        <f>Januar!A28</f>
        <v>44219</v>
      </c>
      <c r="C27" s="264" t="str">
        <f>IF(Januar!R28&gt;0,Januar!R28,"")</f>
        <v/>
      </c>
      <c r="D27" s="99" t="str">
        <f>IF(OR(Januar!C28="",Januar!Q28&lt;&gt;""),UPPER(Januar!Q28),"F")</f>
        <v/>
      </c>
      <c r="E27" s="98">
        <f>Februar!A28</f>
        <v>44250</v>
      </c>
      <c r="F27" s="264" t="str">
        <f>IF(Februar!R28&gt;0,Februar!R28,"")</f>
        <v/>
      </c>
      <c r="G27" s="100" t="str">
        <f>IF(OR(Februar!C28="",Februar!Q28&lt;&gt;""),UPPER(Februar!Q28),"F")</f>
        <v/>
      </c>
      <c r="H27" s="101">
        <f>März!A27</f>
        <v>44278</v>
      </c>
      <c r="I27" s="264" t="str">
        <f>IF(März!Q27&gt;0,März!Q27,"")</f>
        <v/>
      </c>
      <c r="J27" s="102" t="str">
        <f>IF(OR(März!C27="",März!P27&lt;&gt;""),UPPER(März!P27),"F")</f>
        <v/>
      </c>
      <c r="K27" s="98">
        <f>April!A27</f>
        <v>44309</v>
      </c>
      <c r="L27" s="264" t="str">
        <f>IF(April!Q27&gt;0,April!Q27,"")</f>
        <v/>
      </c>
      <c r="M27" s="103" t="str">
        <f>IF(OR(April!C27="",April!P27&lt;&gt;""),UPPER(April!P27),"F")</f>
        <v/>
      </c>
      <c r="N27" s="101">
        <f>Mai!A27</f>
        <v>44339</v>
      </c>
      <c r="O27" s="264" t="str">
        <f>IF(Mai!Q27&gt;0,Mai!Q27,"")</f>
        <v/>
      </c>
      <c r="P27" s="99" t="str">
        <f>IF(OR(Mai!C27="",Mai!P27&lt;&gt;""),UPPER(Mai!P27),"F")</f>
        <v/>
      </c>
      <c r="Q27" s="98">
        <f>Juni!A27</f>
        <v>44370</v>
      </c>
      <c r="R27" s="264" t="str">
        <f>IF(Juni!Q27&gt;0,Juni!Q27,"")</f>
        <v/>
      </c>
      <c r="S27" s="103" t="str">
        <f>IF(OR(Juni!C27="",Juni!P27&lt;&gt;""),UPPER(Juni!P27),"F")</f>
        <v/>
      </c>
      <c r="T27" s="101">
        <f>Juli!A27</f>
        <v>44400</v>
      </c>
      <c r="U27" s="264" t="str">
        <f>IF(Juli!Q27&gt;0,Juli!Q27,"")</f>
        <v/>
      </c>
      <c r="V27" s="102" t="str">
        <f>IF(OR(Juli!C27="",Juli!P27&lt;&gt;""),UPPER(Juli!P27),"F")</f>
        <v/>
      </c>
      <c r="W27" s="98">
        <f>August!A27</f>
        <v>44431</v>
      </c>
      <c r="X27" s="264" t="str">
        <f>IF(August!Q27&gt;0,August!Q27,"")</f>
        <v/>
      </c>
      <c r="Y27" s="103" t="str">
        <f>IF(OR(August!C27="",August!P27&lt;&gt;""),UPPER(August!P27),"F")</f>
        <v/>
      </c>
      <c r="Z27" s="101">
        <f>September!A27</f>
        <v>44462</v>
      </c>
      <c r="AA27" s="264" t="str">
        <f>IF(September!Q27&gt;0,September!Q27,"")</f>
        <v/>
      </c>
      <c r="AB27" s="102" t="str">
        <f>IF(OR(September!C27="",September!P27&lt;&gt;""),UPPER(September!P27),"F")</f>
        <v/>
      </c>
      <c r="AC27" s="98">
        <f>Oktober!A27</f>
        <v>44492</v>
      </c>
      <c r="AD27" s="264" t="str">
        <f>IF(Oktober!Q27&gt;0,Oktober!Q27,"")</f>
        <v/>
      </c>
      <c r="AE27" s="103" t="str">
        <f>IF(OR(Oktober!C27="",Oktober!P27&lt;&gt;""),UPPER(Oktober!P27),"F")</f>
        <v/>
      </c>
      <c r="AF27" s="101">
        <f>November!A27</f>
        <v>44523</v>
      </c>
      <c r="AG27" s="264" t="str">
        <f>IF(November!Q27&gt;0,November!Q27,"")</f>
        <v/>
      </c>
      <c r="AH27" s="102" t="str">
        <f>IF(OR(November!C27="",November!P27&lt;&gt;""),UPPER(November!P27),"F")</f>
        <v/>
      </c>
      <c r="AI27" s="98">
        <f>Dezember!A27</f>
        <v>44553</v>
      </c>
      <c r="AJ27" s="264" t="str">
        <f>IF(Dezember!Q27&gt;0,Dezember!Q27,"")</f>
        <v/>
      </c>
      <c r="AK27" s="103" t="str">
        <f>IF(OR(Dezember!C27="",Dezember!P27&lt;&gt;""),UPPER(Dezember!P27),"F")</f>
        <v>F</v>
      </c>
      <c r="AL27" s="58">
        <v>24</v>
      </c>
    </row>
    <row r="28" spans="1:38" x14ac:dyDescent="0.2">
      <c r="A28" s="57">
        <v>25</v>
      </c>
      <c r="B28" s="98">
        <f>Januar!A29</f>
        <v>44220</v>
      </c>
      <c r="C28" s="264" t="str">
        <f>IF(Januar!R29&gt;0,Januar!R29,"")</f>
        <v/>
      </c>
      <c r="D28" s="99" t="str">
        <f>IF(OR(Januar!C29="",Januar!Q29&lt;&gt;""),UPPER(Januar!Q29),"F")</f>
        <v/>
      </c>
      <c r="E28" s="98">
        <f>Februar!A29</f>
        <v>44251</v>
      </c>
      <c r="F28" s="264" t="str">
        <f>IF(Februar!R29&gt;0,Februar!R29,"")</f>
        <v/>
      </c>
      <c r="G28" s="100" t="str">
        <f>IF(OR(Februar!C29="",Februar!Q29&lt;&gt;""),UPPER(Februar!Q29),"F")</f>
        <v/>
      </c>
      <c r="H28" s="101">
        <f>März!A28</f>
        <v>44279</v>
      </c>
      <c r="I28" s="264" t="str">
        <f>IF(März!Q28&gt;0,März!Q28,"")</f>
        <v/>
      </c>
      <c r="J28" s="102" t="str">
        <f>IF(OR(März!C28="",März!P28&lt;&gt;""),UPPER(März!P28),"F")</f>
        <v/>
      </c>
      <c r="K28" s="98">
        <f>April!A28</f>
        <v>44310</v>
      </c>
      <c r="L28" s="264" t="str">
        <f>IF(April!Q28&gt;0,April!Q28,"")</f>
        <v/>
      </c>
      <c r="M28" s="103" t="str">
        <f>IF(OR(April!C28="",April!P28&lt;&gt;""),UPPER(April!P28),"F")</f>
        <v/>
      </c>
      <c r="N28" s="101">
        <f>Mai!A28</f>
        <v>44340</v>
      </c>
      <c r="O28" s="264" t="str">
        <f>IF(Mai!Q28&gt;0,Mai!Q28,"")</f>
        <v/>
      </c>
      <c r="P28" s="99" t="str">
        <f>IF(OR(Mai!C28="",Mai!P28&lt;&gt;""),UPPER(Mai!P28),"F")</f>
        <v/>
      </c>
      <c r="Q28" s="98">
        <f>Juni!A28</f>
        <v>44371</v>
      </c>
      <c r="R28" s="264" t="str">
        <f>IF(Juni!Q28&gt;0,Juni!Q28,"")</f>
        <v/>
      </c>
      <c r="S28" s="103" t="str">
        <f>IF(OR(Juni!C28="",Juni!P28&lt;&gt;""),UPPER(Juni!P28),"F")</f>
        <v/>
      </c>
      <c r="T28" s="101">
        <f>Juli!A28</f>
        <v>44401</v>
      </c>
      <c r="U28" s="264" t="str">
        <f>IF(Juli!Q28&gt;0,Juli!Q28,"")</f>
        <v/>
      </c>
      <c r="V28" s="102" t="str">
        <f>IF(OR(Juli!C28="",Juli!P28&lt;&gt;""),UPPER(Juli!P28),"F")</f>
        <v/>
      </c>
      <c r="W28" s="98">
        <f>August!A28</f>
        <v>44432</v>
      </c>
      <c r="X28" s="264" t="str">
        <f>IF(August!Q28&gt;0,August!Q28,"")</f>
        <v/>
      </c>
      <c r="Y28" s="103" t="str">
        <f>IF(OR(August!C28="",August!P28&lt;&gt;""),UPPER(August!P28),"F")</f>
        <v/>
      </c>
      <c r="Z28" s="101">
        <f>September!A28</f>
        <v>44463</v>
      </c>
      <c r="AA28" s="264" t="str">
        <f>IF(September!Q28&gt;0,September!Q28,"")</f>
        <v/>
      </c>
      <c r="AB28" s="102" t="str">
        <f>IF(OR(September!C28="",September!P28&lt;&gt;""),UPPER(September!P28),"F")</f>
        <v/>
      </c>
      <c r="AC28" s="98">
        <f>Oktober!A28</f>
        <v>44493</v>
      </c>
      <c r="AD28" s="264" t="str">
        <f>IF(Oktober!Q28&gt;0,Oktober!Q28,"")</f>
        <v/>
      </c>
      <c r="AE28" s="103" t="str">
        <f>IF(OR(Oktober!C28="",Oktober!P28&lt;&gt;""),UPPER(Oktober!P28),"F")</f>
        <v/>
      </c>
      <c r="AF28" s="101">
        <f>November!A28</f>
        <v>44524</v>
      </c>
      <c r="AG28" s="264" t="str">
        <f>IF(November!Q28&gt;0,November!Q28,"")</f>
        <v/>
      </c>
      <c r="AH28" s="102" t="str">
        <f>IF(OR(November!C28="",November!P28&lt;&gt;""),UPPER(November!P28),"F")</f>
        <v/>
      </c>
      <c r="AI28" s="98">
        <f>Dezember!A28</f>
        <v>44554</v>
      </c>
      <c r="AJ28" s="264" t="str">
        <f>IF(Dezember!Q28&gt;0,Dezember!Q28,"")</f>
        <v/>
      </c>
      <c r="AK28" s="103" t="str">
        <f>IF(OR(Dezember!C28="",Dezember!P28&lt;&gt;""),UPPER(Dezember!P28),"F")</f>
        <v>F</v>
      </c>
      <c r="AL28" s="58">
        <v>25</v>
      </c>
    </row>
    <row r="29" spans="1:38" x14ac:dyDescent="0.2">
      <c r="A29" s="57">
        <v>26</v>
      </c>
      <c r="B29" s="98">
        <f>Januar!A30</f>
        <v>44221</v>
      </c>
      <c r="C29" s="264" t="str">
        <f>IF(Januar!R30&gt;0,Januar!R30,"")</f>
        <v/>
      </c>
      <c r="D29" s="99" t="str">
        <f>IF(OR(Januar!C30="",Januar!Q30&lt;&gt;""),UPPER(Januar!Q30),"F")</f>
        <v/>
      </c>
      <c r="E29" s="98">
        <f>Februar!A30</f>
        <v>44252</v>
      </c>
      <c r="F29" s="264" t="str">
        <f>IF(Februar!R30&gt;0,Februar!R30,"")</f>
        <v/>
      </c>
      <c r="G29" s="100" t="str">
        <f>IF(OR(Februar!C30="",Februar!Q30&lt;&gt;""),UPPER(Februar!Q30),"F")</f>
        <v/>
      </c>
      <c r="H29" s="101">
        <f>März!A29</f>
        <v>44280</v>
      </c>
      <c r="I29" s="264" t="str">
        <f>IF(März!Q29&gt;0,März!Q29,"")</f>
        <v/>
      </c>
      <c r="J29" s="102" t="str">
        <f>IF(OR(März!C29="",März!P29&lt;&gt;""),UPPER(März!P29),"F")</f>
        <v/>
      </c>
      <c r="K29" s="98">
        <f>April!A29</f>
        <v>44311</v>
      </c>
      <c r="L29" s="264" t="str">
        <f>IF(April!Q29&gt;0,April!Q29,"")</f>
        <v/>
      </c>
      <c r="M29" s="103" t="str">
        <f>IF(OR(April!C29="",April!P29&lt;&gt;""),UPPER(April!P29),"F")</f>
        <v/>
      </c>
      <c r="N29" s="101">
        <f>Mai!A29</f>
        <v>44341</v>
      </c>
      <c r="O29" s="264" t="str">
        <f>IF(Mai!Q29&gt;0,Mai!Q29,"")</f>
        <v/>
      </c>
      <c r="P29" s="99" t="str">
        <f>IF(OR(Mai!C29="",Mai!P29&lt;&gt;""),UPPER(Mai!P29),"F")</f>
        <v/>
      </c>
      <c r="Q29" s="98">
        <f>Juni!A29</f>
        <v>44372</v>
      </c>
      <c r="R29" s="264" t="str">
        <f>IF(Juni!Q29&gt;0,Juni!Q29,"")</f>
        <v/>
      </c>
      <c r="S29" s="103" t="str">
        <f>IF(OR(Juni!C29="",Juni!P29&lt;&gt;""),UPPER(Juni!P29),"F")</f>
        <v/>
      </c>
      <c r="T29" s="101">
        <f>Juli!A29</f>
        <v>44402</v>
      </c>
      <c r="U29" s="264" t="str">
        <f>IF(Juli!Q29&gt;0,Juli!Q29,"")</f>
        <v/>
      </c>
      <c r="V29" s="102" t="str">
        <f>IF(OR(Juli!C29="",Juli!P29&lt;&gt;""),UPPER(Juli!P29),"F")</f>
        <v/>
      </c>
      <c r="W29" s="98">
        <f>August!A29</f>
        <v>44433</v>
      </c>
      <c r="X29" s="264" t="str">
        <f>IF(August!Q29&gt;0,August!Q29,"")</f>
        <v/>
      </c>
      <c r="Y29" s="103" t="str">
        <f>IF(OR(August!C29="",August!P29&lt;&gt;""),UPPER(August!P29),"F")</f>
        <v/>
      </c>
      <c r="Z29" s="101">
        <f>September!A29</f>
        <v>44464</v>
      </c>
      <c r="AA29" s="264" t="str">
        <f>IF(September!Q29&gt;0,September!Q29,"")</f>
        <v/>
      </c>
      <c r="AB29" s="102" t="str">
        <f>IF(OR(September!C29="",September!P29&lt;&gt;""),UPPER(September!P29),"F")</f>
        <v/>
      </c>
      <c r="AC29" s="98">
        <f>Oktober!A29</f>
        <v>44494</v>
      </c>
      <c r="AD29" s="264" t="str">
        <f>IF(Oktober!Q29&gt;0,Oktober!Q29,"")</f>
        <v/>
      </c>
      <c r="AE29" s="103" t="str">
        <f>IF(OR(Oktober!C29="",Oktober!P29&lt;&gt;""),UPPER(Oktober!P29),"F")</f>
        <v/>
      </c>
      <c r="AF29" s="101">
        <f>November!A29</f>
        <v>44525</v>
      </c>
      <c r="AG29" s="264" t="str">
        <f>IF(November!Q29&gt;0,November!Q29,"")</f>
        <v/>
      </c>
      <c r="AH29" s="102" t="str">
        <f>IF(OR(November!C29="",November!P29&lt;&gt;""),UPPER(November!P29),"F")</f>
        <v/>
      </c>
      <c r="AI29" s="98">
        <f>Dezember!A29</f>
        <v>44555</v>
      </c>
      <c r="AJ29" s="264" t="str">
        <f>IF(Dezember!Q29&gt;0,Dezember!Q29,"")</f>
        <v/>
      </c>
      <c r="AK29" s="103" t="str">
        <f>IF(OR(Dezember!C29="",Dezember!P29&lt;&gt;""),UPPER(Dezember!P29),"F")</f>
        <v>F</v>
      </c>
      <c r="AL29" s="58">
        <v>26</v>
      </c>
    </row>
    <row r="30" spans="1:38" x14ac:dyDescent="0.2">
      <c r="A30" s="57">
        <v>27</v>
      </c>
      <c r="B30" s="98">
        <f>Januar!A31</f>
        <v>44222</v>
      </c>
      <c r="C30" s="264" t="str">
        <f>IF(Januar!R31&gt;0,Januar!R31,"")</f>
        <v/>
      </c>
      <c r="D30" s="99" t="str">
        <f>IF(OR(Januar!C31="",Januar!Q31&lt;&gt;""),UPPER(Januar!Q31),"F")</f>
        <v/>
      </c>
      <c r="E30" s="98">
        <f>Februar!A31</f>
        <v>44253</v>
      </c>
      <c r="F30" s="264" t="str">
        <f>IF(Februar!R31&gt;0,Februar!R31,"")</f>
        <v/>
      </c>
      <c r="G30" s="100" t="str">
        <f>IF(OR(Februar!C31="",Februar!Q31&lt;&gt;""),UPPER(Februar!Q31),"F")</f>
        <v/>
      </c>
      <c r="H30" s="101">
        <f>März!A30</f>
        <v>44281</v>
      </c>
      <c r="I30" s="264" t="str">
        <f>IF(März!Q30&gt;0,März!Q30,"")</f>
        <v/>
      </c>
      <c r="J30" s="102" t="str">
        <f>IF(OR(März!C30="",März!P30&lt;&gt;""),UPPER(März!P30),"F")</f>
        <v/>
      </c>
      <c r="K30" s="98">
        <f>April!A30</f>
        <v>44312</v>
      </c>
      <c r="L30" s="264" t="str">
        <f>IF(April!Q30&gt;0,April!Q30,"")</f>
        <v/>
      </c>
      <c r="M30" s="103" t="str">
        <f>IF(OR(April!C30="",April!P30&lt;&gt;""),UPPER(April!P30),"F")</f>
        <v/>
      </c>
      <c r="N30" s="101">
        <f>Mai!A30</f>
        <v>44342</v>
      </c>
      <c r="O30" s="264" t="str">
        <f>IF(Mai!Q30&gt;0,Mai!Q30,"")</f>
        <v/>
      </c>
      <c r="P30" s="99" t="str">
        <f>IF(OR(Mai!C30="",Mai!P30&lt;&gt;""),UPPER(Mai!P30),"F")</f>
        <v/>
      </c>
      <c r="Q30" s="98">
        <f>Juni!A30</f>
        <v>44373</v>
      </c>
      <c r="R30" s="264" t="str">
        <f>IF(Juni!Q30&gt;0,Juni!Q30,"")</f>
        <v/>
      </c>
      <c r="S30" s="103" t="str">
        <f>IF(OR(Juni!C30="",Juni!P30&lt;&gt;""),UPPER(Juni!P30),"F")</f>
        <v/>
      </c>
      <c r="T30" s="101">
        <f>Juli!A30</f>
        <v>44403</v>
      </c>
      <c r="U30" s="264" t="str">
        <f>IF(Juli!Q30&gt;0,Juli!Q30,"")</f>
        <v/>
      </c>
      <c r="V30" s="102" t="str">
        <f>IF(OR(Juli!C30="",Juli!P30&lt;&gt;""),UPPER(Juli!P30),"F")</f>
        <v/>
      </c>
      <c r="W30" s="98">
        <f>August!A30</f>
        <v>44434</v>
      </c>
      <c r="X30" s="264" t="str">
        <f>IF(August!Q30&gt;0,August!Q30,"")</f>
        <v/>
      </c>
      <c r="Y30" s="103" t="str">
        <f>IF(OR(August!C30="",August!P30&lt;&gt;""),UPPER(August!P30),"F")</f>
        <v/>
      </c>
      <c r="Z30" s="101">
        <f>September!A30</f>
        <v>44465</v>
      </c>
      <c r="AA30" s="264" t="str">
        <f>IF(September!Q30&gt;0,September!Q30,"")</f>
        <v/>
      </c>
      <c r="AB30" s="102" t="str">
        <f>IF(OR(September!C30="",September!P30&lt;&gt;""),UPPER(September!P30),"F")</f>
        <v/>
      </c>
      <c r="AC30" s="98">
        <f>Oktober!A30</f>
        <v>44495</v>
      </c>
      <c r="AD30" s="264" t="str">
        <f>IF(Oktober!Q30&gt;0,Oktober!Q30,"")</f>
        <v/>
      </c>
      <c r="AE30" s="103" t="str">
        <f>IF(OR(Oktober!C30="",Oktober!P30&lt;&gt;""),UPPER(Oktober!P30),"F")</f>
        <v/>
      </c>
      <c r="AF30" s="101">
        <f>November!A30</f>
        <v>44526</v>
      </c>
      <c r="AG30" s="264" t="str">
        <f>IF(November!Q30&gt;0,November!Q30,"")</f>
        <v/>
      </c>
      <c r="AH30" s="102" t="str">
        <f>IF(OR(November!C30="",November!P30&lt;&gt;""),UPPER(November!P30),"F")</f>
        <v/>
      </c>
      <c r="AI30" s="98">
        <f>Dezember!A30</f>
        <v>44556</v>
      </c>
      <c r="AJ30" s="264" t="str">
        <f>IF(Dezember!Q30&gt;0,Dezember!Q30,"")</f>
        <v/>
      </c>
      <c r="AK30" s="103" t="str">
        <f>IF(OR(Dezember!C30="",Dezember!P30&lt;&gt;""),UPPER(Dezember!P30),"F")</f>
        <v/>
      </c>
      <c r="AL30" s="58">
        <v>27</v>
      </c>
    </row>
    <row r="31" spans="1:38" x14ac:dyDescent="0.2">
      <c r="A31" s="57">
        <v>28</v>
      </c>
      <c r="B31" s="98">
        <f>Januar!A32</f>
        <v>44223</v>
      </c>
      <c r="C31" s="264" t="str">
        <f>IF(Januar!R32&gt;0,Januar!R32,"")</f>
        <v/>
      </c>
      <c r="D31" s="99" t="str">
        <f>IF(OR(Januar!C32="",Januar!Q32&lt;&gt;""),UPPER(Januar!Q32),"F")</f>
        <v/>
      </c>
      <c r="E31" s="98">
        <f>Februar!A32</f>
        <v>44254</v>
      </c>
      <c r="F31" s="264" t="str">
        <f>IF(Februar!R32&gt;0,Februar!R32,"")</f>
        <v/>
      </c>
      <c r="G31" s="100" t="str">
        <f>IF(OR(Februar!C32="",Februar!Q32&lt;&gt;""),UPPER(Februar!Q32),"F")</f>
        <v/>
      </c>
      <c r="H31" s="101">
        <f>März!A31</f>
        <v>44282</v>
      </c>
      <c r="I31" s="264" t="str">
        <f>IF(März!Q31&gt;0,März!Q31,"")</f>
        <v/>
      </c>
      <c r="J31" s="102" t="str">
        <f>IF(OR(März!C31="",März!P31&lt;&gt;""),UPPER(März!P31),"F")</f>
        <v/>
      </c>
      <c r="K31" s="98">
        <f>April!A31</f>
        <v>44313</v>
      </c>
      <c r="L31" s="264" t="str">
        <f>IF(April!Q31&gt;0,April!Q31,"")</f>
        <v/>
      </c>
      <c r="M31" s="103" t="str">
        <f>IF(OR(April!C31="",April!P31&lt;&gt;""),UPPER(April!P31),"F")</f>
        <v/>
      </c>
      <c r="N31" s="101">
        <f>Mai!A31</f>
        <v>44343</v>
      </c>
      <c r="O31" s="264" t="str">
        <f>IF(Mai!Q31&gt;0,Mai!Q31,"")</f>
        <v/>
      </c>
      <c r="P31" s="99" t="str">
        <f>IF(OR(Mai!C31="",Mai!P31&lt;&gt;""),UPPER(Mai!P31),"F")</f>
        <v/>
      </c>
      <c r="Q31" s="98">
        <f>Juni!A31</f>
        <v>44374</v>
      </c>
      <c r="R31" s="264" t="str">
        <f>IF(Juni!Q31&gt;0,Juni!Q31,"")</f>
        <v/>
      </c>
      <c r="S31" s="103" t="str">
        <f>IF(OR(Juni!C31="",Juni!P31&lt;&gt;""),UPPER(Juni!P31),"F")</f>
        <v/>
      </c>
      <c r="T31" s="101">
        <f>Juli!A31</f>
        <v>44404</v>
      </c>
      <c r="U31" s="264" t="str">
        <f>IF(Juli!Q31&gt;0,Juli!Q31,"")</f>
        <v/>
      </c>
      <c r="V31" s="102" t="str">
        <f>IF(OR(Juli!C31="",Juli!P31&lt;&gt;""),UPPER(Juli!P31),"F")</f>
        <v/>
      </c>
      <c r="W31" s="98">
        <f>August!A31</f>
        <v>44435</v>
      </c>
      <c r="X31" s="264" t="str">
        <f>IF(August!Q31&gt;0,August!Q31,"")</f>
        <v/>
      </c>
      <c r="Y31" s="103" t="str">
        <f>IF(OR(August!C31="",August!P31&lt;&gt;""),UPPER(August!P31),"F")</f>
        <v/>
      </c>
      <c r="Z31" s="101">
        <f>September!A31</f>
        <v>44466</v>
      </c>
      <c r="AA31" s="264" t="str">
        <f>IF(September!Q31&gt;0,September!Q31,"")</f>
        <v/>
      </c>
      <c r="AB31" s="102" t="str">
        <f>IF(OR(September!C31="",September!P31&lt;&gt;""),UPPER(September!P31),"F")</f>
        <v/>
      </c>
      <c r="AC31" s="98">
        <f>Oktober!A31</f>
        <v>44496</v>
      </c>
      <c r="AD31" s="264" t="str">
        <f>IF(Oktober!Q31&gt;0,Oktober!Q31,"")</f>
        <v/>
      </c>
      <c r="AE31" s="103" t="str">
        <f>IF(OR(Oktober!C31="",Oktober!P31&lt;&gt;""),UPPER(Oktober!P31),"F")</f>
        <v/>
      </c>
      <c r="AF31" s="101">
        <f>November!A31</f>
        <v>44527</v>
      </c>
      <c r="AG31" s="264" t="str">
        <f>IF(November!Q31&gt;0,November!Q31,"")</f>
        <v/>
      </c>
      <c r="AH31" s="102" t="str">
        <f>IF(OR(November!C31="",November!P31&lt;&gt;""),UPPER(November!P31),"F")</f>
        <v/>
      </c>
      <c r="AI31" s="98">
        <f>Dezember!A31</f>
        <v>44557</v>
      </c>
      <c r="AJ31" s="264" t="str">
        <f>IF(Dezember!Q31&gt;0,Dezember!Q31,"")</f>
        <v/>
      </c>
      <c r="AK31" s="103" t="str">
        <f>IF(OR(Dezember!C31="",Dezember!P31&lt;&gt;""),UPPER(Dezember!P31),"F")</f>
        <v/>
      </c>
      <c r="AL31" s="58">
        <v>28</v>
      </c>
    </row>
    <row r="32" spans="1:38" x14ac:dyDescent="0.2">
      <c r="A32" s="57">
        <v>29</v>
      </c>
      <c r="B32" s="98">
        <f>Januar!A33</f>
        <v>44224</v>
      </c>
      <c r="C32" s="264" t="str">
        <f>IF(Januar!R33&gt;0,Januar!R33,"")</f>
        <v/>
      </c>
      <c r="D32" s="99" t="str">
        <f>IF(OR(Januar!C33="",Januar!Q33&lt;&gt;""),UPPER(Januar!Q33),"F")</f>
        <v/>
      </c>
      <c r="E32" s="98" t="str">
        <f>Februar!A33</f>
        <v/>
      </c>
      <c r="F32" s="264" t="str">
        <f>IF(Februar!R33&gt;0,Februar!R33,"")</f>
        <v/>
      </c>
      <c r="G32" s="100" t="str">
        <f>IF(OR(Februar!C33="",Februar!Q33&lt;&gt;""),UPPER(Februar!Q33),"F")</f>
        <v/>
      </c>
      <c r="H32" s="101">
        <f>März!A32</f>
        <v>44283</v>
      </c>
      <c r="I32" s="264" t="str">
        <f>IF(März!Q32&gt;0,März!Q32,"")</f>
        <v/>
      </c>
      <c r="J32" s="102" t="str">
        <f>IF(OR(März!C32="",März!P32&lt;&gt;""),UPPER(März!P32),"F")</f>
        <v/>
      </c>
      <c r="K32" s="98">
        <f>April!A32</f>
        <v>44314</v>
      </c>
      <c r="L32" s="264" t="str">
        <f>IF(April!Q32&gt;0,April!Q32,"")</f>
        <v/>
      </c>
      <c r="M32" s="103" t="str">
        <f>IF(OR(April!C32="",April!P32&lt;&gt;""),UPPER(April!P32),"F")</f>
        <v/>
      </c>
      <c r="N32" s="101">
        <f>Mai!A32</f>
        <v>44344</v>
      </c>
      <c r="O32" s="264" t="str">
        <f>IF(Mai!Q32&gt;0,Mai!Q32,"")</f>
        <v/>
      </c>
      <c r="P32" s="99" t="str">
        <f>IF(OR(Mai!C32="",Mai!P32&lt;&gt;""),UPPER(Mai!P32),"F")</f>
        <v>F</v>
      </c>
      <c r="Q32" s="98">
        <f>Juni!A32</f>
        <v>44375</v>
      </c>
      <c r="R32" s="264" t="str">
        <f>IF(Juni!Q32&gt;0,Juni!Q32,"")</f>
        <v/>
      </c>
      <c r="S32" s="103" t="str">
        <f>IF(OR(Juni!C32="",Juni!P32&lt;&gt;""),UPPER(Juni!P32),"F")</f>
        <v/>
      </c>
      <c r="T32" s="101">
        <f>Juli!A32</f>
        <v>44405</v>
      </c>
      <c r="U32" s="264" t="str">
        <f>IF(Juli!Q32&gt;0,Juli!Q32,"")</f>
        <v/>
      </c>
      <c r="V32" s="102" t="str">
        <f>IF(OR(Juli!C32="",Juli!P32&lt;&gt;""),UPPER(Juli!P32),"F")</f>
        <v/>
      </c>
      <c r="W32" s="98">
        <f>August!A32</f>
        <v>44436</v>
      </c>
      <c r="X32" s="264" t="str">
        <f>IF(August!Q32&gt;0,August!Q32,"")</f>
        <v/>
      </c>
      <c r="Y32" s="103" t="str">
        <f>IF(OR(August!C32="",August!P32&lt;&gt;""),UPPER(August!P32),"F")</f>
        <v/>
      </c>
      <c r="Z32" s="101">
        <f>September!A32</f>
        <v>44467</v>
      </c>
      <c r="AA32" s="264" t="str">
        <f>IF(September!Q32&gt;0,September!Q32,"")</f>
        <v/>
      </c>
      <c r="AB32" s="102" t="str">
        <f>IF(OR(September!C32="",September!P32&lt;&gt;""),UPPER(September!P32),"F")</f>
        <v/>
      </c>
      <c r="AC32" s="98">
        <f>Oktober!A32</f>
        <v>44497</v>
      </c>
      <c r="AD32" s="264" t="str">
        <f>IF(Oktober!Q32&gt;0,Oktober!Q32,"")</f>
        <v/>
      </c>
      <c r="AE32" s="103" t="str">
        <f>IF(OR(Oktober!C32="",Oktober!P32&lt;&gt;""),UPPER(Oktober!P32),"F")</f>
        <v/>
      </c>
      <c r="AF32" s="101">
        <f>November!A32</f>
        <v>44528</v>
      </c>
      <c r="AG32" s="264" t="str">
        <f>IF(November!Q32&gt;0,November!Q32,"")</f>
        <v/>
      </c>
      <c r="AH32" s="102" t="str">
        <f>IF(OR(November!C32="",November!P32&lt;&gt;""),UPPER(November!P32),"F")</f>
        <v/>
      </c>
      <c r="AI32" s="98">
        <f>Dezember!A32</f>
        <v>44558</v>
      </c>
      <c r="AJ32" s="264" t="str">
        <f>IF(Dezember!Q32&gt;0,Dezember!Q32,"")</f>
        <v/>
      </c>
      <c r="AK32" s="103" t="str">
        <f>IF(OR(Dezember!C32="",Dezember!P32&lt;&gt;""),UPPER(Dezember!P32),"F")</f>
        <v/>
      </c>
      <c r="AL32" s="58">
        <v>29</v>
      </c>
    </row>
    <row r="33" spans="1:38" x14ac:dyDescent="0.2">
      <c r="A33" s="57">
        <v>30</v>
      </c>
      <c r="B33" s="98">
        <f>Januar!A34</f>
        <v>44225</v>
      </c>
      <c r="C33" s="264" t="str">
        <f>IF(Januar!R34&gt;0,Januar!R34,"")</f>
        <v/>
      </c>
      <c r="D33" s="99" t="str">
        <f>IF(OR(Januar!C34="",Januar!Q34&lt;&gt;""),UPPER(Januar!Q34),"F")</f>
        <v/>
      </c>
      <c r="E33" s="98" t="str">
        <f>Februar!A34</f>
        <v/>
      </c>
      <c r="F33" s="264" t="str">
        <f>IF(Februar!R34&gt;0,Februar!R34,"")</f>
        <v/>
      </c>
      <c r="G33" s="100" t="str">
        <f>IF(OR(Februar!C34="",Februar!Q34&lt;&gt;""),UPPER(Februar!Q34),"F")</f>
        <v/>
      </c>
      <c r="H33" s="101">
        <f>März!A33</f>
        <v>44284</v>
      </c>
      <c r="I33" s="264" t="str">
        <f>IF(März!Q33&gt;0,März!Q33,"")</f>
        <v/>
      </c>
      <c r="J33" s="102" t="str">
        <f>IF(OR(März!C33="",März!P33&lt;&gt;""),UPPER(März!P33),"F")</f>
        <v/>
      </c>
      <c r="K33" s="98">
        <f>April!A33</f>
        <v>44315</v>
      </c>
      <c r="L33" s="264" t="str">
        <f>IF(April!Q33&gt;0,April!Q33,"")</f>
        <v/>
      </c>
      <c r="M33" s="103" t="str">
        <f>IF(OR(April!C33="",April!P33&lt;&gt;""),UPPER(April!P33),"F")</f>
        <v/>
      </c>
      <c r="N33" s="101">
        <f>Mai!A33</f>
        <v>44345</v>
      </c>
      <c r="O33" s="264" t="str">
        <f>IF(Mai!Q33&gt;0,Mai!Q33,"")</f>
        <v/>
      </c>
      <c r="P33" s="99" t="str">
        <f>IF(OR(Mai!C33="",Mai!P33&lt;&gt;""),UPPER(Mai!P33),"F")</f>
        <v/>
      </c>
      <c r="Q33" s="98">
        <f>Juni!A33</f>
        <v>44376</v>
      </c>
      <c r="R33" s="264" t="str">
        <f>IF(Juni!Q33&gt;0,Juni!Q33,"")</f>
        <v/>
      </c>
      <c r="S33" s="103" t="str">
        <f>IF(OR(Juni!C33="",Juni!P33&lt;&gt;""),UPPER(Juni!P33),"F")</f>
        <v/>
      </c>
      <c r="T33" s="101">
        <f>Juli!A33</f>
        <v>44406</v>
      </c>
      <c r="U33" s="264" t="str">
        <f>IF(Juli!Q33&gt;0,Juli!Q33,"")</f>
        <v/>
      </c>
      <c r="V33" s="102" t="str">
        <f>IF(OR(Juli!C33="",Juli!P33&lt;&gt;""),UPPER(Juli!P33),"F")</f>
        <v/>
      </c>
      <c r="W33" s="98">
        <f>August!A33</f>
        <v>44437</v>
      </c>
      <c r="X33" s="264" t="str">
        <f>IF(August!Q33&gt;0,August!Q33,"")</f>
        <v/>
      </c>
      <c r="Y33" s="103" t="str">
        <f>IF(OR(August!C33="",August!P33&lt;&gt;""),UPPER(August!P33),"F")</f>
        <v/>
      </c>
      <c r="Z33" s="101">
        <f>September!A33</f>
        <v>44468</v>
      </c>
      <c r="AA33" s="264" t="str">
        <f>IF(September!Q33&gt;0,September!Q33,"")</f>
        <v/>
      </c>
      <c r="AB33" s="102" t="str">
        <f>IF(OR(September!C33="",September!P33&lt;&gt;""),UPPER(September!P33),"F")</f>
        <v/>
      </c>
      <c r="AC33" s="98">
        <f>Oktober!A33</f>
        <v>44498</v>
      </c>
      <c r="AD33" s="264" t="str">
        <f>IF(Oktober!Q33&gt;0,Oktober!Q33,"")</f>
        <v/>
      </c>
      <c r="AE33" s="103" t="str">
        <f>IF(OR(Oktober!C33="",Oktober!P33&lt;&gt;""),UPPER(Oktober!P33),"F")</f>
        <v/>
      </c>
      <c r="AF33" s="101">
        <f>November!A33</f>
        <v>44529</v>
      </c>
      <c r="AG33" s="264" t="str">
        <f>IF(November!Q33&gt;0,November!Q33,"")</f>
        <v/>
      </c>
      <c r="AH33" s="102" t="str">
        <f>IF(OR(November!C33="",November!P33&lt;&gt;""),UPPER(November!P33),"F")</f>
        <v/>
      </c>
      <c r="AI33" s="98">
        <f>Dezember!A33</f>
        <v>44559</v>
      </c>
      <c r="AJ33" s="264" t="str">
        <f>IF(Dezember!Q33&gt;0,Dezember!Q33,"")</f>
        <v/>
      </c>
      <c r="AK33" s="103" t="str">
        <f>IF(OR(Dezember!C33="",Dezember!P33&lt;&gt;""),UPPER(Dezember!P33),"F")</f>
        <v/>
      </c>
      <c r="AL33" s="58">
        <v>30</v>
      </c>
    </row>
    <row r="34" spans="1:38" ht="13.5" thickBot="1" x14ac:dyDescent="0.25">
      <c r="A34" s="59">
        <v>31</v>
      </c>
      <c r="B34" s="104">
        <f>Januar!A35</f>
        <v>44226</v>
      </c>
      <c r="C34" s="266" t="str">
        <f>IF(Januar!R35&gt;0,Januar!R35,"")</f>
        <v/>
      </c>
      <c r="D34" s="105" t="str">
        <f>IF(OR(Januar!C35="",Januar!Q35&lt;&gt;""),UPPER(Januar!Q35),"F")</f>
        <v/>
      </c>
      <c r="E34" s="104" t="str">
        <f>Februar!A35</f>
        <v/>
      </c>
      <c r="F34" s="266" t="str">
        <f>IF(Februar!R35&gt;0,Februar!R35,"")</f>
        <v/>
      </c>
      <c r="G34" s="106" t="str">
        <f>IF(OR(Februar!C35="",Februar!Q35&lt;&gt;""),UPPER(Februar!Q35),"F")</f>
        <v/>
      </c>
      <c r="H34" s="107">
        <f>März!A34</f>
        <v>44285</v>
      </c>
      <c r="I34" s="266" t="str">
        <f>IF(März!Q34&gt;0,März!Q34,"")</f>
        <v/>
      </c>
      <c r="J34" s="108" t="str">
        <f>IF(OR(März!C34="",März!P34&lt;&gt;""),UPPER(März!P34),"F")</f>
        <v/>
      </c>
      <c r="K34" s="104" t="str">
        <f>April!A34</f>
        <v/>
      </c>
      <c r="L34" s="266" t="str">
        <f>IF(April!Q34&gt;0,April!Q34,"")</f>
        <v/>
      </c>
      <c r="M34" s="109" t="str">
        <f>IF(OR(April!C34="",April!P34&lt;&gt;""),UPPER(April!P34),"F")</f>
        <v/>
      </c>
      <c r="N34" s="107">
        <f>Mai!A34</f>
        <v>44346</v>
      </c>
      <c r="O34" s="266" t="str">
        <f>IF(Mai!Q34&gt;0,Mai!Q34,"")</f>
        <v/>
      </c>
      <c r="P34" s="105" t="str">
        <f>IF(OR(Mai!C34="",Mai!P34&lt;&gt;""),UPPER(Mai!P34),"F")</f>
        <v/>
      </c>
      <c r="Q34" s="104" t="str">
        <f>Juni!A34</f>
        <v/>
      </c>
      <c r="R34" s="266" t="str">
        <f>IF(Juni!Q34&gt;0,Juni!Q34,"")</f>
        <v/>
      </c>
      <c r="S34" s="109" t="str">
        <f>IF(OR(Juni!C34="",Juni!P34&lt;&gt;""),UPPER(Juni!P34),"F")</f>
        <v/>
      </c>
      <c r="T34" s="107">
        <f>Juli!A34</f>
        <v>44407</v>
      </c>
      <c r="U34" s="266" t="str">
        <f>IF(Juli!Q34&gt;0,Juli!Q34,"")</f>
        <v/>
      </c>
      <c r="V34" s="108" t="str">
        <f>IF(OR(Juli!C34="",Juli!P34&lt;&gt;""),UPPER(Juli!P34),"F")</f>
        <v/>
      </c>
      <c r="W34" s="104">
        <f>August!A34</f>
        <v>44438</v>
      </c>
      <c r="X34" s="266" t="str">
        <f>IF(August!Q34&gt;0,August!Q34,"")</f>
        <v/>
      </c>
      <c r="Y34" s="109" t="str">
        <f>IF(OR(August!C34="",August!P34&lt;&gt;""),UPPER(August!P34),"F")</f>
        <v/>
      </c>
      <c r="Z34" s="107" t="str">
        <f>September!A34</f>
        <v/>
      </c>
      <c r="AA34" s="266" t="str">
        <f>IF(September!Q34&gt;0,September!Q34,"")</f>
        <v/>
      </c>
      <c r="AB34" s="108" t="str">
        <f>IF(OR(September!C34="",September!P34&lt;&gt;""),UPPER(September!P34),"F")</f>
        <v/>
      </c>
      <c r="AC34" s="104">
        <f>Oktober!A34</f>
        <v>44499</v>
      </c>
      <c r="AD34" s="266" t="str">
        <f>IF(Oktober!Q34&gt;0,Oktober!Q34,"")</f>
        <v/>
      </c>
      <c r="AE34" s="109" t="str">
        <f>IF(OR(Oktober!C34="",Oktober!P34&lt;&gt;""),UPPER(Oktober!P34),"F")</f>
        <v>F</v>
      </c>
      <c r="AF34" s="107" t="str">
        <f>November!A34</f>
        <v/>
      </c>
      <c r="AG34" s="266" t="str">
        <f>IF(November!Q34&gt;0,November!Q34,"")</f>
        <v/>
      </c>
      <c r="AH34" s="108" t="str">
        <f>IF(OR(November!C34="",November!P34&lt;&gt;""),UPPER(November!P34),"F")</f>
        <v/>
      </c>
      <c r="AI34" s="104">
        <f>Dezember!A34</f>
        <v>44560</v>
      </c>
      <c r="AJ34" s="266" t="str">
        <f>IF(Dezember!Q34&gt;0,Dezember!Q34,"")</f>
        <v/>
      </c>
      <c r="AK34" s="109" t="str">
        <f>IF(OR(Dezember!C34="",Dezember!P34&lt;&gt;""),UPPER(Dezember!P34),"F")</f>
        <v>F</v>
      </c>
      <c r="AL34" s="60">
        <v>31</v>
      </c>
    </row>
    <row r="35" spans="1:38" s="1" customFormat="1" ht="13.5" thickTop="1" x14ac:dyDescent="0.2">
      <c r="A35" s="61" t="s">
        <v>9</v>
      </c>
      <c r="B35" s="707">
        <f ca="1">Januar!F39</f>
        <v>6.1250000000000018</v>
      </c>
      <c r="C35" s="707"/>
      <c r="D35" s="183"/>
      <c r="E35" s="707">
        <f ca="1">Februar!F39</f>
        <v>5.8333333333333348</v>
      </c>
      <c r="F35" s="707"/>
      <c r="G35" s="184"/>
      <c r="H35" s="708">
        <f ca="1">März!J37</f>
        <v>6.1250000000000018</v>
      </c>
      <c r="I35" s="708"/>
      <c r="J35" s="185"/>
      <c r="K35" s="707">
        <f ca="1">April!J37</f>
        <v>5.8333333333333348</v>
      </c>
      <c r="L35" s="707"/>
      <c r="M35" s="184"/>
      <c r="N35" s="708">
        <f ca="1">Mai!J37</f>
        <v>5.8333333333333348</v>
      </c>
      <c r="O35" s="708"/>
      <c r="P35" s="185"/>
      <c r="Q35" s="707">
        <f ca="1">Juni!J37</f>
        <v>5.8333333333333348</v>
      </c>
      <c r="R35" s="707"/>
      <c r="S35" s="184"/>
      <c r="T35" s="708">
        <f ca="1">Juli!J37</f>
        <v>6.7083333333333357</v>
      </c>
      <c r="U35" s="708"/>
      <c r="V35" s="185"/>
      <c r="W35" s="707">
        <f ca="1">August!J37</f>
        <v>6.1250000000000018</v>
      </c>
      <c r="X35" s="707"/>
      <c r="Y35" s="184"/>
      <c r="Z35" s="708">
        <f ca="1">September!J37</f>
        <v>6.4166666666666687</v>
      </c>
      <c r="AA35" s="708"/>
      <c r="AB35" s="185"/>
      <c r="AC35" s="707">
        <f ca="1">Oktober!J37</f>
        <v>6.1250000000000018</v>
      </c>
      <c r="AD35" s="707"/>
      <c r="AE35" s="184"/>
      <c r="AF35" s="708">
        <f ca="1">November!J37</f>
        <v>5.5416666666666679</v>
      </c>
      <c r="AG35" s="708"/>
      <c r="AH35" s="185"/>
      <c r="AI35" s="707">
        <f ca="1">Dezember!J37</f>
        <v>5.8333333333333339</v>
      </c>
      <c r="AJ35" s="707"/>
      <c r="AK35" s="184"/>
      <c r="AL35" s="186">
        <f t="shared" ref="AL35:AL51" ca="1" si="0">SUM(B35:AK35)</f>
        <v>72.333333333333343</v>
      </c>
    </row>
    <row r="36" spans="1:38" s="1" customFormat="1" x14ac:dyDescent="0.2">
      <c r="A36" s="62" t="s">
        <v>101</v>
      </c>
      <c r="B36" s="709">
        <f>Januar!F40</f>
        <v>0.33854166666666669</v>
      </c>
      <c r="C36" s="709"/>
      <c r="D36" s="187"/>
      <c r="E36" s="709">
        <f>Februar!F40</f>
        <v>0</v>
      </c>
      <c r="F36" s="709"/>
      <c r="G36" s="188"/>
      <c r="H36" s="710">
        <f>März!J38</f>
        <v>0</v>
      </c>
      <c r="I36" s="710"/>
      <c r="J36" s="189"/>
      <c r="K36" s="709">
        <f>April!J38</f>
        <v>0</v>
      </c>
      <c r="L36" s="709"/>
      <c r="M36" s="188"/>
      <c r="N36" s="710">
        <f>Mai!J38</f>
        <v>0</v>
      </c>
      <c r="O36" s="710"/>
      <c r="P36" s="189"/>
      <c r="Q36" s="709">
        <f>Juni!J38</f>
        <v>0</v>
      </c>
      <c r="R36" s="709"/>
      <c r="S36" s="188"/>
      <c r="T36" s="710">
        <f>Juli!J38</f>
        <v>0</v>
      </c>
      <c r="U36" s="710"/>
      <c r="V36" s="189"/>
      <c r="W36" s="709">
        <f>August!J38</f>
        <v>0</v>
      </c>
      <c r="X36" s="709"/>
      <c r="Y36" s="188"/>
      <c r="Z36" s="710">
        <f>September!J38</f>
        <v>0</v>
      </c>
      <c r="AA36" s="710"/>
      <c r="AB36" s="189"/>
      <c r="AC36" s="709">
        <f>Oktober!J38</f>
        <v>0</v>
      </c>
      <c r="AD36" s="709"/>
      <c r="AE36" s="188"/>
      <c r="AF36" s="710">
        <f>November!J38</f>
        <v>0</v>
      </c>
      <c r="AG36" s="710"/>
      <c r="AH36" s="189"/>
      <c r="AI36" s="709">
        <f>Dezember!J38</f>
        <v>0</v>
      </c>
      <c r="AJ36" s="709"/>
      <c r="AK36" s="188"/>
      <c r="AL36" s="190">
        <f t="shared" si="0"/>
        <v>0.33854166666666669</v>
      </c>
    </row>
    <row r="37" spans="1:38" s="1" customFormat="1" ht="13.5" thickBot="1" x14ac:dyDescent="0.25">
      <c r="A37" s="63" t="s">
        <v>102</v>
      </c>
      <c r="B37" s="704">
        <f ca="1">ROUND(B36-B35,10)</f>
        <v>-5.7864583332999997</v>
      </c>
      <c r="C37" s="704"/>
      <c r="D37" s="182"/>
      <c r="E37" s="704">
        <f ca="1">ROUND(E36-E35,10)</f>
        <v>-5.8333333332999997</v>
      </c>
      <c r="F37" s="704"/>
      <c r="G37" s="64"/>
      <c r="H37" s="705">
        <f ca="1">ROUND(H36-H35,10)</f>
        <v>-6.125</v>
      </c>
      <c r="I37" s="705"/>
      <c r="J37" s="65"/>
      <c r="K37" s="704">
        <f ca="1">ROUND(K36-K35,10)</f>
        <v>-5.8333333332999997</v>
      </c>
      <c r="L37" s="704"/>
      <c r="M37" s="64"/>
      <c r="N37" s="705">
        <f ca="1">ROUND(N36-N35,10)</f>
        <v>-5.8333333332999997</v>
      </c>
      <c r="O37" s="705"/>
      <c r="P37" s="65"/>
      <c r="Q37" s="704">
        <f ca="1">ROUND(Q36-Q35,10)</f>
        <v>-5.8333333332999997</v>
      </c>
      <c r="R37" s="704"/>
      <c r="S37" s="64"/>
      <c r="T37" s="705">
        <f ca="1">ROUND(T36-T35,10)</f>
        <v>-6.7083333332999997</v>
      </c>
      <c r="U37" s="705"/>
      <c r="V37" s="65"/>
      <c r="W37" s="704">
        <f ca="1">ROUND(W36-W35,10)</f>
        <v>-6.125</v>
      </c>
      <c r="X37" s="704"/>
      <c r="Y37" s="64"/>
      <c r="Z37" s="705">
        <f ca="1">ROUND(Z36-Z35,10)</f>
        <v>-6.4166666667000003</v>
      </c>
      <c r="AA37" s="705"/>
      <c r="AB37" s="65"/>
      <c r="AC37" s="704">
        <f ca="1">ROUND(AC36-AC35,10)</f>
        <v>-6.125</v>
      </c>
      <c r="AD37" s="704"/>
      <c r="AE37" s="64"/>
      <c r="AF37" s="705">
        <f ca="1">ROUND(AF36-AF35,10)</f>
        <v>-5.5416666667000003</v>
      </c>
      <c r="AG37" s="705"/>
      <c r="AH37" s="65"/>
      <c r="AI37" s="704">
        <f ca="1">ROUND(AI36-AI35,10)</f>
        <v>-5.8333333332999997</v>
      </c>
      <c r="AJ37" s="704"/>
      <c r="AK37" s="64"/>
      <c r="AL37" s="66">
        <f t="shared" ca="1" si="0"/>
        <v>-71.994791666500006</v>
      </c>
    </row>
    <row r="38" spans="1:38" s="1" customFormat="1" ht="14.25" thickTop="1" thickBot="1" x14ac:dyDescent="0.25">
      <c r="A38" s="451" t="s">
        <v>177</v>
      </c>
      <c r="B38" s="723">
        <f ca="1">$AL$38</f>
        <v>-5.9995659722083339</v>
      </c>
      <c r="C38" s="724"/>
      <c r="D38" s="725"/>
      <c r="E38" s="723">
        <f t="shared" ref="E38" ca="1" si="1">$AL$38</f>
        <v>-5.9995659722083339</v>
      </c>
      <c r="F38" s="724"/>
      <c r="G38" s="725"/>
      <c r="H38" s="723">
        <f t="shared" ref="H38" ca="1" si="2">$AL$38</f>
        <v>-5.9995659722083339</v>
      </c>
      <c r="I38" s="724"/>
      <c r="J38" s="725"/>
      <c r="K38" s="723">
        <f t="shared" ref="K38" ca="1" si="3">$AL$38</f>
        <v>-5.9995659722083339</v>
      </c>
      <c r="L38" s="724"/>
      <c r="M38" s="725"/>
      <c r="N38" s="723">
        <f t="shared" ref="N38" ca="1" si="4">$AL$38</f>
        <v>-5.9995659722083339</v>
      </c>
      <c r="O38" s="724"/>
      <c r="P38" s="725"/>
      <c r="Q38" s="723">
        <f t="shared" ref="Q38" ca="1" si="5">$AL$38</f>
        <v>-5.9995659722083339</v>
      </c>
      <c r="R38" s="724"/>
      <c r="S38" s="725"/>
      <c r="T38" s="723">
        <f t="shared" ref="T38" ca="1" si="6">$AL$38</f>
        <v>-5.9995659722083339</v>
      </c>
      <c r="U38" s="724"/>
      <c r="V38" s="725"/>
      <c r="W38" s="723">
        <f t="shared" ref="W38" ca="1" si="7">$AL$38</f>
        <v>-5.9995659722083339</v>
      </c>
      <c r="X38" s="724"/>
      <c r="Y38" s="725"/>
      <c r="Z38" s="723">
        <f t="shared" ref="Z38" ca="1" si="8">$AL$38</f>
        <v>-5.9995659722083339</v>
      </c>
      <c r="AA38" s="724"/>
      <c r="AB38" s="725"/>
      <c r="AC38" s="723">
        <f t="shared" ref="AC38" ca="1" si="9">$AL$38</f>
        <v>-5.9995659722083339</v>
      </c>
      <c r="AD38" s="724"/>
      <c r="AE38" s="725"/>
      <c r="AF38" s="723">
        <f t="shared" ref="AF38" ca="1" si="10">$AL$38</f>
        <v>-5.9995659722083339</v>
      </c>
      <c r="AG38" s="724"/>
      <c r="AH38" s="725"/>
      <c r="AI38" s="723">
        <f t="shared" ref="AI38" ca="1" si="11">$AL$38</f>
        <v>-5.9995659722083339</v>
      </c>
      <c r="AJ38" s="724"/>
      <c r="AK38" s="725"/>
      <c r="AL38" s="452">
        <f ca="1">AL37/12</f>
        <v>-5.9995659722083339</v>
      </c>
    </row>
    <row r="39" spans="1:38" ht="13.5" thickTop="1" x14ac:dyDescent="0.2">
      <c r="A39" s="235" t="s">
        <v>103</v>
      </c>
      <c r="B39" s="706">
        <f>Januar!O42</f>
        <v>1</v>
      </c>
      <c r="C39" s="706"/>
      <c r="D39" s="706"/>
      <c r="E39" s="706">
        <f>Februar!O42</f>
        <v>0</v>
      </c>
      <c r="F39" s="706"/>
      <c r="G39" s="706"/>
      <c r="H39" s="706">
        <f>März!P40</f>
        <v>0</v>
      </c>
      <c r="I39" s="706"/>
      <c r="J39" s="706"/>
      <c r="K39" s="706">
        <f>April!P40</f>
        <v>0</v>
      </c>
      <c r="L39" s="706"/>
      <c r="M39" s="706"/>
      <c r="N39" s="706">
        <f>Mai!P40</f>
        <v>0</v>
      </c>
      <c r="O39" s="706"/>
      <c r="P39" s="706"/>
      <c r="Q39" s="706">
        <f>Juni!P40</f>
        <v>0</v>
      </c>
      <c r="R39" s="706"/>
      <c r="S39" s="706"/>
      <c r="T39" s="706">
        <f>Juli!P40</f>
        <v>0</v>
      </c>
      <c r="U39" s="706"/>
      <c r="V39" s="706"/>
      <c r="W39" s="706">
        <f>August!P40</f>
        <v>0</v>
      </c>
      <c r="X39" s="706"/>
      <c r="Y39" s="706"/>
      <c r="Z39" s="706">
        <f>September!P40</f>
        <v>0</v>
      </c>
      <c r="AA39" s="706"/>
      <c r="AB39" s="706"/>
      <c r="AC39" s="706">
        <f>Oktober!P40</f>
        <v>0</v>
      </c>
      <c r="AD39" s="706"/>
      <c r="AE39" s="706"/>
      <c r="AF39" s="706">
        <f>November!P40</f>
        <v>0</v>
      </c>
      <c r="AG39" s="706"/>
      <c r="AH39" s="706"/>
      <c r="AI39" s="706">
        <f>Dezember!P40</f>
        <v>0</v>
      </c>
      <c r="AJ39" s="706"/>
      <c r="AK39" s="706"/>
      <c r="AL39" s="267">
        <f t="shared" si="0"/>
        <v>1</v>
      </c>
    </row>
    <row r="40" spans="1:38" outlineLevel="1" x14ac:dyDescent="0.2">
      <c r="A40" s="67" t="str">
        <f>Voreinstellungen!A27&amp;" ("&amp;Voreinstellungen!B27&amp;")"</f>
        <v>Homeoffice (H)</v>
      </c>
      <c r="B40" s="701">
        <f>Januar!O43</f>
        <v>0</v>
      </c>
      <c r="C40" s="701"/>
      <c r="D40" s="701"/>
      <c r="E40" s="701">
        <f>Februar!O43</f>
        <v>0</v>
      </c>
      <c r="F40" s="701"/>
      <c r="G40" s="701"/>
      <c r="H40" s="701">
        <f>März!P41</f>
        <v>0</v>
      </c>
      <c r="I40" s="701"/>
      <c r="J40" s="701"/>
      <c r="K40" s="701">
        <f>April!P41</f>
        <v>0</v>
      </c>
      <c r="L40" s="701"/>
      <c r="M40" s="701"/>
      <c r="N40" s="701">
        <f>Mai!P41</f>
        <v>0</v>
      </c>
      <c r="O40" s="701"/>
      <c r="P40" s="701"/>
      <c r="Q40" s="701">
        <f>Juni!P41</f>
        <v>0</v>
      </c>
      <c r="R40" s="701"/>
      <c r="S40" s="701"/>
      <c r="T40" s="701">
        <f>Juli!P41</f>
        <v>0</v>
      </c>
      <c r="U40" s="701"/>
      <c r="V40" s="701"/>
      <c r="W40" s="701">
        <f>August!P41</f>
        <v>0</v>
      </c>
      <c r="X40" s="701"/>
      <c r="Y40" s="701"/>
      <c r="Z40" s="701">
        <f>September!P41</f>
        <v>0</v>
      </c>
      <c r="AA40" s="701"/>
      <c r="AB40" s="701"/>
      <c r="AC40" s="701">
        <f>Oktober!P41</f>
        <v>0</v>
      </c>
      <c r="AD40" s="701"/>
      <c r="AE40" s="701"/>
      <c r="AF40" s="701">
        <f>November!P41</f>
        <v>0</v>
      </c>
      <c r="AG40" s="701"/>
      <c r="AH40" s="701"/>
      <c r="AI40" s="701">
        <f>Dezember!P41</f>
        <v>0</v>
      </c>
      <c r="AJ40" s="701"/>
      <c r="AK40" s="701"/>
      <c r="AL40" s="268">
        <f t="shared" si="0"/>
        <v>0</v>
      </c>
    </row>
    <row r="41" spans="1:38" outlineLevel="1" x14ac:dyDescent="0.2">
      <c r="A41" s="67" t="str">
        <f>Voreinstellungen!A20&amp;" ("&amp;Voreinstellungen!B20&amp;")"</f>
        <v>Gleittag (G)</v>
      </c>
      <c r="B41" s="701">
        <f>Januar!O40</f>
        <v>0</v>
      </c>
      <c r="C41" s="701"/>
      <c r="D41" s="701"/>
      <c r="E41" s="701">
        <f>Februar!O44</f>
        <v>0</v>
      </c>
      <c r="F41" s="701"/>
      <c r="G41" s="701"/>
      <c r="H41" s="701">
        <f>März!P38</f>
        <v>0</v>
      </c>
      <c r="I41" s="701"/>
      <c r="J41" s="701"/>
      <c r="K41" s="701">
        <f>April!P38</f>
        <v>0</v>
      </c>
      <c r="L41" s="701"/>
      <c r="M41" s="701"/>
      <c r="N41" s="701">
        <f>Mai!P38</f>
        <v>0</v>
      </c>
      <c r="O41" s="701"/>
      <c r="P41" s="701"/>
      <c r="Q41" s="701">
        <f>Juni!P38</f>
        <v>0</v>
      </c>
      <c r="R41" s="701"/>
      <c r="S41" s="701"/>
      <c r="T41" s="701">
        <f>Juli!P38</f>
        <v>0</v>
      </c>
      <c r="U41" s="701"/>
      <c r="V41" s="701"/>
      <c r="W41" s="701">
        <f>August!P38</f>
        <v>0</v>
      </c>
      <c r="X41" s="701"/>
      <c r="Y41" s="701"/>
      <c r="Z41" s="701">
        <f>September!P38</f>
        <v>0</v>
      </c>
      <c r="AA41" s="701"/>
      <c r="AB41" s="701"/>
      <c r="AC41" s="701">
        <f>Oktober!P38</f>
        <v>0</v>
      </c>
      <c r="AD41" s="701"/>
      <c r="AE41" s="701"/>
      <c r="AF41" s="701">
        <f>November!P38</f>
        <v>0</v>
      </c>
      <c r="AG41" s="701"/>
      <c r="AH41" s="701"/>
      <c r="AI41" s="701">
        <f>Dezember!P38</f>
        <v>0</v>
      </c>
      <c r="AJ41" s="701"/>
      <c r="AK41" s="701"/>
      <c r="AL41" s="268">
        <f t="shared" si="0"/>
        <v>0</v>
      </c>
    </row>
    <row r="42" spans="1:38" outlineLevel="1" x14ac:dyDescent="0.2">
      <c r="A42" s="67" t="str">
        <f>Voreinstellungen!A21&amp;" ("&amp;Voreinstellungen!B21&amp;")"&amp;"/("&amp;Voreinstellungen!B22&amp;")"</f>
        <v>Krank (K)/(KK)</v>
      </c>
      <c r="B42" s="701">
        <f>Januar!O38</f>
        <v>0</v>
      </c>
      <c r="C42" s="701"/>
      <c r="D42" s="701"/>
      <c r="E42" s="701">
        <f>Februar!O45</f>
        <v>0</v>
      </c>
      <c r="F42" s="701"/>
      <c r="G42" s="701"/>
      <c r="H42" s="701">
        <f>März!P36</f>
        <v>0</v>
      </c>
      <c r="I42" s="701"/>
      <c r="J42" s="701"/>
      <c r="K42" s="701">
        <f>April!P36</f>
        <v>0</v>
      </c>
      <c r="L42" s="701"/>
      <c r="M42" s="701"/>
      <c r="N42" s="701">
        <f>Mai!P36</f>
        <v>0</v>
      </c>
      <c r="O42" s="701"/>
      <c r="P42" s="701"/>
      <c r="Q42" s="701">
        <f>Juni!P36</f>
        <v>0</v>
      </c>
      <c r="R42" s="701"/>
      <c r="S42" s="701"/>
      <c r="T42" s="701">
        <f>Juli!P36</f>
        <v>0</v>
      </c>
      <c r="U42" s="701"/>
      <c r="V42" s="701"/>
      <c r="W42" s="701">
        <f>August!P36</f>
        <v>0</v>
      </c>
      <c r="X42" s="701"/>
      <c r="Y42" s="701"/>
      <c r="Z42" s="701">
        <f>September!P36</f>
        <v>0</v>
      </c>
      <c r="AA42" s="701"/>
      <c r="AB42" s="701"/>
      <c r="AC42" s="701">
        <f>Oktober!P36</f>
        <v>0</v>
      </c>
      <c r="AD42" s="701"/>
      <c r="AE42" s="701"/>
      <c r="AF42" s="701">
        <f>November!P36</f>
        <v>0</v>
      </c>
      <c r="AG42" s="701"/>
      <c r="AH42" s="701"/>
      <c r="AI42" s="701">
        <f>Dezember!P36</f>
        <v>0</v>
      </c>
      <c r="AJ42" s="701"/>
      <c r="AK42" s="701"/>
      <c r="AL42" s="268">
        <f t="shared" si="0"/>
        <v>0</v>
      </c>
    </row>
    <row r="43" spans="1:38" outlineLevel="1" x14ac:dyDescent="0.2">
      <c r="A43" s="67" t="str">
        <f>Voreinstellungen!A23&amp;" ("&amp;Voreinstellungen!B23&amp;")"&amp;"/("&amp;Voreinstellungen!B24&amp;")"</f>
        <v>Kurzarbeit (KU)/(KA)</v>
      </c>
      <c r="B43" s="701">
        <f>Januar!O41</f>
        <v>0</v>
      </c>
      <c r="C43" s="701"/>
      <c r="D43" s="701"/>
      <c r="E43" s="701">
        <f>Februar!O46</f>
        <v>0</v>
      </c>
      <c r="F43" s="701"/>
      <c r="G43" s="701"/>
      <c r="H43" s="701">
        <f>März!P39</f>
        <v>0</v>
      </c>
      <c r="I43" s="701"/>
      <c r="J43" s="701"/>
      <c r="K43" s="701">
        <f>April!P39</f>
        <v>0</v>
      </c>
      <c r="L43" s="701"/>
      <c r="M43" s="701"/>
      <c r="N43" s="701">
        <f>Mai!P39</f>
        <v>0</v>
      </c>
      <c r="O43" s="701"/>
      <c r="P43" s="701"/>
      <c r="Q43" s="701">
        <f>Juni!P39</f>
        <v>0</v>
      </c>
      <c r="R43" s="701"/>
      <c r="S43" s="701"/>
      <c r="T43" s="701">
        <f>Juli!P39</f>
        <v>0</v>
      </c>
      <c r="U43" s="701"/>
      <c r="V43" s="701"/>
      <c r="W43" s="701">
        <f>August!P39</f>
        <v>0</v>
      </c>
      <c r="X43" s="701"/>
      <c r="Y43" s="701"/>
      <c r="Z43" s="701">
        <f>September!P39</f>
        <v>0</v>
      </c>
      <c r="AA43" s="701"/>
      <c r="AB43" s="701"/>
      <c r="AC43" s="701">
        <f>Oktober!P39</f>
        <v>0</v>
      </c>
      <c r="AD43" s="701"/>
      <c r="AE43" s="701"/>
      <c r="AF43" s="701">
        <f>November!P39</f>
        <v>0</v>
      </c>
      <c r="AG43" s="701"/>
      <c r="AH43" s="701"/>
      <c r="AI43" s="701">
        <f>Dezember!P39</f>
        <v>0</v>
      </c>
      <c r="AJ43" s="701"/>
      <c r="AK43" s="701"/>
      <c r="AL43" s="268">
        <f t="shared" si="0"/>
        <v>0</v>
      </c>
    </row>
    <row r="44" spans="1:38" outlineLevel="1" x14ac:dyDescent="0.2">
      <c r="A44" s="67" t="str">
        <f>Voreinstellungen!A25&amp;" ("&amp;Voreinstellungen!B25&amp;")"&amp;"/("&amp;Voreinstellungen!B26&amp;")"</f>
        <v>Urlaub (U)/(UH)</v>
      </c>
      <c r="B44" s="701">
        <f>Januar!O39</f>
        <v>1</v>
      </c>
      <c r="C44" s="701"/>
      <c r="D44" s="701"/>
      <c r="E44" s="701">
        <f>Februar!O47</f>
        <v>0</v>
      </c>
      <c r="F44" s="701"/>
      <c r="G44" s="701"/>
      <c r="H44" s="701">
        <f>März!P37</f>
        <v>0</v>
      </c>
      <c r="I44" s="701"/>
      <c r="J44" s="701"/>
      <c r="K44" s="701">
        <f>April!P37</f>
        <v>0</v>
      </c>
      <c r="L44" s="701"/>
      <c r="M44" s="701"/>
      <c r="N44" s="701">
        <f>Mai!P37</f>
        <v>0</v>
      </c>
      <c r="O44" s="701"/>
      <c r="P44" s="701"/>
      <c r="Q44" s="701">
        <f>Juni!P37</f>
        <v>0</v>
      </c>
      <c r="R44" s="701"/>
      <c r="S44" s="701"/>
      <c r="T44" s="701">
        <f>Juli!P37</f>
        <v>0</v>
      </c>
      <c r="U44" s="701"/>
      <c r="V44" s="701"/>
      <c r="W44" s="701">
        <f>August!P37</f>
        <v>0</v>
      </c>
      <c r="X44" s="701"/>
      <c r="Y44" s="701"/>
      <c r="Z44" s="701">
        <f>September!P37</f>
        <v>0</v>
      </c>
      <c r="AA44" s="701"/>
      <c r="AB44" s="701"/>
      <c r="AC44" s="701">
        <f>Oktober!P37</f>
        <v>0</v>
      </c>
      <c r="AD44" s="701"/>
      <c r="AE44" s="701"/>
      <c r="AF44" s="701">
        <f>November!P37</f>
        <v>0</v>
      </c>
      <c r="AG44" s="701"/>
      <c r="AH44" s="701"/>
      <c r="AI44" s="701">
        <f>Dezember!P37</f>
        <v>0</v>
      </c>
      <c r="AJ44" s="701"/>
      <c r="AK44" s="701"/>
      <c r="AL44" s="268">
        <f t="shared" si="0"/>
        <v>1</v>
      </c>
    </row>
    <row r="45" spans="1:38" outlineLevel="1" x14ac:dyDescent="0.2">
      <c r="A45" s="67" t="str">
        <f>IF(Voreinstellungen!A28="","",Voreinstellungen!A28&amp;" ("&amp;Voreinstellungen!B28&amp;")")</f>
        <v>Bereitschaft (B)</v>
      </c>
      <c r="B45" s="701">
        <f>Januar!O44</f>
        <v>0</v>
      </c>
      <c r="C45" s="701"/>
      <c r="D45" s="701"/>
      <c r="E45" s="701">
        <f>Februar!O48</f>
        <v>0</v>
      </c>
      <c r="F45" s="701"/>
      <c r="G45" s="701"/>
      <c r="H45" s="701">
        <f>März!P42</f>
        <v>0</v>
      </c>
      <c r="I45" s="701"/>
      <c r="J45" s="701"/>
      <c r="K45" s="701">
        <f>April!P42</f>
        <v>0</v>
      </c>
      <c r="L45" s="701"/>
      <c r="M45" s="701"/>
      <c r="N45" s="701">
        <f>Mai!P42</f>
        <v>0</v>
      </c>
      <c r="O45" s="701"/>
      <c r="P45" s="701"/>
      <c r="Q45" s="701">
        <f>Juni!P42</f>
        <v>0</v>
      </c>
      <c r="R45" s="701"/>
      <c r="S45" s="701"/>
      <c r="T45" s="701">
        <f>Juli!P42</f>
        <v>0</v>
      </c>
      <c r="U45" s="701"/>
      <c r="V45" s="701"/>
      <c r="W45" s="701">
        <f>August!P42</f>
        <v>0</v>
      </c>
      <c r="X45" s="701"/>
      <c r="Y45" s="701"/>
      <c r="Z45" s="701">
        <f>September!P42</f>
        <v>0</v>
      </c>
      <c r="AA45" s="701"/>
      <c r="AB45" s="701"/>
      <c r="AC45" s="701">
        <f>Oktober!P42</f>
        <v>0</v>
      </c>
      <c r="AD45" s="701"/>
      <c r="AE45" s="701"/>
      <c r="AF45" s="701">
        <f>November!P42</f>
        <v>0</v>
      </c>
      <c r="AG45" s="701"/>
      <c r="AH45" s="701"/>
      <c r="AI45" s="701">
        <f>Dezember!P42</f>
        <v>0</v>
      </c>
      <c r="AJ45" s="701"/>
      <c r="AK45" s="701"/>
      <c r="AL45" s="268">
        <f t="shared" si="0"/>
        <v>0</v>
      </c>
    </row>
    <row r="46" spans="1:38" outlineLevel="1" x14ac:dyDescent="0.2">
      <c r="A46" s="67" t="str">
        <f>IF(Voreinstellungen!A29="","",Voreinstellungen!A29&amp;" ("&amp;Voreinstellungen!B29&amp;")")</f>
        <v>Eigener Code 1 (E1)</v>
      </c>
      <c r="B46" s="701">
        <f>Januar!O45</f>
        <v>0</v>
      </c>
      <c r="C46" s="701"/>
      <c r="D46" s="701"/>
      <c r="E46" s="701">
        <f>Februar!O49</f>
        <v>0</v>
      </c>
      <c r="F46" s="701"/>
      <c r="G46" s="701"/>
      <c r="H46" s="701">
        <f>März!P43</f>
        <v>0</v>
      </c>
      <c r="I46" s="701"/>
      <c r="J46" s="701"/>
      <c r="K46" s="701">
        <f>April!P43</f>
        <v>0</v>
      </c>
      <c r="L46" s="701"/>
      <c r="M46" s="701"/>
      <c r="N46" s="701">
        <f>Mai!P43</f>
        <v>0</v>
      </c>
      <c r="O46" s="701"/>
      <c r="P46" s="701"/>
      <c r="Q46" s="701">
        <f>Juni!P43</f>
        <v>0</v>
      </c>
      <c r="R46" s="701"/>
      <c r="S46" s="701"/>
      <c r="T46" s="701">
        <f>Juli!P43</f>
        <v>0</v>
      </c>
      <c r="U46" s="701"/>
      <c r="V46" s="701"/>
      <c r="W46" s="701">
        <f>August!P43</f>
        <v>0</v>
      </c>
      <c r="X46" s="701"/>
      <c r="Y46" s="701"/>
      <c r="Z46" s="701">
        <f>September!P43</f>
        <v>0</v>
      </c>
      <c r="AA46" s="701"/>
      <c r="AB46" s="701"/>
      <c r="AC46" s="701">
        <f>Oktober!P43</f>
        <v>0</v>
      </c>
      <c r="AD46" s="701"/>
      <c r="AE46" s="701"/>
      <c r="AF46" s="701">
        <f>November!P43</f>
        <v>0</v>
      </c>
      <c r="AG46" s="701"/>
      <c r="AH46" s="701"/>
      <c r="AI46" s="701">
        <f>Dezember!P43</f>
        <v>0</v>
      </c>
      <c r="AJ46" s="701"/>
      <c r="AK46" s="701"/>
      <c r="AL46" s="268">
        <f t="shared" si="0"/>
        <v>0</v>
      </c>
    </row>
    <row r="47" spans="1:38" outlineLevel="1" x14ac:dyDescent="0.2">
      <c r="A47" s="67" t="str">
        <f>IF(Voreinstellungen!A30="","",Voreinstellungen!A30&amp;" ("&amp;Voreinstellungen!B30&amp;")")</f>
        <v>Eigener Code 2 (E2)</v>
      </c>
      <c r="B47" s="701">
        <f>Januar!O46</f>
        <v>0</v>
      </c>
      <c r="C47" s="701"/>
      <c r="D47" s="701"/>
      <c r="E47" s="701">
        <f>Februar!O50</f>
        <v>0</v>
      </c>
      <c r="F47" s="701"/>
      <c r="G47" s="701"/>
      <c r="H47" s="701">
        <f>März!P44</f>
        <v>0</v>
      </c>
      <c r="I47" s="701"/>
      <c r="J47" s="701"/>
      <c r="K47" s="701">
        <f>April!P44</f>
        <v>0</v>
      </c>
      <c r="L47" s="701"/>
      <c r="M47" s="701"/>
      <c r="N47" s="701">
        <f>Mai!P44</f>
        <v>0</v>
      </c>
      <c r="O47" s="701"/>
      <c r="P47" s="701"/>
      <c r="Q47" s="701">
        <f>Juni!P44</f>
        <v>0</v>
      </c>
      <c r="R47" s="701"/>
      <c r="S47" s="701"/>
      <c r="T47" s="701">
        <f>Juli!P44</f>
        <v>0</v>
      </c>
      <c r="U47" s="701"/>
      <c r="V47" s="701"/>
      <c r="W47" s="701">
        <f>August!P44</f>
        <v>0</v>
      </c>
      <c r="X47" s="701"/>
      <c r="Y47" s="701"/>
      <c r="Z47" s="701">
        <f>September!P44</f>
        <v>0</v>
      </c>
      <c r="AA47" s="701"/>
      <c r="AB47" s="701"/>
      <c r="AC47" s="701">
        <f>Oktober!P44</f>
        <v>0</v>
      </c>
      <c r="AD47" s="701"/>
      <c r="AE47" s="701"/>
      <c r="AF47" s="701">
        <f>November!P44</f>
        <v>0</v>
      </c>
      <c r="AG47" s="701"/>
      <c r="AH47" s="701"/>
      <c r="AI47" s="701">
        <f>Dezember!P44</f>
        <v>0</v>
      </c>
      <c r="AJ47" s="701"/>
      <c r="AK47" s="701"/>
      <c r="AL47" s="268">
        <f t="shared" si="0"/>
        <v>0</v>
      </c>
    </row>
    <row r="48" spans="1:38" outlineLevel="1" x14ac:dyDescent="0.2">
      <c r="A48" s="67" t="str">
        <f>IF(Voreinstellungen!A31="","",Voreinstellungen!A31&amp;" ("&amp;Voreinstellungen!B31&amp;")")</f>
        <v>Eigener Code 3 (E3)</v>
      </c>
      <c r="B48" s="701">
        <f>Januar!O47</f>
        <v>0</v>
      </c>
      <c r="C48" s="701"/>
      <c r="D48" s="701"/>
      <c r="E48" s="701">
        <f>Februar!O51</f>
        <v>0</v>
      </c>
      <c r="F48" s="701"/>
      <c r="G48" s="701"/>
      <c r="H48" s="701">
        <f>März!P45</f>
        <v>0</v>
      </c>
      <c r="I48" s="701"/>
      <c r="J48" s="701"/>
      <c r="K48" s="701">
        <f>April!P45</f>
        <v>0</v>
      </c>
      <c r="L48" s="701"/>
      <c r="M48" s="701"/>
      <c r="N48" s="701">
        <f>Mai!P45</f>
        <v>0</v>
      </c>
      <c r="O48" s="701"/>
      <c r="P48" s="701"/>
      <c r="Q48" s="701">
        <f>Juni!P45</f>
        <v>0</v>
      </c>
      <c r="R48" s="701"/>
      <c r="S48" s="701"/>
      <c r="T48" s="701">
        <f>Juli!P45</f>
        <v>0</v>
      </c>
      <c r="U48" s="701"/>
      <c r="V48" s="701"/>
      <c r="W48" s="701">
        <f>August!P45</f>
        <v>0</v>
      </c>
      <c r="X48" s="701"/>
      <c r="Y48" s="701"/>
      <c r="Z48" s="701">
        <f>September!P45</f>
        <v>0</v>
      </c>
      <c r="AA48" s="701"/>
      <c r="AB48" s="701"/>
      <c r="AC48" s="701">
        <f>Oktober!P45</f>
        <v>0</v>
      </c>
      <c r="AD48" s="701"/>
      <c r="AE48" s="701"/>
      <c r="AF48" s="701">
        <f>November!P45</f>
        <v>0</v>
      </c>
      <c r="AG48" s="701"/>
      <c r="AH48" s="701"/>
      <c r="AI48" s="701">
        <f>Dezember!P45</f>
        <v>0</v>
      </c>
      <c r="AJ48" s="701"/>
      <c r="AK48" s="701"/>
      <c r="AL48" s="268">
        <f t="shared" si="0"/>
        <v>0</v>
      </c>
    </row>
    <row r="49" spans="1:38" outlineLevel="1" x14ac:dyDescent="0.2">
      <c r="A49" s="67" t="str">
        <f>IF(Voreinstellungen!A32="","",Voreinstellungen!A32&amp;" ("&amp;Voreinstellungen!B32&amp;")")</f>
        <v>Eigener Code 4 (E4)</v>
      </c>
      <c r="B49" s="701">
        <f>Januar!O48</f>
        <v>0</v>
      </c>
      <c r="C49" s="701"/>
      <c r="D49" s="701"/>
      <c r="E49" s="701">
        <f>Februar!O52</f>
        <v>0</v>
      </c>
      <c r="F49" s="701"/>
      <c r="G49" s="701"/>
      <c r="H49" s="701">
        <f>März!P46</f>
        <v>0</v>
      </c>
      <c r="I49" s="701"/>
      <c r="J49" s="701"/>
      <c r="K49" s="701">
        <f>April!P46</f>
        <v>0</v>
      </c>
      <c r="L49" s="701"/>
      <c r="M49" s="701"/>
      <c r="N49" s="701">
        <f>Mai!P46</f>
        <v>0</v>
      </c>
      <c r="O49" s="701"/>
      <c r="P49" s="701"/>
      <c r="Q49" s="701">
        <f>Juni!P46</f>
        <v>0</v>
      </c>
      <c r="R49" s="701"/>
      <c r="S49" s="701"/>
      <c r="T49" s="701">
        <f>Juli!P46</f>
        <v>0</v>
      </c>
      <c r="U49" s="701"/>
      <c r="V49" s="701"/>
      <c r="W49" s="701">
        <f>August!P46</f>
        <v>0</v>
      </c>
      <c r="X49" s="701"/>
      <c r="Y49" s="701"/>
      <c r="Z49" s="701">
        <f>September!P46</f>
        <v>0</v>
      </c>
      <c r="AA49" s="701"/>
      <c r="AB49" s="701"/>
      <c r="AC49" s="701">
        <f>Oktober!P46</f>
        <v>0</v>
      </c>
      <c r="AD49" s="701"/>
      <c r="AE49" s="701"/>
      <c r="AF49" s="701">
        <f>November!P46</f>
        <v>0</v>
      </c>
      <c r="AG49" s="701"/>
      <c r="AH49" s="701"/>
      <c r="AI49" s="701">
        <f>Dezember!P46</f>
        <v>0</v>
      </c>
      <c r="AJ49" s="701"/>
      <c r="AK49" s="701"/>
      <c r="AL49" s="268">
        <f t="shared" si="0"/>
        <v>0</v>
      </c>
    </row>
    <row r="50" spans="1:38" ht="13.5" outlineLevel="1" thickBot="1" x14ac:dyDescent="0.25">
      <c r="A50" s="236" t="str">
        <f>IF(Voreinstellungen!A33="","",Voreinstellungen!A33&amp;" ("&amp;Voreinstellungen!B33&amp;")")</f>
        <v>Eigener Code 5 (E5)</v>
      </c>
      <c r="B50" s="702">
        <f>Januar!O49</f>
        <v>0</v>
      </c>
      <c r="C50" s="702"/>
      <c r="D50" s="702"/>
      <c r="E50" s="702">
        <f>Februar!O53</f>
        <v>0</v>
      </c>
      <c r="F50" s="702"/>
      <c r="G50" s="702"/>
      <c r="H50" s="702">
        <f>März!P47</f>
        <v>0</v>
      </c>
      <c r="I50" s="702"/>
      <c r="J50" s="702"/>
      <c r="K50" s="702">
        <f>April!P47</f>
        <v>0</v>
      </c>
      <c r="L50" s="702"/>
      <c r="M50" s="702"/>
      <c r="N50" s="702">
        <f>Mai!P47</f>
        <v>0</v>
      </c>
      <c r="O50" s="702"/>
      <c r="P50" s="702"/>
      <c r="Q50" s="702">
        <f>Juni!P47</f>
        <v>0</v>
      </c>
      <c r="R50" s="702"/>
      <c r="S50" s="702"/>
      <c r="T50" s="702">
        <f>Juli!P47</f>
        <v>0</v>
      </c>
      <c r="U50" s="702"/>
      <c r="V50" s="702"/>
      <c r="W50" s="702">
        <f>August!P47</f>
        <v>0</v>
      </c>
      <c r="X50" s="702"/>
      <c r="Y50" s="702"/>
      <c r="Z50" s="702">
        <f>September!P47</f>
        <v>0</v>
      </c>
      <c r="AA50" s="702"/>
      <c r="AB50" s="702"/>
      <c r="AC50" s="702">
        <f>Oktober!P47</f>
        <v>0</v>
      </c>
      <c r="AD50" s="702"/>
      <c r="AE50" s="702"/>
      <c r="AF50" s="702">
        <f>November!P47</f>
        <v>0</v>
      </c>
      <c r="AG50" s="702"/>
      <c r="AH50" s="702"/>
      <c r="AI50" s="702">
        <f>Dezember!P47</f>
        <v>0</v>
      </c>
      <c r="AJ50" s="702"/>
      <c r="AK50" s="702"/>
      <c r="AL50" s="269">
        <f t="shared" si="0"/>
        <v>0</v>
      </c>
    </row>
    <row r="51" spans="1:38" s="69" customFormat="1" ht="13.5" thickTop="1" thickBot="1" x14ac:dyDescent="0.25">
      <c r="A51" s="68" t="str">
        <f>Voreinstellungen!A23&amp;" ("&amp;Voreinstellungen!B23&amp;"/"&amp;Voreinstellungen!B24&amp;")"</f>
        <v>Kurzarbeit (KU/KA)</v>
      </c>
      <c r="B51" s="703">
        <f>Januar!AN41</f>
        <v>0</v>
      </c>
      <c r="C51" s="703"/>
      <c r="D51" s="703"/>
      <c r="E51" s="703">
        <f>Februar!AN41</f>
        <v>0</v>
      </c>
      <c r="F51" s="703"/>
      <c r="G51" s="703"/>
      <c r="H51" s="703">
        <f>März!W39</f>
        <v>0</v>
      </c>
      <c r="I51" s="703"/>
      <c r="J51" s="703"/>
      <c r="K51" s="703">
        <f>April!W39</f>
        <v>0</v>
      </c>
      <c r="L51" s="703"/>
      <c r="M51" s="703"/>
      <c r="N51" s="703">
        <f>Mai!W39</f>
        <v>0</v>
      </c>
      <c r="O51" s="703"/>
      <c r="P51" s="703"/>
      <c r="Q51" s="703">
        <f>Juni!W39</f>
        <v>0</v>
      </c>
      <c r="R51" s="703"/>
      <c r="S51" s="703"/>
      <c r="T51" s="703">
        <f>Juli!W39</f>
        <v>0</v>
      </c>
      <c r="U51" s="703"/>
      <c r="V51" s="703"/>
      <c r="W51" s="703">
        <f>August!W39</f>
        <v>0</v>
      </c>
      <c r="X51" s="703"/>
      <c r="Y51" s="703"/>
      <c r="Z51" s="703">
        <f>September!W39</f>
        <v>0</v>
      </c>
      <c r="AA51" s="703"/>
      <c r="AB51" s="703"/>
      <c r="AC51" s="703">
        <f>Oktober!W39</f>
        <v>0</v>
      </c>
      <c r="AD51" s="703"/>
      <c r="AE51" s="703"/>
      <c r="AF51" s="703">
        <f>November!W39</f>
        <v>0</v>
      </c>
      <c r="AG51" s="703"/>
      <c r="AH51" s="703"/>
      <c r="AI51" s="703">
        <f>Dezember!W39</f>
        <v>0</v>
      </c>
      <c r="AJ51" s="703"/>
      <c r="AK51" s="703"/>
      <c r="AL51" s="270">
        <f t="shared" si="0"/>
        <v>0</v>
      </c>
    </row>
    <row r="52" spans="1:38" ht="6" customHeight="1" thickTop="1" x14ac:dyDescent="0.2"/>
  </sheetData>
  <mergeCells count="220">
    <mergeCell ref="AC38:AE38"/>
    <mergeCell ref="AF38:AH38"/>
    <mergeCell ref="AI38:AK38"/>
    <mergeCell ref="B38:D38"/>
    <mergeCell ref="E38:G38"/>
    <mergeCell ref="H38:J38"/>
    <mergeCell ref="K38:M38"/>
    <mergeCell ref="N38:P38"/>
    <mergeCell ref="Q38:S38"/>
    <mergeCell ref="T38:V38"/>
    <mergeCell ref="W38:Y38"/>
    <mergeCell ref="Z38:AB38"/>
    <mergeCell ref="AI2:AL2"/>
    <mergeCell ref="AI1:AL1"/>
    <mergeCell ref="E1:AH2"/>
    <mergeCell ref="A1:D2"/>
    <mergeCell ref="Z35:AA35"/>
    <mergeCell ref="B3:D3"/>
    <mergeCell ref="E3:G3"/>
    <mergeCell ref="H3:J3"/>
    <mergeCell ref="K3:M3"/>
    <mergeCell ref="N3:P3"/>
    <mergeCell ref="Q3:S3"/>
    <mergeCell ref="T3:V3"/>
    <mergeCell ref="W3:Y3"/>
    <mergeCell ref="Z3:AB3"/>
    <mergeCell ref="AC3:AE3"/>
    <mergeCell ref="AF3:AH3"/>
    <mergeCell ref="AI3:AK3"/>
    <mergeCell ref="Z37:AA37"/>
    <mergeCell ref="AC35:AD35"/>
    <mergeCell ref="AF35:AG35"/>
    <mergeCell ref="AI35:AJ35"/>
    <mergeCell ref="B36:C36"/>
    <mergeCell ref="E36:F36"/>
    <mergeCell ref="H36:I36"/>
    <mergeCell ref="K36:L36"/>
    <mergeCell ref="N36:O36"/>
    <mergeCell ref="Q36:R36"/>
    <mergeCell ref="T36:U36"/>
    <mergeCell ref="W36:X36"/>
    <mergeCell ref="Z36:AA36"/>
    <mergeCell ref="AC36:AD36"/>
    <mergeCell ref="AF36:AG36"/>
    <mergeCell ref="AI36:AJ36"/>
    <mergeCell ref="B35:C35"/>
    <mergeCell ref="E35:F35"/>
    <mergeCell ref="H35:I35"/>
    <mergeCell ref="K35:L35"/>
    <mergeCell ref="N35:O35"/>
    <mergeCell ref="Q35:R35"/>
    <mergeCell ref="T35:U35"/>
    <mergeCell ref="W35:X35"/>
    <mergeCell ref="Z41:AB41"/>
    <mergeCell ref="AC37:AD37"/>
    <mergeCell ref="AF37:AG37"/>
    <mergeCell ref="AI37:AJ37"/>
    <mergeCell ref="B39:D39"/>
    <mergeCell ref="E39:G39"/>
    <mergeCell ref="H39:J39"/>
    <mergeCell ref="K39:M39"/>
    <mergeCell ref="N39:P39"/>
    <mergeCell ref="Q39:S39"/>
    <mergeCell ref="T39:V39"/>
    <mergeCell ref="W39:Y39"/>
    <mergeCell ref="Z39:AB39"/>
    <mergeCell ref="AC39:AE39"/>
    <mergeCell ref="AF39:AH39"/>
    <mergeCell ref="AI39:AK39"/>
    <mergeCell ref="B37:C37"/>
    <mergeCell ref="E37:F37"/>
    <mergeCell ref="H37:I37"/>
    <mergeCell ref="K37:L37"/>
    <mergeCell ref="N37:O37"/>
    <mergeCell ref="Q37:R37"/>
    <mergeCell ref="T37:U37"/>
    <mergeCell ref="W37:X37"/>
    <mergeCell ref="Z43:AB43"/>
    <mergeCell ref="AC41:AE41"/>
    <mergeCell ref="AF41:AH41"/>
    <mergeCell ref="AI41:AK41"/>
    <mergeCell ref="B42:D42"/>
    <mergeCell ref="E42:G42"/>
    <mergeCell ref="H42:J42"/>
    <mergeCell ref="K42:M42"/>
    <mergeCell ref="N42:P42"/>
    <mergeCell ref="Q42:S42"/>
    <mergeCell ref="T42:V42"/>
    <mergeCell ref="W42:Y42"/>
    <mergeCell ref="Z42:AB42"/>
    <mergeCell ref="AC42:AE42"/>
    <mergeCell ref="AF42:AH42"/>
    <mergeCell ref="AI42:AK42"/>
    <mergeCell ref="B41:D41"/>
    <mergeCell ref="E41:G41"/>
    <mergeCell ref="H41:J41"/>
    <mergeCell ref="K41:M41"/>
    <mergeCell ref="N41:P41"/>
    <mergeCell ref="Q41:S41"/>
    <mergeCell ref="T41:V41"/>
    <mergeCell ref="W41:Y41"/>
    <mergeCell ref="Z45:AB45"/>
    <mergeCell ref="AC43:AE43"/>
    <mergeCell ref="AF43:AH43"/>
    <mergeCell ref="AI43:AK43"/>
    <mergeCell ref="B44:D44"/>
    <mergeCell ref="E44:G44"/>
    <mergeCell ref="H44:J44"/>
    <mergeCell ref="K44:M44"/>
    <mergeCell ref="N44:P44"/>
    <mergeCell ref="Q44:S44"/>
    <mergeCell ref="T44:V44"/>
    <mergeCell ref="W44:Y44"/>
    <mergeCell ref="Z44:AB44"/>
    <mergeCell ref="AC44:AE44"/>
    <mergeCell ref="AF44:AH44"/>
    <mergeCell ref="AI44:AK44"/>
    <mergeCell ref="B43:D43"/>
    <mergeCell ref="E43:G43"/>
    <mergeCell ref="H43:J43"/>
    <mergeCell ref="K43:M43"/>
    <mergeCell ref="N43:P43"/>
    <mergeCell ref="Q43:S43"/>
    <mergeCell ref="T43:V43"/>
    <mergeCell ref="W43:Y43"/>
    <mergeCell ref="Z47:AB47"/>
    <mergeCell ref="AC45:AE45"/>
    <mergeCell ref="AF45:AH45"/>
    <mergeCell ref="AI45:AK45"/>
    <mergeCell ref="B46:D46"/>
    <mergeCell ref="E46:G46"/>
    <mergeCell ref="H46:J46"/>
    <mergeCell ref="K46:M46"/>
    <mergeCell ref="N46:P46"/>
    <mergeCell ref="Q46:S46"/>
    <mergeCell ref="T46:V46"/>
    <mergeCell ref="W46:Y46"/>
    <mergeCell ref="Z46:AB46"/>
    <mergeCell ref="AC46:AE46"/>
    <mergeCell ref="AF46:AH46"/>
    <mergeCell ref="AI46:AK46"/>
    <mergeCell ref="B45:D45"/>
    <mergeCell ref="E45:G45"/>
    <mergeCell ref="H45:J45"/>
    <mergeCell ref="K45:M45"/>
    <mergeCell ref="N45:P45"/>
    <mergeCell ref="Q45:S45"/>
    <mergeCell ref="T45:V45"/>
    <mergeCell ref="W45:Y45"/>
    <mergeCell ref="Z49:AB49"/>
    <mergeCell ref="AC47:AE47"/>
    <mergeCell ref="AF47:AH47"/>
    <mergeCell ref="AI47:AK47"/>
    <mergeCell ref="B48:D48"/>
    <mergeCell ref="E48:G48"/>
    <mergeCell ref="H48:J48"/>
    <mergeCell ref="K48:M48"/>
    <mergeCell ref="N48:P48"/>
    <mergeCell ref="Q48:S48"/>
    <mergeCell ref="T48:V48"/>
    <mergeCell ref="W48:Y48"/>
    <mergeCell ref="Z48:AB48"/>
    <mergeCell ref="AC48:AE48"/>
    <mergeCell ref="AF48:AH48"/>
    <mergeCell ref="AI48:AK48"/>
    <mergeCell ref="B47:D47"/>
    <mergeCell ref="E47:G47"/>
    <mergeCell ref="H47:J47"/>
    <mergeCell ref="K47:M47"/>
    <mergeCell ref="N47:P47"/>
    <mergeCell ref="Q47:S47"/>
    <mergeCell ref="T47:V47"/>
    <mergeCell ref="W47:Y47"/>
    <mergeCell ref="Q50:S50"/>
    <mergeCell ref="T50:V50"/>
    <mergeCell ref="W50:Y50"/>
    <mergeCell ref="B49:D49"/>
    <mergeCell ref="E49:G49"/>
    <mergeCell ref="H49:J49"/>
    <mergeCell ref="K49:M49"/>
    <mergeCell ref="N49:P49"/>
    <mergeCell ref="Q49:S49"/>
    <mergeCell ref="T49:V49"/>
    <mergeCell ref="W49:Y49"/>
    <mergeCell ref="Z50:AB50"/>
    <mergeCell ref="AC51:AE51"/>
    <mergeCell ref="AF51:AH51"/>
    <mergeCell ref="AC49:AE49"/>
    <mergeCell ref="AF49:AH49"/>
    <mergeCell ref="AI49:AK49"/>
    <mergeCell ref="B50:D50"/>
    <mergeCell ref="E50:G50"/>
    <mergeCell ref="H50:J50"/>
    <mergeCell ref="K50:M50"/>
    <mergeCell ref="N50:P50"/>
    <mergeCell ref="AI51:AK51"/>
    <mergeCell ref="AI50:AK50"/>
    <mergeCell ref="B51:D51"/>
    <mergeCell ref="E51:G51"/>
    <mergeCell ref="H51:J51"/>
    <mergeCell ref="K51:M51"/>
    <mergeCell ref="N51:P51"/>
    <mergeCell ref="Q51:S51"/>
    <mergeCell ref="AC50:AE50"/>
    <mergeCell ref="AF50:AH50"/>
    <mergeCell ref="T51:V51"/>
    <mergeCell ref="W51:Y51"/>
    <mergeCell ref="Z51:AB51"/>
    <mergeCell ref="AC40:AE40"/>
    <mergeCell ref="AF40:AH40"/>
    <mergeCell ref="AI40:AK40"/>
    <mergeCell ref="B40:D40"/>
    <mergeCell ref="E40:G40"/>
    <mergeCell ref="H40:J40"/>
    <mergeCell ref="K40:M40"/>
    <mergeCell ref="N40:P40"/>
    <mergeCell ref="Q40:S40"/>
    <mergeCell ref="T40:V40"/>
    <mergeCell ref="W40:Y40"/>
    <mergeCell ref="Z40:AB40"/>
  </mergeCells>
  <conditionalFormatting sqref="B4:D34">
    <cfRule type="expression" dxfId="119" priority="126">
      <formula>WEEKDAY($B4,2)=6</formula>
    </cfRule>
    <cfRule type="expression" dxfId="118" priority="127">
      <formula>OR(WEEKDAY($B4,2)=7,ISERROR(VLOOKUP($B4,Feiertage,2,FALSE))=FALSE)</formula>
    </cfRule>
  </conditionalFormatting>
  <conditionalFormatting sqref="E4:G34">
    <cfRule type="expression" dxfId="117" priority="101">
      <formula>WEEKDAY($E4,2)=6</formula>
    </cfRule>
    <cfRule type="expression" dxfId="116" priority="112">
      <formula>OR(WEEKDAY($E4,2)=7,ISERROR(VLOOKUP($E4,Feiertage,2,FALSE))=FALSE)</formula>
    </cfRule>
  </conditionalFormatting>
  <conditionalFormatting sqref="H4:J34">
    <cfRule type="expression" dxfId="115" priority="95">
      <formula>WEEKDAY($H4,2)=6</formula>
    </cfRule>
    <cfRule type="expression" dxfId="114" priority="111">
      <formula>OR(WEEKDAY($H4,2)=7,ISERROR(VLOOKUP($H4,Feiertage,2,FALSE))=FALSE)</formula>
    </cfRule>
  </conditionalFormatting>
  <conditionalFormatting sqref="K4:M34">
    <cfRule type="expression" dxfId="113" priority="90">
      <formula>WEEKDAY($K4,2)=6</formula>
    </cfRule>
    <cfRule type="expression" dxfId="112" priority="110">
      <formula>OR(WEEKDAY($K4,2)=7,ISERROR(VLOOKUP($K4,Feiertage,2,FALSE))=FALSE)</formula>
    </cfRule>
  </conditionalFormatting>
  <conditionalFormatting sqref="N4:P34">
    <cfRule type="expression" dxfId="111" priority="85">
      <formula>WEEKDAY($N4,2)=6</formula>
    </cfRule>
    <cfRule type="expression" dxfId="110" priority="109">
      <formula>OR(WEEKDAY($N4,2)=7,ISERROR(VLOOKUP($N4,Feiertage,2,FALSE))=FALSE)</formula>
    </cfRule>
  </conditionalFormatting>
  <conditionalFormatting sqref="Q4:S34">
    <cfRule type="expression" dxfId="109" priority="80">
      <formula>WEEKDAY($Q4,2)=6</formula>
    </cfRule>
    <cfRule type="expression" dxfId="108" priority="108">
      <formula>OR(WEEKDAY($Q4,2)=7,ISERROR(VLOOKUP($Q4,Feiertage,2,FALSE))=FALSE)</formula>
    </cfRule>
  </conditionalFormatting>
  <conditionalFormatting sqref="T4:V34">
    <cfRule type="expression" dxfId="107" priority="75">
      <formula>WEEKDAY($T4,2)=6</formula>
    </cfRule>
    <cfRule type="expression" dxfId="106" priority="107">
      <formula>OR(WEEKDAY($T4,2)=7,ISERROR(VLOOKUP($T4,Feiertage,2,FALSE))=FALSE)</formula>
    </cfRule>
  </conditionalFormatting>
  <conditionalFormatting sqref="W4:Y34">
    <cfRule type="expression" dxfId="105" priority="70">
      <formula>WEEKDAY($W4,2)=6</formula>
    </cfRule>
    <cfRule type="expression" dxfId="104" priority="106">
      <formula>OR(WEEKDAY($W4,2)=7,ISERROR(VLOOKUP($W4,Feiertage,2,FALSE))=FALSE)</formula>
    </cfRule>
  </conditionalFormatting>
  <conditionalFormatting sqref="Z4:AB34">
    <cfRule type="expression" dxfId="103" priority="65">
      <formula>WEEKDAY($Z4,2)=6</formula>
    </cfRule>
    <cfRule type="expression" dxfId="102" priority="105">
      <formula>OR(WEEKDAY($Z4,2)=7,ISERROR(VLOOKUP($Z4,Feiertage,2,FALSE))=FALSE)</formula>
    </cfRule>
  </conditionalFormatting>
  <conditionalFormatting sqref="AC4:AE34">
    <cfRule type="expression" dxfId="101" priority="60">
      <formula>WEEKDAY($AC4,2)=6</formula>
    </cfRule>
    <cfRule type="expression" dxfId="100" priority="104">
      <formula>OR(WEEKDAY($AC4,2)=7,ISERROR(VLOOKUP($AC4,Feiertage,2,FALSE))=FALSE)</formula>
    </cfRule>
  </conditionalFormatting>
  <conditionalFormatting sqref="AF4:AH34">
    <cfRule type="expression" dxfId="99" priority="55">
      <formula>WEEKDAY($AF4,2)=6</formula>
    </cfRule>
    <cfRule type="expression" dxfId="98" priority="103">
      <formula>OR(WEEKDAY($AF4,2)=7,ISERROR(VLOOKUP($AF4,Feiertage,2,FALSE))=FALSE)</formula>
    </cfRule>
  </conditionalFormatting>
  <conditionalFormatting sqref="AI4:AK34">
    <cfRule type="expression" dxfId="97" priority="50">
      <formula>WEEKDAY($AI4,2)=6</formula>
    </cfRule>
    <cfRule type="expression" dxfId="96" priority="102">
      <formula>OR(WEEKDAY($AI4,2)=7,ISERROR(VLOOKUP($AI4,Feiertage,2,FALSE))=FALSE)</formula>
    </cfRule>
  </conditionalFormatting>
  <printOptions horizontalCentered="1" verticalCentered="1"/>
  <pageMargins left="0.23622047244094491" right="0.23622047244094491" top="0.23622047244094491" bottom="0.23622047244094491" header="0.11811023622047245" footer="0.11811023622047245"/>
  <pageSetup paperSize="9" scale="78" firstPageNumber="0" orientation="landscape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2" id="{00000000-000E-0000-0E00-000065000000}">
            <xm:f>$D4=Voreinstellungen!$B$25</xm:f>
            <x14:dxf>
              <font>
                <b val="0"/>
                <i val="0"/>
                <strike val="0"/>
                <condense val="0"/>
                <extend val="0"/>
                <color indexed="8"/>
              </font>
              <fill>
                <patternFill patternType="solid">
                  <fgColor indexed="30"/>
                  <bgColor rgb="FF0070C0"/>
                </patternFill>
              </fill>
            </x14:dxf>
          </x14:cfRule>
          <x14:cfRule type="expression" priority="45" id="{00000000-000E-0000-0E00-000068000000}">
            <xm:f>$D4=Voreinstellungen!$B$26</xm:f>
            <x14:dxf>
              <fill>
                <patternFill>
                  <bgColor rgb="FF00B0F0"/>
                </patternFill>
              </fill>
            </x14:dxf>
          </x14:cfRule>
          <x14:cfRule type="expression" priority="113" id="{00000000-000E-0000-0E00-000066000000}">
            <xm:f>$D4=Voreinstellungen!$B$21</xm:f>
            <x14:dxf>
              <fill>
                <patternFill patternType="solid">
                  <fgColor indexed="34"/>
                  <bgColor indexed="13"/>
                </patternFill>
              </fill>
            </x14:dxf>
          </x14:cfRule>
          <x14:cfRule type="expression" priority="114" id="{00000000-000E-0000-0E00-00006A000000}">
            <xm:f>$D4=Voreinstellungen!$B$22</xm:f>
            <x14:dxf>
              <fill>
                <patternFill>
                  <bgColor rgb="FFFFFF66"/>
                </patternFill>
              </fill>
            </x14:dxf>
          </x14:cfRule>
          <x14:cfRule type="expression" priority="116" id="{00000000-000E-0000-0E00-000069000000}">
            <xm:f>$D4=Voreinstellungen!$B$20</xm:f>
            <x14:dxf>
              <fill>
                <patternFill>
                  <bgColor theme="4" tint="0.59996337778862885"/>
                </patternFill>
              </fill>
            </x14:dxf>
          </x14:cfRule>
          <x14:cfRule type="expression" priority="117" id="{6CA9E040-ED47-4C87-9F2D-5DCE722F6C89}">
            <xm:f>$D4=Voreinstellungen!$B$31</xm:f>
            <x14:dxf>
              <fill>
                <patternFill>
                  <bgColor theme="3" tint="0.59996337778862885"/>
                </patternFill>
              </fill>
            </x14:dxf>
          </x14:cfRule>
          <x14:cfRule type="expression" priority="118" id="{7E276AD6-FC56-4D7D-A1A1-558E152A1DE7}">
            <xm:f>$D4=Voreinstellungen!$B$32</xm:f>
            <x14:dxf>
              <fill>
                <patternFill>
                  <bgColor rgb="FF92D050"/>
                </patternFill>
              </fill>
            </x14:dxf>
          </x14:cfRule>
          <x14:cfRule type="expression" priority="125" id="{59438442-C2FC-4219-B0CD-109C6D07C5FE}">
            <xm:f>$D4=Voreinstellungen!$B$33</xm:f>
            <x14:dxf>
              <fill>
                <patternFill>
                  <bgColor theme="9" tint="0.39994506668294322"/>
                </patternFill>
              </fill>
            </x14:dxf>
          </x14:cfRule>
          <xm:sqref>B4:D34</xm:sqref>
        </x14:conditionalFormatting>
        <x14:conditionalFormatting xmlns:xm="http://schemas.microsoft.com/office/excel/2006/main">
          <x14:cfRule type="expression" priority="11" id="{00000000-000E-0000-0E00-000020000000}">
            <xm:f>$G4=Voreinstellungen!$B$25</xm:f>
            <x14:dxf>
              <fill>
                <patternFill>
                  <bgColor rgb="FF0070C0"/>
                </patternFill>
              </fill>
            </x14:dxf>
          </x14:cfRule>
          <x14:cfRule type="expression" priority="43" id="{00000000-000E-0000-0E00-000054000000}">
            <xm:f>$G4=Voreinstellungen!$B$26</xm:f>
            <x14:dxf>
              <fill>
                <patternFill>
                  <bgColor rgb="FF00B0F0"/>
                </patternFill>
              </fill>
            </x14:dxf>
          </x14:cfRule>
          <x14:cfRule type="expression" priority="44" id="{00000000-000E-0000-0E00-000055000000}">
            <xm:f>$G4=Voreinstellungen!$B$20</xm:f>
            <x14:dxf>
              <fill>
                <patternFill>
                  <bgColor theme="4" tint="0.59996337778862885"/>
                </patternFill>
              </fill>
            </x14:dxf>
          </x14:cfRule>
          <x14:cfRule type="expression" priority="96" id="{00000000-000E-0000-0E00-000056000000}">
            <xm:f>$G4=Voreinstellungen!$B$21</xm:f>
            <x14:dxf>
              <fill>
                <patternFill>
                  <bgColor rgb="FFFFFF00"/>
                </patternFill>
              </fill>
            </x14:dxf>
          </x14:cfRule>
          <x14:cfRule type="expression" priority="97" id="{00000000-000E-0000-0E00-000057000000}">
            <xm:f>$G4=Voreinstellungen!$B$22</xm:f>
            <x14:dxf>
              <fill>
                <patternFill>
                  <bgColor rgb="FFFFFF66"/>
                </patternFill>
              </fill>
            </x14:dxf>
          </x14:cfRule>
          <x14:cfRule type="expression" priority="98" id="{BA9DC670-DD26-4D22-A189-2186467E3E6D}">
            <xm:f>$G4=Voreinstellungen!$B$31</xm:f>
            <x14:dxf>
              <fill>
                <patternFill>
                  <bgColor theme="3" tint="0.59996337778862885"/>
                </patternFill>
              </fill>
            </x14:dxf>
          </x14:cfRule>
          <x14:cfRule type="expression" priority="99" id="{EE2E0BB9-D39C-4266-96DD-049BCC67EDA3}">
            <xm:f>$G4=Voreinstellungen!$B$32</xm:f>
            <x14:dxf>
              <fill>
                <patternFill>
                  <bgColor rgb="FF92D050"/>
                </patternFill>
              </fill>
            </x14:dxf>
          </x14:cfRule>
          <x14:cfRule type="expression" priority="100" id="{D86B7324-1473-4CD6-AF69-ACB93875FD5E}">
            <xm:f>$G4=Voreinstellungen!$B$33</xm:f>
            <x14:dxf>
              <fill>
                <patternFill>
                  <bgColor theme="9" tint="0.39994506668294322"/>
                </patternFill>
              </fill>
            </x14:dxf>
          </x14:cfRule>
          <xm:sqref>E4:G34</xm:sqref>
        </x14:conditionalFormatting>
        <x14:conditionalFormatting xmlns:xm="http://schemas.microsoft.com/office/excel/2006/main">
          <x14:cfRule type="expression" priority="10" id="{00000000-000E-0000-0E00-00001D000000}">
            <xm:f>$J4=Voreinstellungen!$B$25</xm:f>
            <x14:dxf>
              <fill>
                <patternFill>
                  <bgColor rgb="FF0070C0"/>
                </patternFill>
              </fill>
            </x14:dxf>
          </x14:cfRule>
          <x14:cfRule type="expression" priority="40" id="{00000000-000E-0000-0E00-00001E000000}">
            <xm:f>$J4=Voreinstellungen!$B$21</xm:f>
            <x14:dxf>
              <fill>
                <patternFill>
                  <bgColor rgb="FFFFFF00"/>
                </patternFill>
              </fill>
            </x14:dxf>
          </x14:cfRule>
          <x14:cfRule type="expression" priority="41" id="{00000000-000E-0000-0E00-00004F000000}">
            <xm:f>$J4=Voreinstellungen!$B$26</xm:f>
            <x14:dxf>
              <fill>
                <patternFill>
                  <bgColor rgb="FF00B0F0"/>
                </patternFill>
              </fill>
            </x14:dxf>
          </x14:cfRule>
          <x14:cfRule type="expression" priority="42" id="{00000000-000E-0000-0E00-000050000000}">
            <xm:f>$J4=Voreinstellungen!$B$20</xm:f>
            <x14:dxf>
              <fill>
                <patternFill>
                  <bgColor theme="4" tint="0.59996337778862885"/>
                </patternFill>
              </fill>
            </x14:dxf>
          </x14:cfRule>
          <x14:cfRule type="expression" priority="91" id="{00000000-000E-0000-0E00-000051000000}">
            <xm:f>$J4=Voreinstellungen!$B$22</xm:f>
            <x14:dxf>
              <fill>
                <patternFill>
                  <bgColor rgb="FFFFFF66"/>
                </patternFill>
              </fill>
            </x14:dxf>
          </x14:cfRule>
          <x14:cfRule type="expression" priority="92" id="{EA5D9FF3-01A0-47BB-946B-4EE2B7B8C2BD}">
            <xm:f>$J4=Voreinstellungen!$B$31</xm:f>
            <x14:dxf>
              <fill>
                <patternFill>
                  <bgColor theme="3" tint="0.59996337778862885"/>
                </patternFill>
              </fill>
            </x14:dxf>
          </x14:cfRule>
          <x14:cfRule type="expression" priority="93" id="{FB41D830-E0C4-4479-9D94-BF358108D135}">
            <xm:f>$J4=Voreinstellungen!$B$32</xm:f>
            <x14:dxf>
              <fill>
                <patternFill>
                  <bgColor rgb="FF92D050"/>
                </patternFill>
              </fill>
            </x14:dxf>
          </x14:cfRule>
          <x14:cfRule type="expression" priority="94" id="{A7D8C774-843F-4F32-8FC4-C88F2094E67F}">
            <xm:f>$J4=Voreinstellungen!$B$33</xm:f>
            <x14:dxf>
              <fill>
                <patternFill>
                  <bgColor theme="9" tint="0.39994506668294322"/>
                </patternFill>
              </fill>
            </x14:dxf>
          </x14:cfRule>
          <xm:sqref>H4:J34</xm:sqref>
        </x14:conditionalFormatting>
        <x14:conditionalFormatting xmlns:xm="http://schemas.microsoft.com/office/excel/2006/main">
          <x14:cfRule type="expression" priority="9" id="{00000000-000E-0000-0E00-00001A000000}">
            <xm:f>$M4=Voreinstellungen!$B$25</xm:f>
            <x14:dxf>
              <fill>
                <patternFill>
                  <bgColor rgb="FF0070C0"/>
                </patternFill>
              </fill>
            </x14:dxf>
          </x14:cfRule>
          <x14:cfRule type="expression" priority="37" id="{00000000-000E-0000-0E00-00001B000000}">
            <xm:f>$M4=Voreinstellungen!$B$21</xm:f>
            <x14:dxf>
              <fill>
                <patternFill>
                  <bgColor rgb="FFFFFF00"/>
                </patternFill>
              </fill>
            </x14:dxf>
          </x14:cfRule>
          <x14:cfRule type="expression" priority="38" id="{00000000-000E-0000-0E00-00004A000000}">
            <xm:f>$M4=Voreinstellungen!$B$26</xm:f>
            <x14:dxf>
              <fill>
                <patternFill>
                  <bgColor rgb="FF00B0F0"/>
                </patternFill>
              </fill>
            </x14:dxf>
          </x14:cfRule>
          <x14:cfRule type="expression" priority="39" id="{00000000-000E-0000-0E00-00004B000000}">
            <xm:f>$M4=Voreinstellungen!$B$20</xm:f>
            <x14:dxf>
              <fill>
                <patternFill>
                  <bgColor theme="4" tint="0.59996337778862885"/>
                </patternFill>
              </fill>
            </x14:dxf>
          </x14:cfRule>
          <x14:cfRule type="expression" priority="86" id="{00000000-000E-0000-0E00-00004C000000}">
            <xm:f>$M4=Voreinstellungen!$B$22</xm:f>
            <x14:dxf>
              <fill>
                <patternFill>
                  <bgColor rgb="FFFFFF66"/>
                </patternFill>
              </fill>
            </x14:dxf>
          </x14:cfRule>
          <x14:cfRule type="expression" priority="87" id="{89184388-3030-4892-A922-FF06DB70B562}">
            <xm:f>$M4=Voreinstellungen!$B$31</xm:f>
            <x14:dxf>
              <fill>
                <patternFill>
                  <bgColor theme="3" tint="0.59996337778862885"/>
                </patternFill>
              </fill>
            </x14:dxf>
          </x14:cfRule>
          <x14:cfRule type="expression" priority="88" id="{7DC5B3B3-0F38-4F22-8438-52509B061C7A}">
            <xm:f>$M4=Voreinstellungen!$B$32</xm:f>
            <x14:dxf>
              <fill>
                <patternFill>
                  <bgColor rgb="FF92D050"/>
                </patternFill>
              </fill>
            </x14:dxf>
          </x14:cfRule>
          <x14:cfRule type="expression" priority="89" id="{7D8237CB-93E3-4C93-80DA-B513CE453B5D}">
            <xm:f>$M4=Voreinstellungen!$B$33</xm:f>
            <x14:dxf>
              <fill>
                <patternFill>
                  <bgColor theme="9" tint="0.39994506668294322"/>
                </patternFill>
              </fill>
            </x14:dxf>
          </x14:cfRule>
          <xm:sqref>K4:M34</xm:sqref>
        </x14:conditionalFormatting>
        <x14:conditionalFormatting xmlns:xm="http://schemas.microsoft.com/office/excel/2006/main">
          <x14:cfRule type="expression" priority="8" id="{00000000-000E-0000-0E00-000017000000}">
            <xm:f>$P4=Voreinstellungen!$B$25</xm:f>
            <x14:dxf>
              <fill>
                <patternFill>
                  <bgColor rgb="FF0070C0"/>
                </patternFill>
              </fill>
            </x14:dxf>
          </x14:cfRule>
          <x14:cfRule type="expression" priority="34" id="{00000000-000E-0000-0E00-000018000000}">
            <xm:f>$P4=Voreinstellungen!$B$21</xm:f>
            <x14:dxf>
              <fill>
                <patternFill>
                  <bgColor rgb="FFFFFF00"/>
                </patternFill>
              </fill>
            </x14:dxf>
          </x14:cfRule>
          <x14:cfRule type="expression" priority="35" id="{00000000-000E-0000-0E00-000045000000}">
            <xm:f>$P4=Voreinstellungen!$B$26</xm:f>
            <x14:dxf>
              <fill>
                <patternFill>
                  <bgColor rgb="FF00B0F0"/>
                </patternFill>
              </fill>
            </x14:dxf>
          </x14:cfRule>
          <x14:cfRule type="expression" priority="36" id="{00000000-000E-0000-0E00-000046000000}">
            <xm:f>$P4=Voreinstellungen!$B$20</xm:f>
            <x14:dxf>
              <fill>
                <patternFill>
                  <bgColor theme="4" tint="0.59996337778862885"/>
                </patternFill>
              </fill>
            </x14:dxf>
          </x14:cfRule>
          <x14:cfRule type="expression" priority="81" id="{00000000-000E-0000-0E00-000047000000}">
            <xm:f>$P4=Voreinstellungen!$B$22</xm:f>
            <x14:dxf>
              <fill>
                <patternFill>
                  <bgColor rgb="FFFFFF66"/>
                </patternFill>
              </fill>
            </x14:dxf>
          </x14:cfRule>
          <x14:cfRule type="expression" priority="82" id="{940DBE14-C2B9-42DF-BE35-38D9C8FA0DA9}">
            <xm:f>$P4=Voreinstellungen!$B$31</xm:f>
            <x14:dxf>
              <fill>
                <patternFill>
                  <bgColor theme="3" tint="0.59996337778862885"/>
                </patternFill>
              </fill>
            </x14:dxf>
          </x14:cfRule>
          <x14:cfRule type="expression" priority="83" id="{747F4D54-E827-4793-920C-1C3DC04E3964}">
            <xm:f>$P4=Voreinstellungen!$B$32</xm:f>
            <x14:dxf>
              <fill>
                <patternFill>
                  <bgColor rgb="FF92D050"/>
                </patternFill>
              </fill>
            </x14:dxf>
          </x14:cfRule>
          <x14:cfRule type="expression" priority="84" id="{B72C39D5-01F7-4432-921B-2DCDEDFF1066}">
            <xm:f>$P4=Voreinstellungen!$B$33</xm:f>
            <x14:dxf>
              <fill>
                <patternFill>
                  <bgColor theme="9" tint="0.39994506668294322"/>
                </patternFill>
              </fill>
            </x14:dxf>
          </x14:cfRule>
          <xm:sqref>N4:P34</xm:sqref>
        </x14:conditionalFormatting>
        <x14:conditionalFormatting xmlns:xm="http://schemas.microsoft.com/office/excel/2006/main">
          <x14:cfRule type="expression" priority="7" id="{00000000-000E-0000-0E00-000014000000}">
            <xm:f>$S4=Voreinstellungen!$B$25</xm:f>
            <x14:dxf>
              <fill>
                <patternFill>
                  <bgColor rgb="FF0070C0"/>
                </patternFill>
              </fill>
            </x14:dxf>
          </x14:cfRule>
          <x14:cfRule type="expression" priority="31" id="{00000000-000E-0000-0E00-000015000000}">
            <xm:f>$S4=Voreinstellungen!$B$21</xm:f>
            <x14:dxf>
              <fill>
                <patternFill>
                  <bgColor rgb="FFFFFF00"/>
                </patternFill>
              </fill>
            </x14:dxf>
          </x14:cfRule>
          <x14:cfRule type="expression" priority="32" id="{00000000-000E-0000-0E00-000040000000}">
            <xm:f>$S4=Voreinstellungen!$B$26</xm:f>
            <x14:dxf>
              <fill>
                <patternFill>
                  <bgColor rgb="FF00B0F0"/>
                </patternFill>
              </fill>
            </x14:dxf>
          </x14:cfRule>
          <x14:cfRule type="expression" priority="33" id="{00000000-000E-0000-0E00-000041000000}">
            <xm:f>$S4=Voreinstellungen!$B$20</xm:f>
            <x14:dxf>
              <fill>
                <patternFill>
                  <bgColor theme="4" tint="0.59996337778862885"/>
                </patternFill>
              </fill>
            </x14:dxf>
          </x14:cfRule>
          <x14:cfRule type="expression" priority="76" id="{00000000-000E-0000-0E00-000042000000}">
            <xm:f>$S4=Voreinstellungen!$B$22</xm:f>
            <x14:dxf>
              <fill>
                <patternFill>
                  <bgColor rgb="FFFFFF66"/>
                </patternFill>
              </fill>
            </x14:dxf>
          </x14:cfRule>
          <x14:cfRule type="expression" priority="77" id="{F6FE1A69-19D1-412B-9EFF-11B67EFFBD4A}">
            <xm:f>$S4=Voreinstellungen!$B$31</xm:f>
            <x14:dxf>
              <fill>
                <patternFill>
                  <bgColor theme="3" tint="0.59996337778862885"/>
                </patternFill>
              </fill>
            </x14:dxf>
          </x14:cfRule>
          <x14:cfRule type="expression" priority="78" id="{14CC3182-5243-4F89-9ACC-967E017975D2}">
            <xm:f>$S4=Voreinstellungen!$B$32</xm:f>
            <x14:dxf>
              <fill>
                <patternFill>
                  <bgColor rgb="FF92D050"/>
                </patternFill>
              </fill>
            </x14:dxf>
          </x14:cfRule>
          <x14:cfRule type="expression" priority="79" id="{C77536B9-4D92-4093-B761-14E2AC059D54}">
            <xm:f>$S4=Voreinstellungen!$B$33</xm:f>
            <x14:dxf>
              <fill>
                <patternFill>
                  <bgColor theme="9" tint="0.39994506668294322"/>
                </patternFill>
              </fill>
            </x14:dxf>
          </x14:cfRule>
          <xm:sqref>Q4:S34</xm:sqref>
        </x14:conditionalFormatting>
        <x14:conditionalFormatting xmlns:xm="http://schemas.microsoft.com/office/excel/2006/main">
          <x14:cfRule type="expression" priority="6" id="{00000000-000E-0000-0E00-000011000000}">
            <xm:f>$V4=Voreinstellungen!$B$25</xm:f>
            <x14:dxf>
              <fill>
                <patternFill>
                  <bgColor rgb="FF0070C0"/>
                </patternFill>
              </fill>
            </x14:dxf>
          </x14:cfRule>
          <x14:cfRule type="expression" priority="28" id="{00000000-000E-0000-0E00-000012000000}">
            <xm:f>$V4=Voreinstellungen!$B$21</xm:f>
            <x14:dxf>
              <fill>
                <patternFill>
                  <bgColor rgb="FFFFFF00"/>
                </patternFill>
              </fill>
            </x14:dxf>
          </x14:cfRule>
          <x14:cfRule type="expression" priority="29" id="{00000000-000E-0000-0E00-00003B000000}">
            <xm:f>$V4=Voreinstellungen!$B$26</xm:f>
            <x14:dxf>
              <fill>
                <patternFill>
                  <bgColor rgb="FF00B0F0"/>
                </patternFill>
              </fill>
            </x14:dxf>
          </x14:cfRule>
          <x14:cfRule type="expression" priority="30" id="{00000000-000E-0000-0E00-00003C000000}">
            <xm:f>$V4=Voreinstellungen!$B$20</xm:f>
            <x14:dxf>
              <fill>
                <patternFill>
                  <bgColor theme="4" tint="0.59996337778862885"/>
                </patternFill>
              </fill>
            </x14:dxf>
          </x14:cfRule>
          <x14:cfRule type="expression" priority="71" id="{00000000-000E-0000-0E00-00003D000000}">
            <xm:f>$V4=Voreinstellungen!$B$22</xm:f>
            <x14:dxf>
              <fill>
                <patternFill>
                  <bgColor rgb="FFFFFF66"/>
                </patternFill>
              </fill>
            </x14:dxf>
          </x14:cfRule>
          <x14:cfRule type="expression" priority="72" id="{32E6E2DC-2850-4261-860E-660D47B5C831}">
            <xm:f>$V4=Voreinstellungen!$B$31</xm:f>
            <x14:dxf>
              <fill>
                <patternFill>
                  <bgColor theme="3" tint="0.59996337778862885"/>
                </patternFill>
              </fill>
            </x14:dxf>
          </x14:cfRule>
          <x14:cfRule type="expression" priority="73" id="{3518EA03-E57A-4A45-A74D-99F1789AD920}">
            <xm:f>$V4=Voreinstellungen!$B$32</xm:f>
            <x14:dxf>
              <fill>
                <patternFill>
                  <bgColor rgb="FF92D050"/>
                </patternFill>
              </fill>
            </x14:dxf>
          </x14:cfRule>
          <x14:cfRule type="expression" priority="74" id="{2E2C2EC3-6C86-4110-8A8A-C9D045E53BD7}">
            <xm:f>$V4=Voreinstellungen!$B$33</xm:f>
            <x14:dxf>
              <fill>
                <patternFill>
                  <bgColor theme="9" tint="0.39994506668294322"/>
                </patternFill>
              </fill>
            </x14:dxf>
          </x14:cfRule>
          <xm:sqref>T4:V34</xm:sqref>
        </x14:conditionalFormatting>
        <x14:conditionalFormatting xmlns:xm="http://schemas.microsoft.com/office/excel/2006/main">
          <x14:cfRule type="expression" priority="5" id="{00000000-000E-0000-0E00-00000E000000}">
            <xm:f>$Y4=Voreinstellungen!$B$25</xm:f>
            <x14:dxf>
              <fill>
                <patternFill>
                  <bgColor rgb="FF0070C0"/>
                </patternFill>
              </fill>
            </x14:dxf>
          </x14:cfRule>
          <x14:cfRule type="expression" priority="25" id="{00000000-000E-0000-0E00-00000F000000}">
            <xm:f>$Y4=Voreinstellungen!$B$21</xm:f>
            <x14:dxf>
              <fill>
                <patternFill>
                  <bgColor rgb="FFFFFF00"/>
                </patternFill>
              </fill>
            </x14:dxf>
          </x14:cfRule>
          <x14:cfRule type="expression" priority="26" id="{00000000-000E-0000-0E00-000036000000}">
            <xm:f>$Y4=Voreinstellungen!$B$26</xm:f>
            <x14:dxf>
              <fill>
                <patternFill>
                  <bgColor rgb="FF00B0F0"/>
                </patternFill>
              </fill>
            </x14:dxf>
          </x14:cfRule>
          <x14:cfRule type="expression" priority="27" id="{00000000-000E-0000-0E00-000037000000}">
            <xm:f>$Y4=Voreinstellungen!$B$20</xm:f>
            <x14:dxf>
              <fill>
                <patternFill>
                  <bgColor theme="4" tint="0.59996337778862885"/>
                </patternFill>
              </fill>
            </x14:dxf>
          </x14:cfRule>
          <x14:cfRule type="expression" priority="66" id="{00000000-000E-0000-0E00-000038000000}">
            <xm:f>$Y4=Voreinstellungen!$B$22</xm:f>
            <x14:dxf>
              <fill>
                <patternFill>
                  <bgColor rgb="FFFFFF66"/>
                </patternFill>
              </fill>
            </x14:dxf>
          </x14:cfRule>
          <x14:cfRule type="expression" priority="67" id="{42D47849-1EE4-4AFB-BF37-16FAA9541F90}">
            <xm:f>$Y4=Voreinstellungen!$B$31</xm:f>
            <x14:dxf>
              <fill>
                <patternFill>
                  <bgColor theme="3" tint="0.59996337778862885"/>
                </patternFill>
              </fill>
            </x14:dxf>
          </x14:cfRule>
          <x14:cfRule type="expression" priority="68" id="{909658FB-AB64-4873-85DD-EA7C8BF1D0FF}">
            <xm:f>$Y4=Voreinstellungen!$B$32</xm:f>
            <x14:dxf>
              <fill>
                <patternFill>
                  <bgColor rgb="FF92D050"/>
                </patternFill>
              </fill>
            </x14:dxf>
          </x14:cfRule>
          <x14:cfRule type="expression" priority="69" id="{1C3D7FD0-0F6D-45B9-9DEE-E35BB86600D5}">
            <xm:f>$Y4=Voreinstellungen!$B$33</xm:f>
            <x14:dxf>
              <fill>
                <patternFill>
                  <bgColor theme="9" tint="0.39994506668294322"/>
                </patternFill>
              </fill>
            </x14:dxf>
          </x14:cfRule>
          <xm:sqref>W4:Y34</xm:sqref>
        </x14:conditionalFormatting>
        <x14:conditionalFormatting xmlns:xm="http://schemas.microsoft.com/office/excel/2006/main">
          <x14:cfRule type="expression" priority="4" id="{00000000-000E-0000-0E00-00000B000000}">
            <xm:f>$AB4=Voreinstellungen!$B$25</xm:f>
            <x14:dxf>
              <fill>
                <patternFill>
                  <bgColor rgb="FF0070C0"/>
                </patternFill>
              </fill>
            </x14:dxf>
          </x14:cfRule>
          <x14:cfRule type="expression" priority="22" id="{00000000-000E-0000-0E00-00000C000000}">
            <xm:f>$AB4=Voreinstellungen!$B$21</xm:f>
            <x14:dxf>
              <fill>
                <patternFill>
                  <bgColor rgb="FFFFFF00"/>
                </patternFill>
              </fill>
            </x14:dxf>
          </x14:cfRule>
          <x14:cfRule type="expression" priority="23" id="{00000000-000E-0000-0E00-000031000000}">
            <xm:f>$AB4=Voreinstellungen!$B$26</xm:f>
            <x14:dxf>
              <fill>
                <patternFill>
                  <bgColor rgb="FF00B0F0"/>
                </patternFill>
              </fill>
            </x14:dxf>
          </x14:cfRule>
          <x14:cfRule type="expression" priority="24" id="{00000000-000E-0000-0E00-000032000000}">
            <xm:f>$AB4=Voreinstellungen!$B$20</xm:f>
            <x14:dxf>
              <fill>
                <patternFill>
                  <bgColor theme="4" tint="0.59996337778862885"/>
                </patternFill>
              </fill>
            </x14:dxf>
          </x14:cfRule>
          <x14:cfRule type="expression" priority="61" id="{00000000-000E-0000-0E00-000033000000}">
            <xm:f>$AB4=Voreinstellungen!$B$22</xm:f>
            <x14:dxf>
              <fill>
                <patternFill>
                  <bgColor rgb="FFFFFF66"/>
                </patternFill>
              </fill>
            </x14:dxf>
          </x14:cfRule>
          <x14:cfRule type="expression" priority="62" id="{89ABDA9F-652E-4BB0-895C-53319BCEC3BB}">
            <xm:f>$AB4=Voreinstellungen!$B$31</xm:f>
            <x14:dxf>
              <fill>
                <patternFill>
                  <bgColor theme="3" tint="0.59996337778862885"/>
                </patternFill>
              </fill>
            </x14:dxf>
          </x14:cfRule>
          <x14:cfRule type="expression" priority="63" id="{B96A5EBC-F747-4F85-9EFA-8EFA496FD5AE}">
            <xm:f>$AB4=Voreinstellungen!$B$32</xm:f>
            <x14:dxf>
              <fill>
                <patternFill>
                  <bgColor rgb="FF92D050"/>
                </patternFill>
              </fill>
            </x14:dxf>
          </x14:cfRule>
          <x14:cfRule type="expression" priority="64" id="{7F990520-A9CA-460A-BAD0-7554A15B3E78}">
            <xm:f>$AB4=Voreinstellungen!$B$33</xm:f>
            <x14:dxf>
              <fill>
                <patternFill>
                  <bgColor theme="9" tint="0.39994506668294322"/>
                </patternFill>
              </fill>
            </x14:dxf>
          </x14:cfRule>
          <xm:sqref>Z4:AB34</xm:sqref>
        </x14:conditionalFormatting>
        <x14:conditionalFormatting xmlns:xm="http://schemas.microsoft.com/office/excel/2006/main">
          <x14:cfRule type="expression" priority="3" id="{00000000-000E-0000-0E00-000008000000}">
            <xm:f>$AE4=Voreinstellungen!$B$25</xm:f>
            <x14:dxf>
              <fill>
                <patternFill>
                  <bgColor rgb="FF0070C0"/>
                </patternFill>
              </fill>
            </x14:dxf>
          </x14:cfRule>
          <x14:cfRule type="expression" priority="19" id="{00000000-000E-0000-0E00-000009000000}">
            <xm:f>$AE4=Voreinstellungen!$B$21</xm:f>
            <x14:dxf>
              <fill>
                <patternFill>
                  <bgColor rgb="FFFFFF00"/>
                </patternFill>
              </fill>
            </x14:dxf>
          </x14:cfRule>
          <x14:cfRule type="expression" priority="20" id="{00000000-000E-0000-0E00-00002C000000}">
            <xm:f>$AE4=Voreinstellungen!$B$26</xm:f>
            <x14:dxf>
              <fill>
                <patternFill>
                  <bgColor rgb="FF00B0F0"/>
                </patternFill>
              </fill>
            </x14:dxf>
          </x14:cfRule>
          <x14:cfRule type="expression" priority="21" id="{00000000-000E-0000-0E00-00002D000000}">
            <xm:f>$AE4=Voreinstellungen!$B$20</xm:f>
            <x14:dxf>
              <fill>
                <patternFill>
                  <bgColor theme="4" tint="0.59996337778862885"/>
                </patternFill>
              </fill>
            </x14:dxf>
          </x14:cfRule>
          <x14:cfRule type="expression" priority="56" id="{00000000-000E-0000-0E00-00002E000000}">
            <xm:f>$AE4=Voreinstellungen!$B$22</xm:f>
            <x14:dxf>
              <fill>
                <patternFill>
                  <bgColor rgb="FFFFFF66"/>
                </patternFill>
              </fill>
            </x14:dxf>
          </x14:cfRule>
          <x14:cfRule type="expression" priority="57" id="{F6B17BBD-044B-4D79-B29C-BA92E8AB589E}">
            <xm:f>$AE4=Voreinstellungen!$B$31</xm:f>
            <x14:dxf>
              <fill>
                <patternFill>
                  <bgColor theme="3" tint="0.59996337778862885"/>
                </patternFill>
              </fill>
            </x14:dxf>
          </x14:cfRule>
          <x14:cfRule type="expression" priority="58" id="{14A0C225-E074-41A3-9067-3A920478A784}">
            <xm:f>$AE4=Voreinstellungen!$B$32</xm:f>
            <x14:dxf>
              <fill>
                <patternFill>
                  <bgColor rgb="FF92D050"/>
                </patternFill>
              </fill>
            </x14:dxf>
          </x14:cfRule>
          <x14:cfRule type="expression" priority="59" id="{F05EB2FB-215C-46C6-8179-364501834711}">
            <xm:f>$AE4=Voreinstellungen!$B$33</xm:f>
            <x14:dxf>
              <fill>
                <patternFill>
                  <bgColor theme="9" tint="0.39994506668294322"/>
                </patternFill>
              </fill>
            </x14:dxf>
          </x14:cfRule>
          <xm:sqref>AC4:AE34</xm:sqref>
        </x14:conditionalFormatting>
        <x14:conditionalFormatting xmlns:xm="http://schemas.microsoft.com/office/excel/2006/main">
          <x14:cfRule type="expression" priority="2" id="{00000000-000E-0000-0E00-000005000000}">
            <xm:f>$AH4=Voreinstellungen!$B$25</xm:f>
            <x14:dxf>
              <fill>
                <patternFill>
                  <bgColor rgb="FF0070C0"/>
                </patternFill>
              </fill>
            </x14:dxf>
          </x14:cfRule>
          <x14:cfRule type="expression" priority="16" id="{00000000-000E-0000-0E00-000006000000}">
            <xm:f>$AH4=Voreinstellungen!$B$21</xm:f>
            <x14:dxf>
              <fill>
                <patternFill>
                  <bgColor rgb="FFFFFF00"/>
                </patternFill>
              </fill>
            </x14:dxf>
          </x14:cfRule>
          <x14:cfRule type="expression" priority="17" id="{00000000-000E-0000-0E00-000027000000}">
            <xm:f>$AH4=Voreinstellungen!$B$26</xm:f>
            <x14:dxf>
              <fill>
                <patternFill>
                  <bgColor rgb="FF00B0F0"/>
                </patternFill>
              </fill>
            </x14:dxf>
          </x14:cfRule>
          <x14:cfRule type="expression" priority="18" id="{00000000-000E-0000-0E00-000028000000}">
            <xm:f>$AH4=Voreinstellungen!$B$20</xm:f>
            <x14:dxf>
              <fill>
                <patternFill>
                  <bgColor theme="4" tint="0.59996337778862885"/>
                </patternFill>
              </fill>
            </x14:dxf>
          </x14:cfRule>
          <x14:cfRule type="expression" priority="51" id="{00000000-000E-0000-0E00-000029000000}">
            <xm:f>$AH4=Voreinstellungen!$B$22</xm:f>
            <x14:dxf>
              <fill>
                <patternFill>
                  <bgColor rgb="FFFFFF66"/>
                </patternFill>
              </fill>
            </x14:dxf>
          </x14:cfRule>
          <x14:cfRule type="expression" priority="52" id="{C8EA0DC3-B23A-41E9-AA34-1BE5BFECB041}">
            <xm:f>$AH4=Voreinstellungen!$B$31</xm:f>
            <x14:dxf>
              <fill>
                <patternFill>
                  <bgColor theme="3" tint="0.59996337778862885"/>
                </patternFill>
              </fill>
            </x14:dxf>
          </x14:cfRule>
          <x14:cfRule type="expression" priority="53" id="{30713F9A-E652-4D82-90C7-19760F4B9777}">
            <xm:f>$AH4=Voreinstellungen!$B$32</xm:f>
            <x14:dxf>
              <fill>
                <patternFill>
                  <bgColor rgb="FF92D050"/>
                </patternFill>
              </fill>
            </x14:dxf>
          </x14:cfRule>
          <x14:cfRule type="expression" priority="54" id="{8AB83434-3897-484C-A371-A6888A6F4295}">
            <xm:f>$AH4=Voreinstellungen!$B$33</xm:f>
            <x14:dxf>
              <fill>
                <patternFill>
                  <bgColor theme="9" tint="0.39994506668294322"/>
                </patternFill>
              </fill>
            </x14:dxf>
          </x14:cfRule>
          <xm:sqref>AF4:AH34</xm:sqref>
        </x14:conditionalFormatting>
        <x14:conditionalFormatting xmlns:xm="http://schemas.microsoft.com/office/excel/2006/main">
          <x14:cfRule type="expression" priority="1" id="{00000000-000E-0000-0E00-000002000000}">
            <xm:f>$AK4=Voreinstellungen!$B$25</xm:f>
            <x14:dxf>
              <fill>
                <patternFill>
                  <bgColor rgb="FF0070C0"/>
                </patternFill>
              </fill>
            </x14:dxf>
          </x14:cfRule>
          <x14:cfRule type="expression" priority="13" id="{00000000-000E-0000-0E00-000003000000}">
            <xm:f>$AK4=Voreinstellungen!$B$21</xm:f>
            <x14:dxf>
              <fill>
                <patternFill>
                  <bgColor rgb="FFFFFF00"/>
                </patternFill>
              </fill>
            </x14:dxf>
          </x14:cfRule>
          <x14:cfRule type="expression" priority="14" id="{00000000-000E-0000-0E00-000022000000}">
            <xm:f>$AK4=Voreinstellungen!$B$26</xm:f>
            <x14:dxf>
              <fill>
                <patternFill>
                  <bgColor rgb="FF00B0F0"/>
                </patternFill>
              </fill>
            </x14:dxf>
          </x14:cfRule>
          <x14:cfRule type="expression" priority="15" id="{00000000-000E-0000-0E00-000023000000}">
            <xm:f>$AK4=Voreinstellungen!$B$20</xm:f>
            <x14:dxf>
              <fill>
                <patternFill>
                  <bgColor theme="4" tint="0.59996337778862885"/>
                </patternFill>
              </fill>
            </x14:dxf>
          </x14:cfRule>
          <x14:cfRule type="expression" priority="46" id="{00000000-000E-0000-0E00-000024000000}">
            <xm:f>$AK4=Voreinstellungen!$B$22</xm:f>
            <x14:dxf>
              <fill>
                <patternFill>
                  <bgColor rgb="FFFFFF66"/>
                </patternFill>
              </fill>
            </x14:dxf>
          </x14:cfRule>
          <x14:cfRule type="expression" priority="47" id="{3731D761-343E-4707-9F6D-F0ECED6B9E39}">
            <xm:f>$AK4=Voreinstellungen!$B$31</xm:f>
            <x14:dxf>
              <fill>
                <patternFill>
                  <bgColor theme="3" tint="0.59996337778862885"/>
                </patternFill>
              </fill>
            </x14:dxf>
          </x14:cfRule>
          <x14:cfRule type="expression" priority="48" id="{0E11B9C3-22C7-4BDE-AED3-1C99C9D14298}">
            <xm:f>$AK4=Voreinstellungen!$B$32</xm:f>
            <x14:dxf>
              <fill>
                <patternFill>
                  <bgColor rgb="FF92D050"/>
                </patternFill>
              </fill>
            </x14:dxf>
          </x14:cfRule>
          <x14:cfRule type="expression" priority="49" id="{A66C2343-A626-4DEE-AB10-492BDD567437}">
            <xm:f>$AK4=Voreinstellungen!$B$33</xm:f>
            <x14:dxf>
              <fill>
                <patternFill>
                  <bgColor theme="9" tint="0.39994506668294322"/>
                </patternFill>
              </fill>
            </x14:dxf>
          </x14:cfRule>
          <xm:sqref>AI4:AK34</xm:sqref>
        </x14:conditionalFormatting>
      </x14:conditionalFormatting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15">
    <tabColor indexed="17"/>
    <pageSetUpPr fitToPage="1"/>
  </sheetPr>
  <dimension ref="A1:E15"/>
  <sheetViews>
    <sheetView showGridLines="0" workbookViewId="0">
      <selection activeCell="C5" sqref="C5"/>
    </sheetView>
  </sheetViews>
  <sheetFormatPr baseColWidth="10" defaultColWidth="11.42578125" defaultRowHeight="12" x14ac:dyDescent="0.2"/>
  <cols>
    <col min="1" max="1" width="25.28515625" style="19" customWidth="1"/>
    <col min="2" max="2" width="6" style="19" customWidth="1"/>
    <col min="3" max="3" width="7.7109375" style="19" customWidth="1"/>
    <col min="4" max="4" width="7.7109375" style="70" customWidth="1"/>
    <col min="5" max="5" width="12.42578125" style="19" customWidth="1"/>
    <col min="6" max="16384" width="11.42578125" style="19"/>
  </cols>
  <sheetData>
    <row r="1" spans="1:5" s="1" customFormat="1" ht="15.75" x14ac:dyDescent="0.2">
      <c r="A1" s="71" t="str">
        <f>"Fahrtkostenberechnung "&amp;Jahr</f>
        <v>Fahrtkostenberechnung 2025</v>
      </c>
      <c r="B1" s="237"/>
      <c r="C1" s="16"/>
      <c r="D1" s="16"/>
      <c r="E1" s="72"/>
    </row>
    <row r="2" spans="1:5" s="1" customFormat="1" x14ac:dyDescent="0.2">
      <c r="A2" s="73" t="s">
        <v>104</v>
      </c>
      <c r="B2" s="74"/>
      <c r="C2" s="74"/>
      <c r="D2" s="74"/>
      <c r="E2" s="75">
        <f>Jahresübersicht!AL39</f>
        <v>1</v>
      </c>
    </row>
    <row r="3" spans="1:5" s="1" customFormat="1" x14ac:dyDescent="0.2">
      <c r="A3" s="73" t="s">
        <v>105</v>
      </c>
      <c r="B3" s="74"/>
      <c r="C3" s="74"/>
      <c r="D3" s="74"/>
      <c r="E3" s="324"/>
    </row>
    <row r="4" spans="1:5" s="1" customFormat="1" x14ac:dyDescent="0.2">
      <c r="A4" s="73" t="s">
        <v>106</v>
      </c>
      <c r="B4" s="74"/>
      <c r="C4" s="74"/>
      <c r="D4" s="74"/>
      <c r="E4" s="76">
        <f>E2*E3</f>
        <v>0</v>
      </c>
    </row>
    <row r="5" spans="1:5" s="1" customFormat="1" x14ac:dyDescent="0.2">
      <c r="A5" s="239" t="s">
        <v>133</v>
      </c>
      <c r="B5" s="240" t="s">
        <v>132</v>
      </c>
      <c r="C5" s="249">
        <v>20</v>
      </c>
      <c r="D5" s="247">
        <v>0.30000000000000004</v>
      </c>
      <c r="E5" s="245">
        <f>IF(E3&gt;C5,C5*D5,E3*D5)</f>
        <v>0</v>
      </c>
    </row>
    <row r="6" spans="1:5" s="1" customFormat="1" x14ac:dyDescent="0.2">
      <c r="A6" s="73"/>
      <c r="B6" s="74" t="str">
        <f>"über "&amp;C5&amp;" km"</f>
        <v>über 20 km</v>
      </c>
      <c r="C6" s="74"/>
      <c r="D6" s="248">
        <v>0.38</v>
      </c>
      <c r="E6" s="246">
        <f>IF(E3&gt;C5,(E3-C5)*D6,0)</f>
        <v>0</v>
      </c>
    </row>
    <row r="7" spans="1:5" s="1" customFormat="1" x14ac:dyDescent="0.2">
      <c r="A7" s="241"/>
      <c r="B7" s="242"/>
      <c r="C7" s="243"/>
      <c r="D7" s="243"/>
      <c r="E7" s="244">
        <f>SUM(E5:E6)</f>
        <v>0</v>
      </c>
    </row>
    <row r="8" spans="1:5" s="1" customFormat="1" x14ac:dyDescent="0.2">
      <c r="A8" s="77" t="s">
        <v>107</v>
      </c>
      <c r="B8" s="78"/>
      <c r="C8" s="78"/>
      <c r="D8" s="78"/>
      <c r="E8" s="79">
        <f>E7*E2</f>
        <v>0</v>
      </c>
    </row>
    <row r="9" spans="1:5" s="1" customFormat="1" x14ac:dyDescent="0.2">
      <c r="D9" s="80"/>
    </row>
    <row r="10" spans="1:5" s="1" customFormat="1" x14ac:dyDescent="0.2">
      <c r="A10" s="145" t="s">
        <v>108</v>
      </c>
      <c r="B10" s="238"/>
      <c r="C10" s="2"/>
      <c r="D10" s="81"/>
      <c r="E10" s="3"/>
    </row>
    <row r="11" spans="1:5" x14ac:dyDescent="0.2">
      <c r="A11" s="82" t="s">
        <v>109</v>
      </c>
      <c r="B11" s="17"/>
      <c r="C11" s="17"/>
      <c r="D11" s="17"/>
      <c r="E11" s="111"/>
    </row>
    <row r="12" spans="1:5" x14ac:dyDescent="0.2">
      <c r="A12" s="83" t="s">
        <v>110</v>
      </c>
      <c r="B12" s="18"/>
      <c r="C12" s="18"/>
      <c r="D12" s="18"/>
      <c r="E12" s="112"/>
    </row>
    <row r="13" spans="1:5" x14ac:dyDescent="0.2">
      <c r="A13" s="84" t="s">
        <v>111</v>
      </c>
      <c r="B13" s="85"/>
      <c r="C13" s="85"/>
      <c r="D13" s="85"/>
      <c r="E13" s="113"/>
    </row>
    <row r="14" spans="1:5" x14ac:dyDescent="0.2">
      <c r="A14" s="86" t="s">
        <v>112</v>
      </c>
      <c r="B14" s="87"/>
      <c r="C14" s="87"/>
      <c r="D14" s="87"/>
      <c r="E14" s="88">
        <f>E15/12</f>
        <v>0</v>
      </c>
    </row>
    <row r="15" spans="1:5" x14ac:dyDescent="0.2">
      <c r="A15" s="89" t="s">
        <v>113</v>
      </c>
      <c r="B15" s="90"/>
      <c r="C15" s="90"/>
      <c r="D15" s="90"/>
      <c r="E15" s="91">
        <f>(E4/100*E12*E13)+E11</f>
        <v>0</v>
      </c>
    </row>
  </sheetData>
  <printOptions horizontalCentered="1" verticalCentered="1"/>
  <pageMargins left="0.23622047244094491" right="0.23622047244094491" top="0.23622047244094491" bottom="0.23622047244094491" header="0.11811023622047245" footer="0.11811023622047245"/>
  <pageSetup paperSize="9" firstPageNumber="0" orientation="landscape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01">
    <tabColor indexed="10"/>
    <pageSetUpPr fitToPage="1"/>
  </sheetPr>
  <dimension ref="A1:F40"/>
  <sheetViews>
    <sheetView showGridLines="0" workbookViewId="0">
      <selection activeCell="C7" sqref="C7"/>
    </sheetView>
  </sheetViews>
  <sheetFormatPr baseColWidth="10" defaultColWidth="11.42578125" defaultRowHeight="12" x14ac:dyDescent="0.2"/>
  <cols>
    <col min="1" max="1" width="28.7109375" style="19" customWidth="1"/>
    <col min="2" max="2" width="18.28515625" style="19" customWidth="1"/>
    <col min="3" max="3" width="6.28515625" style="19" customWidth="1"/>
    <col min="4" max="4" width="70.7109375" style="19" customWidth="1"/>
    <col min="5" max="5" width="2" style="19" customWidth="1"/>
    <col min="6" max="6" width="15.5703125" style="48" bestFit="1" customWidth="1"/>
    <col min="7" max="16384" width="11.42578125" style="19"/>
  </cols>
  <sheetData>
    <row r="1" spans="1:6" s="20" customFormat="1" x14ac:dyDescent="0.2">
      <c r="A1" s="677" t="str">
        <f>"Feiertage "&amp;Jahr</f>
        <v>Feiertage 2025</v>
      </c>
      <c r="B1" s="677"/>
      <c r="C1" s="677"/>
      <c r="D1" s="677"/>
      <c r="F1" s="271"/>
    </row>
    <row r="2" spans="1:6" hidden="1" x14ac:dyDescent="0.2">
      <c r="A2" s="227">
        <f>IF(AND((MOD(19*(MOD(Jahr,19))+(MOD(15-(INT((8*(INT(Jahr/100))+13)/25-2))+(INT((INT(Jahr/100))-(INT(Jahr/400))-2)),30)),30))=28,(MOD(Jahr,19))&gt;10),27,IF((MOD(19*(MOD(Jahr,19))+(MOD(15-(INT((8*(INT(Jahr/100))+13)/25-2))+(INT((INT(Jahr/100))-(INT(Jahr/400))-2)),30)),30))=29,28,(MOD(19*(MOD(Jahr,19))+(MOD(15-(INT((8*(INT(Jahr/100))+13)/25-2))+(INT((INT(Jahr/100))-(INT(Jahr/400))-2)),30)),30))))</f>
        <v>23</v>
      </c>
      <c r="B2" s="227">
        <f>MOD((INT((INT(Jahr/100))-(INT(Jahr/400))-2))+6*(IF(AND((MOD(19*(MOD(Jahr,19))+(MOD(15-(INT((8*(INT(Jahr/100))+13)/25-2))+(INT((INT(Jahr/100))-(INT(Jahr/400))-2)),30)),30))=28,(MOD(Jahr,19))&gt;10),27,IF((MOD(19*(MOD(Jahr,19))+(MOD(15-(INT((8*(INT(Jahr/100))+13)/25-2))+(INT((INT(Jahr/100))-(INT(Jahr/400))-2)),30)),30))=29,28,(MOD(19*(MOD(Jahr,19))+(MOD(15-(INT((8*(INT(Jahr/100))+13)/25-2))+(INT((INT(Jahr/100))-(INT(Jahr/400))-2)),30)),30)))))+2*(MOD(Jahr,4))+4*(MOD(Jahr,7))+6,7)</f>
        <v>6</v>
      </c>
      <c r="C2" s="228"/>
      <c r="D2" s="229"/>
    </row>
    <row r="3" spans="1:6" s="20" customFormat="1" x14ac:dyDescent="0.2">
      <c r="A3" s="21" t="s">
        <v>46</v>
      </c>
      <c r="B3" s="22" t="s">
        <v>23</v>
      </c>
      <c r="C3" s="23" t="s">
        <v>25</v>
      </c>
      <c r="D3" s="24" t="s">
        <v>47</v>
      </c>
    </row>
    <row r="4" spans="1:6" s="1" customFormat="1" x14ac:dyDescent="0.2">
      <c r="A4" s="25">
        <f>DATE(Jahr,1,1)</f>
        <v>44196</v>
      </c>
      <c r="B4" s="26" t="s">
        <v>48</v>
      </c>
      <c r="C4" s="27">
        <v>0</v>
      </c>
      <c r="D4" s="28"/>
    </row>
    <row r="5" spans="1:6" s="1" customFormat="1" x14ac:dyDescent="0.2">
      <c r="A5" s="163"/>
      <c r="B5" s="197" t="s">
        <v>49</v>
      </c>
      <c r="C5" s="43">
        <v>0</v>
      </c>
      <c r="D5" s="31" t="str">
        <f>"06.01."&amp;Voreinstellungen!C2&amp;" (nur in BW, BY und ST)"</f>
        <v>06.01.2025 (nur in BW, BY und ST)</v>
      </c>
    </row>
    <row r="6" spans="1:6" s="1" customFormat="1" x14ac:dyDescent="0.2">
      <c r="A6" s="194"/>
      <c r="B6" s="200" t="s">
        <v>124</v>
      </c>
      <c r="C6" s="201">
        <v>0</v>
      </c>
      <c r="D6" s="196" t="str">
        <f>TEXT(A10-48,"TT.MM.JJJJ")&amp;" (nur in den Karnevals-Hochburgen)"</f>
        <v>03.03.2025 (nur in den Karnevals-Hochburgen)</v>
      </c>
    </row>
    <row r="7" spans="1:6" s="1" customFormat="1" x14ac:dyDescent="0.2">
      <c r="A7" s="195"/>
      <c r="B7" s="202" t="s">
        <v>125</v>
      </c>
      <c r="C7" s="203">
        <v>0</v>
      </c>
      <c r="D7" s="196" t="str">
        <f>TEXT(A10-47,"TT.MM.JJJJ")&amp;" (nur in den Karnevals-Hochburgen)"</f>
        <v>04.03.2025 (nur in den Karnevals-Hochburgen)</v>
      </c>
    </row>
    <row r="8" spans="1:6" s="1" customFormat="1" x14ac:dyDescent="0.2">
      <c r="A8" s="231"/>
      <c r="B8" s="232" t="s">
        <v>129</v>
      </c>
      <c r="C8" s="233">
        <v>0</v>
      </c>
      <c r="D8" s="196" t="str">
        <f>"08.03."&amp;Voreinstellungen!C2&amp;" (nur in Berlin)"</f>
        <v>08.03.2025 (nur in Berlin)</v>
      </c>
    </row>
    <row r="9" spans="1:6" s="1" customFormat="1" x14ac:dyDescent="0.2">
      <c r="A9" s="165">
        <f>A10-2</f>
        <v>44303</v>
      </c>
      <c r="B9" s="198" t="s">
        <v>50</v>
      </c>
      <c r="C9" s="199">
        <v>0</v>
      </c>
      <c r="D9" s="32" t="str">
        <f>TEXT(A10-2,"TT.MM.JJJJ")&amp;" (nur in Deutschland)"</f>
        <v>18.04.2025 (nur in Deutschland)</v>
      </c>
    </row>
    <row r="10" spans="1:6" s="1" customFormat="1" x14ac:dyDescent="0.2">
      <c r="A10" s="33">
        <f>IF(Ostern1+Ostern0+22&gt;31,DATE(Jahr,4,Ostern1+Ostern0+22-31),DATE(Jahr,3,Ostern1+Ostern0+22))</f>
        <v>44305</v>
      </c>
      <c r="B10" s="34" t="s">
        <v>51</v>
      </c>
      <c r="C10" s="30">
        <v>0</v>
      </c>
      <c r="D10" s="32"/>
    </row>
    <row r="11" spans="1:6" s="1" customFormat="1" x14ac:dyDescent="0.2">
      <c r="A11" s="40">
        <f>A10+1</f>
        <v>44306</v>
      </c>
      <c r="B11" s="36" t="s">
        <v>52</v>
      </c>
      <c r="C11" s="30">
        <v>0</v>
      </c>
      <c r="D11" s="32"/>
    </row>
    <row r="12" spans="1:6" s="1" customFormat="1" x14ac:dyDescent="0.2">
      <c r="A12" s="220">
        <f>DATE(Jahr,5,1)</f>
        <v>44316</v>
      </c>
      <c r="B12" s="222" t="s">
        <v>53</v>
      </c>
      <c r="C12" s="38">
        <v>0</v>
      </c>
      <c r="D12" s="32" t="s">
        <v>54</v>
      </c>
    </row>
    <row r="13" spans="1:6" s="1" customFormat="1" x14ac:dyDescent="0.2">
      <c r="A13" s="221">
        <f>A10+39</f>
        <v>44344</v>
      </c>
      <c r="B13" s="223" t="s">
        <v>55</v>
      </c>
      <c r="C13" s="38">
        <v>0</v>
      </c>
      <c r="D13" s="32"/>
    </row>
    <row r="14" spans="1:6" s="1" customFormat="1" x14ac:dyDescent="0.2">
      <c r="A14" s="35">
        <f>A10+49</f>
        <v>44354</v>
      </c>
      <c r="B14" s="39" t="s">
        <v>56</v>
      </c>
      <c r="C14" s="30">
        <v>0</v>
      </c>
      <c r="D14" s="32"/>
    </row>
    <row r="15" spans="1:6" s="1" customFormat="1" x14ac:dyDescent="0.2">
      <c r="A15" s="40">
        <f>A10+50</f>
        <v>44355</v>
      </c>
      <c r="B15" s="34" t="s">
        <v>57</v>
      </c>
      <c r="C15" s="30">
        <v>0</v>
      </c>
      <c r="D15" s="32"/>
    </row>
    <row r="16" spans="1:6" s="1" customFormat="1" x14ac:dyDescent="0.2">
      <c r="A16" s="163"/>
      <c r="B16" s="29" t="s">
        <v>58</v>
      </c>
      <c r="C16" s="30">
        <v>0</v>
      </c>
      <c r="D16" s="31" t="str">
        <f>TEXT(A10+60,"TT.MM.JJJJ")&amp;" (nur in BW, BY, HE, NW, RP, SL, Österreich und in Teilen SN und TH)"</f>
        <v>19.06.2025 (nur in BW, BY, HE, NW, RP, SL, Österreich und in Teilen SN und TH)</v>
      </c>
      <c r="F16" s="47"/>
    </row>
    <row r="17" spans="1:6" s="1" customFormat="1" x14ac:dyDescent="0.2">
      <c r="A17" s="164"/>
      <c r="B17" s="29" t="s">
        <v>59</v>
      </c>
      <c r="C17" s="30">
        <v>0</v>
      </c>
      <c r="D17" s="31" t="str">
        <f>"08.08."&amp;Voreinstellungen!C2&amp;" (nur in Augsburg)"</f>
        <v>08.08.2025 (nur in Augsburg)</v>
      </c>
      <c r="F17" s="47"/>
    </row>
    <row r="18" spans="1:6" s="1" customFormat="1" x14ac:dyDescent="0.2">
      <c r="A18" s="164"/>
      <c r="B18" s="29" t="s">
        <v>60</v>
      </c>
      <c r="C18" s="30">
        <v>0</v>
      </c>
      <c r="D18" s="31" t="str">
        <f>"15.08."&amp;Voreinstellungen!C2&amp;" (nur SL und in Teilen BY)"</f>
        <v>15.08.2025 (nur SL und in Teilen BY)</v>
      </c>
      <c r="F18" s="47"/>
    </row>
    <row r="19" spans="1:6" s="1" customFormat="1" x14ac:dyDescent="0.2">
      <c r="A19" s="164"/>
      <c r="B19" s="29" t="s">
        <v>130</v>
      </c>
      <c r="C19" s="30">
        <v>0</v>
      </c>
      <c r="D19" s="31" t="str">
        <f>"20.09."&amp;Voreinstellungen!C2&amp;" (nur in TH)"</f>
        <v>20.09.2025 (nur in TH)</v>
      </c>
      <c r="F19" s="47"/>
    </row>
    <row r="20" spans="1:6" s="1" customFormat="1" x14ac:dyDescent="0.2">
      <c r="A20" s="164">
        <f>DATE(Jahr,10,3)</f>
        <v>44471</v>
      </c>
      <c r="B20" s="29" t="s">
        <v>61</v>
      </c>
      <c r="C20" s="30">
        <v>0</v>
      </c>
      <c r="D20" s="32" t="str">
        <f>"03.10."&amp;Voreinstellungen!C2&amp;" (nur in Deutschland)"</f>
        <v>03.10.2025 (nur in Deutschland)</v>
      </c>
      <c r="F20" s="47"/>
    </row>
    <row r="21" spans="1:6" s="1" customFormat="1" x14ac:dyDescent="0.2">
      <c r="A21" s="164"/>
      <c r="B21" s="29" t="s">
        <v>62</v>
      </c>
      <c r="C21" s="30">
        <v>0</v>
      </c>
      <c r="D21" s="32" t="str">
        <f>"26.10."&amp;Voreinstellungen!C2&amp;" (nur Österreich)"</f>
        <v>26.10.2025 (nur Österreich)</v>
      </c>
      <c r="F21" s="47"/>
    </row>
    <row r="22" spans="1:6" s="1" customFormat="1" x14ac:dyDescent="0.2">
      <c r="A22" s="164">
        <f>DATE(Jahr,10,31)</f>
        <v>44499</v>
      </c>
      <c r="B22" s="29" t="s">
        <v>63</v>
      </c>
      <c r="C22" s="30">
        <v>0</v>
      </c>
      <c r="D22" s="31" t="str">
        <f>"31.10."&amp;Voreinstellungen!C2&amp;" (nur in BB, HB, HH, MV, NI, SH, SN, ST und TH)"</f>
        <v>31.10.2025 (nur in BB, HB, HH, MV, NI, SH, SN, ST und TH)</v>
      </c>
      <c r="F22" s="47"/>
    </row>
    <row r="23" spans="1:6" s="1" customFormat="1" x14ac:dyDescent="0.2">
      <c r="A23" s="164"/>
      <c r="B23" s="29" t="s">
        <v>64</v>
      </c>
      <c r="C23" s="30">
        <v>0</v>
      </c>
      <c r="D23" s="31" t="str">
        <f>"01.11."&amp;Voreinstellungen!C2&amp;" (nur in BW, BY, NW, RP, SL und Österreich)"</f>
        <v>01.11.2025 (nur in BW, BY, NW, RP, SL und Österreich)</v>
      </c>
      <c r="F23" s="47"/>
    </row>
    <row r="24" spans="1:6" s="1" customFormat="1" x14ac:dyDescent="0.2">
      <c r="A24" s="164">
        <f>DATE(Jahr,12,25)-WEEKDAY(DATE(Jahr,12,25),2)-4*7-4</f>
        <v>44518</v>
      </c>
      <c r="B24" s="41" t="s">
        <v>65</v>
      </c>
      <c r="C24" s="30">
        <v>0</v>
      </c>
      <c r="D24" s="31" t="str">
        <f>TEXT(DATE(Voreinstellungen!C2,12,25)-WEEKDAY(DATE(Voreinstellungen!C2,12,25),2)-4*7-4,"TT.MM.JJJJ")&amp;" (nur in SN)"</f>
        <v>19.11.2025 (nur in SN)</v>
      </c>
      <c r="F24" s="47"/>
    </row>
    <row r="25" spans="1:6" s="1" customFormat="1" x14ac:dyDescent="0.2">
      <c r="A25" s="165"/>
      <c r="B25" s="41" t="s">
        <v>66</v>
      </c>
      <c r="C25" s="43">
        <v>0</v>
      </c>
      <c r="D25" s="32" t="str">
        <f>"08.12."&amp;Voreinstellungen!C2&amp;" (nur Österreich und Schweiz)"</f>
        <v>08.12.2025 (nur Österreich und Schweiz)</v>
      </c>
      <c r="F25" s="47"/>
    </row>
    <row r="26" spans="1:6" s="1" customFormat="1" x14ac:dyDescent="0.2">
      <c r="A26" s="33">
        <f>DATE(Jahr,12,24)</f>
        <v>44553</v>
      </c>
      <c r="B26" s="116" t="s">
        <v>67</v>
      </c>
      <c r="C26" s="114">
        <v>0.5</v>
      </c>
      <c r="D26" s="42"/>
      <c r="F26" s="47"/>
    </row>
    <row r="27" spans="1:6" s="1" customFormat="1" x14ac:dyDescent="0.2">
      <c r="A27" s="37">
        <f>DATE(Jahr,12,25)</f>
        <v>44554</v>
      </c>
      <c r="B27" s="118" t="s">
        <v>68</v>
      </c>
      <c r="C27" s="115">
        <v>0</v>
      </c>
      <c r="D27" s="32" t="s">
        <v>69</v>
      </c>
      <c r="F27" s="47"/>
    </row>
    <row r="28" spans="1:6" s="1" customFormat="1" x14ac:dyDescent="0.2">
      <c r="A28" s="37">
        <f>DATE(Jahr,12,26)</f>
        <v>44555</v>
      </c>
      <c r="B28" s="119" t="s">
        <v>70</v>
      </c>
      <c r="C28" s="115">
        <v>0</v>
      </c>
      <c r="D28" s="32" t="s">
        <v>71</v>
      </c>
      <c r="F28" s="47"/>
    </row>
    <row r="29" spans="1:6" s="1" customFormat="1" x14ac:dyDescent="0.2">
      <c r="A29" s="40">
        <f>DATE(Jahr,12,31)</f>
        <v>44560</v>
      </c>
      <c r="B29" s="117" t="s">
        <v>72</v>
      </c>
      <c r="C29" s="43">
        <f>C26</f>
        <v>0.5</v>
      </c>
      <c r="D29" s="44"/>
      <c r="F29" s="47"/>
    </row>
    <row r="30" spans="1:6" s="1" customFormat="1" x14ac:dyDescent="0.2">
      <c r="A30" s="147"/>
      <c r="B30" s="148"/>
      <c r="C30" s="149"/>
      <c r="D30" s="150"/>
      <c r="F30" s="47"/>
    </row>
    <row r="31" spans="1:6" s="1" customFormat="1" x14ac:dyDescent="0.2">
      <c r="A31" s="151"/>
      <c r="B31" s="152"/>
      <c r="C31" s="153"/>
      <c r="D31" s="154"/>
      <c r="F31" s="47"/>
    </row>
    <row r="32" spans="1:6" s="1" customFormat="1" x14ac:dyDescent="0.2">
      <c r="A32" s="151"/>
      <c r="B32" s="152"/>
      <c r="C32" s="153"/>
      <c r="D32" s="154"/>
      <c r="F32" s="47"/>
    </row>
    <row r="33" spans="1:6" s="1" customFormat="1" x14ac:dyDescent="0.2">
      <c r="A33" s="151"/>
      <c r="B33" s="152"/>
      <c r="C33" s="153"/>
      <c r="D33" s="154"/>
      <c r="F33" s="47"/>
    </row>
    <row r="34" spans="1:6" s="1" customFormat="1" x14ac:dyDescent="0.2">
      <c r="A34" s="151"/>
      <c r="B34" s="152"/>
      <c r="C34" s="153"/>
      <c r="D34" s="154"/>
      <c r="F34" s="47"/>
    </row>
    <row r="35" spans="1:6" s="1" customFormat="1" x14ac:dyDescent="0.2">
      <c r="A35" s="151"/>
      <c r="B35" s="152"/>
      <c r="C35" s="153"/>
      <c r="D35" s="154"/>
      <c r="F35" s="47"/>
    </row>
    <row r="36" spans="1:6" s="1" customFormat="1" x14ac:dyDescent="0.2">
      <c r="A36" s="151"/>
      <c r="B36" s="152"/>
      <c r="C36" s="153"/>
      <c r="D36" s="154"/>
      <c r="F36" s="47"/>
    </row>
    <row r="37" spans="1:6" s="1" customFormat="1" x14ac:dyDescent="0.2">
      <c r="A37" s="151"/>
      <c r="B37" s="152"/>
      <c r="C37" s="153"/>
      <c r="D37" s="154"/>
      <c r="F37" s="47"/>
    </row>
    <row r="38" spans="1:6" s="1" customFormat="1" x14ac:dyDescent="0.2">
      <c r="A38" s="155"/>
      <c r="B38" s="156"/>
      <c r="C38" s="157"/>
      <c r="D38" s="158"/>
      <c r="F38" s="47"/>
    </row>
    <row r="39" spans="1:6" s="1" customFormat="1" x14ac:dyDescent="0.2">
      <c r="A39" s="159"/>
      <c r="B39" s="160"/>
      <c r="C39" s="161"/>
      <c r="D39" s="162"/>
      <c r="F39" s="47"/>
    </row>
    <row r="40" spans="1:6" x14ac:dyDescent="0.2">
      <c r="D40" s="19" t="s">
        <v>214</v>
      </c>
    </row>
  </sheetData>
  <mergeCells count="1">
    <mergeCell ref="A1:D1"/>
  </mergeCells>
  <printOptions horizontalCentered="1" verticalCentered="1"/>
  <pageMargins left="0.23622047244094491" right="0.23622047244094491" top="0.23622047244094491" bottom="0.23622047244094491" header="0.11811023622047245" footer="0.11811023622047245"/>
  <pageSetup paperSize="9" firstPageNumber="0" orientation="landscape" r:id="rId1"/>
  <headerFooter alignWithMargins="0"/>
  <ignoredErrors>
    <ignoredError sqref="A9:A27" unlockedFormula="1"/>
  </ignoredError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02">
    <tabColor theme="2" tint="-0.249977111117893"/>
    <pageSetUpPr fitToPage="1"/>
  </sheetPr>
  <dimension ref="A1:AW54"/>
  <sheetViews>
    <sheetView showGridLines="0" showZeros="0" tabSelected="1" zoomScale="80" zoomScaleNormal="80" workbookViewId="0">
      <pane ySplit="4" topLeftCell="A5" activePane="bottomLeft" state="frozen"/>
      <selection activeCell="L52" sqref="L52"/>
      <selection pane="bottomLeft" activeCell="AX33" sqref="AX33"/>
    </sheetView>
  </sheetViews>
  <sheetFormatPr baseColWidth="10" defaultColWidth="11.5703125" defaultRowHeight="12.75" outlineLevelCol="3" x14ac:dyDescent="0.2"/>
  <cols>
    <col min="1" max="1" width="10" style="45" bestFit="1" customWidth="1"/>
    <col min="2" max="2" width="5.7109375" style="45" customWidth="1"/>
    <col min="3" max="3" width="18.7109375" style="45" customWidth="1"/>
    <col min="4" max="4" width="6.7109375" style="301" customWidth="1"/>
    <col min="5" max="9" width="6.7109375" style="276" customWidth="1"/>
    <col min="10" max="15" width="6.7109375" style="287" customWidth="1"/>
    <col min="16" max="16" width="8.140625" style="287" customWidth="1" outlineLevel="1"/>
    <col min="17" max="17" width="3.7109375" style="287" customWidth="1"/>
    <col min="18" max="18" width="8.7109375" style="45" customWidth="1"/>
    <col min="19" max="20" width="8.7109375" style="46" customWidth="1" outlineLevel="1"/>
    <col min="21" max="21" width="8.7109375" style="46" customWidth="1"/>
    <col min="22" max="27" width="8.7109375" style="45" customWidth="1" outlineLevel="1"/>
    <col min="28" max="33" width="8.7109375" style="45" hidden="1" customWidth="1" outlineLevel="3"/>
    <col min="34" max="38" width="9.28515625" style="45" hidden="1" customWidth="1" outlineLevel="3"/>
    <col min="39" max="39" width="20.7109375" style="45" customWidth="1"/>
    <col min="40" max="40" width="7.7109375" style="45" customWidth="1"/>
    <col min="41" max="41" width="0.7109375" style="45" customWidth="1"/>
    <col min="42" max="42" width="20.7109375" style="530" hidden="1" customWidth="1" outlineLevel="1"/>
    <col min="43" max="43" width="11" style="623" hidden="1" customWidth="1" outlineLevel="1"/>
    <col min="44" max="45" width="5.7109375" style="276" hidden="1" customWidth="1" outlineLevel="1"/>
    <col min="46" max="46" width="5.7109375" style="45" hidden="1" customWidth="1" outlineLevel="1"/>
    <col min="47" max="47" width="0.7109375" style="45" hidden="1" customWidth="1" outlineLevel="1"/>
    <col min="48" max="48" width="11.5703125" style="45" collapsed="1"/>
    <col min="49" max="16384" width="11.5703125" style="45"/>
  </cols>
  <sheetData>
    <row r="1" spans="1:49" ht="15" customHeight="1" x14ac:dyDescent="0.2">
      <c r="A1" s="678">
        <f>DATE(Jahr,1,1)</f>
        <v>44196</v>
      </c>
      <c r="B1" s="679"/>
      <c r="C1" s="679"/>
      <c r="D1" s="469" t="str">
        <f>"Nettoarbeitstage: "&amp;NETWORKDAYS(A1,EOMONTH(A1,0),Feiertage!A4:A39)</f>
        <v>Nettoarbeitstage: 22</v>
      </c>
      <c r="E1" s="280"/>
      <c r="F1" s="513"/>
      <c r="G1" s="513"/>
      <c r="H1" s="471"/>
      <c r="I1" s="470"/>
      <c r="J1" s="285"/>
      <c r="K1" s="468"/>
      <c r="L1" s="285"/>
      <c r="M1" s="468"/>
      <c r="N1" s="468"/>
      <c r="O1" s="285"/>
      <c r="P1" s="285"/>
      <c r="Q1" s="288"/>
      <c r="R1" s="507"/>
      <c r="S1" s="503"/>
      <c r="T1" s="503"/>
      <c r="U1" s="511"/>
      <c r="V1" s="510"/>
      <c r="W1" s="511"/>
      <c r="X1" s="509"/>
      <c r="Y1" s="509"/>
      <c r="Z1" s="509"/>
      <c r="AA1" s="533"/>
      <c r="AB1" s="533"/>
      <c r="AC1" s="533"/>
      <c r="AD1" s="533"/>
      <c r="AE1" s="533"/>
      <c r="AF1" s="533"/>
      <c r="AG1" s="500"/>
      <c r="AH1" s="500"/>
      <c r="AI1" s="500"/>
      <c r="AJ1" s="500"/>
      <c r="AK1" s="500"/>
      <c r="AL1" s="500"/>
      <c r="AM1" s="684" t="str">
        <f>Voreinstellungen!C3</f>
        <v>Vivien Günther</v>
      </c>
      <c r="AN1" s="685"/>
    </row>
    <row r="2" spans="1:49" ht="15" customHeight="1" x14ac:dyDescent="0.2">
      <c r="A2" s="680"/>
      <c r="B2" s="681"/>
      <c r="C2" s="681"/>
      <c r="D2" s="281"/>
      <c r="E2" s="281"/>
      <c r="F2" s="512"/>
      <c r="G2" s="512"/>
      <c r="H2" s="281"/>
      <c r="I2" s="281"/>
      <c r="J2" s="286"/>
      <c r="K2" s="286"/>
      <c r="L2" s="286"/>
      <c r="M2" s="286"/>
      <c r="N2" s="286"/>
      <c r="O2" s="286"/>
      <c r="P2" s="286"/>
      <c r="Q2" s="289"/>
      <c r="R2" s="259"/>
      <c r="S2" s="259"/>
      <c r="T2" s="259"/>
      <c r="U2" s="259"/>
      <c r="V2" s="259"/>
      <c r="W2" s="501"/>
      <c r="X2" s="501"/>
      <c r="Y2" s="501"/>
      <c r="Z2" s="501"/>
      <c r="AA2" s="501"/>
      <c r="AB2" s="501"/>
      <c r="AC2" s="501"/>
      <c r="AD2" s="501"/>
      <c r="AE2" s="501"/>
      <c r="AF2" s="501"/>
      <c r="AG2" s="501"/>
      <c r="AH2" s="501"/>
      <c r="AI2" s="501"/>
      <c r="AJ2" s="502"/>
      <c r="AK2" s="501"/>
      <c r="AL2" s="501"/>
      <c r="AM2" s="686" t="str">
        <f>IF(ISBLANK(Voreinstellungen!C4),"","Personal-Nr.: "&amp;Voreinstellungen!C4)</f>
        <v>Personal-Nr.: 60161</v>
      </c>
      <c r="AN2" s="687"/>
    </row>
    <row r="3" spans="1:49" ht="15" customHeight="1" x14ac:dyDescent="0.2">
      <c r="A3" s="485"/>
      <c r="B3" s="486"/>
      <c r="C3" s="487"/>
      <c r="D3" s="691" t="s">
        <v>179</v>
      </c>
      <c r="E3" s="692"/>
      <c r="F3" s="692"/>
      <c r="G3" s="693"/>
      <c r="H3" s="688" t="s">
        <v>191</v>
      </c>
      <c r="I3" s="691"/>
      <c r="J3" s="733" t="s">
        <v>178</v>
      </c>
      <c r="K3" s="690"/>
      <c r="L3" s="736" t="s">
        <v>184</v>
      </c>
      <c r="M3" s="737"/>
      <c r="N3" s="735" t="s">
        <v>185</v>
      </c>
      <c r="O3" s="690"/>
      <c r="P3" s="492"/>
      <c r="Q3" s="682" t="s">
        <v>24</v>
      </c>
      <c r="R3" s="698" t="s">
        <v>181</v>
      </c>
      <c r="S3" s="698"/>
      <c r="T3" s="698"/>
      <c r="U3" s="698"/>
      <c r="V3" s="472"/>
      <c r="W3" s="472"/>
      <c r="X3" s="472"/>
      <c r="Y3" s="472"/>
      <c r="Z3" s="472"/>
      <c r="AA3" s="472"/>
      <c r="AB3" s="472"/>
      <c r="AC3" s="472"/>
      <c r="AD3" s="472"/>
      <c r="AE3" s="472"/>
      <c r="AF3" s="472"/>
      <c r="AG3" s="472"/>
      <c r="AH3" s="472"/>
      <c r="AI3" s="472"/>
      <c r="AJ3" s="472"/>
      <c r="AK3" s="472"/>
      <c r="AL3" s="472"/>
      <c r="AM3" s="473"/>
      <c r="AN3" s="474"/>
    </row>
    <row r="4" spans="1:49" s="47" customFormat="1" ht="24" customHeight="1" x14ac:dyDescent="0.25">
      <c r="A4" s="696" t="s">
        <v>73</v>
      </c>
      <c r="B4" s="697"/>
      <c r="C4" s="484" t="s">
        <v>26</v>
      </c>
      <c r="D4" s="488" t="s">
        <v>180</v>
      </c>
      <c r="E4" s="730" t="s">
        <v>132</v>
      </c>
      <c r="F4" s="731" t="s">
        <v>180</v>
      </c>
      <c r="G4" s="483" t="s">
        <v>132</v>
      </c>
      <c r="H4" s="481" t="s">
        <v>180</v>
      </c>
      <c r="I4" s="732" t="s">
        <v>132</v>
      </c>
      <c r="J4" s="734" t="s">
        <v>180</v>
      </c>
      <c r="K4" s="491" t="s">
        <v>132</v>
      </c>
      <c r="L4" s="738" t="s">
        <v>180</v>
      </c>
      <c r="M4" s="739" t="s">
        <v>132</v>
      </c>
      <c r="N4" s="491" t="s">
        <v>180</v>
      </c>
      <c r="O4" s="491" t="s">
        <v>132</v>
      </c>
      <c r="P4" s="493" t="s">
        <v>144</v>
      </c>
      <c r="Q4" s="683"/>
      <c r="R4" s="475" t="s">
        <v>183</v>
      </c>
      <c r="S4" s="475" t="s">
        <v>182</v>
      </c>
      <c r="T4" s="475" t="s">
        <v>186</v>
      </c>
      <c r="U4" s="476" t="s">
        <v>80</v>
      </c>
      <c r="V4" s="477" t="s">
        <v>81</v>
      </c>
      <c r="W4" s="494" t="s">
        <v>188</v>
      </c>
      <c r="X4" s="477" t="s">
        <v>189</v>
      </c>
      <c r="Y4" s="726" t="s">
        <v>215</v>
      </c>
      <c r="Z4" s="508" t="s">
        <v>195</v>
      </c>
      <c r="AA4" s="479" t="s">
        <v>194</v>
      </c>
      <c r="AB4" s="479" t="s">
        <v>205</v>
      </c>
      <c r="AC4" s="508" t="s">
        <v>201</v>
      </c>
      <c r="AD4" s="508" t="s">
        <v>202</v>
      </c>
      <c r="AE4" s="508" t="s">
        <v>203</v>
      </c>
      <c r="AF4" s="508" t="s">
        <v>204</v>
      </c>
      <c r="AG4" s="508" t="s">
        <v>190</v>
      </c>
      <c r="AH4" s="589" t="s">
        <v>193</v>
      </c>
      <c r="AI4" s="505">
        <v>0.2</v>
      </c>
      <c r="AJ4" s="478">
        <v>0.25</v>
      </c>
      <c r="AK4" s="505">
        <v>0.45</v>
      </c>
      <c r="AL4" s="618" t="s">
        <v>206</v>
      </c>
      <c r="AM4" s="480" t="s">
        <v>82</v>
      </c>
      <c r="AN4" s="475" t="s">
        <v>83</v>
      </c>
      <c r="AO4" s="306"/>
      <c r="AP4" s="588">
        <f>PauseKWert</f>
        <v>2.0833333333333332E-2</v>
      </c>
      <c r="AQ4" s="624"/>
      <c r="AR4" s="588">
        <f>PauseGWert</f>
        <v>3.125E-2</v>
      </c>
    </row>
    <row r="5" spans="1:49" s="19" customFormat="1" ht="12" x14ac:dyDescent="0.2">
      <c r="A5" s="535">
        <f>A1</f>
        <v>44196</v>
      </c>
      <c r="B5" s="536">
        <f t="shared" ref="B5:B35" si="0">A5</f>
        <v>44196</v>
      </c>
      <c r="C5" s="537" t="str">
        <f t="shared" ref="C5:C32" si="1">IF(ISERROR(VLOOKUP(B5,Feiertage,2,FALSE)),"",(VLOOKUP(B5,Feiertage,2,FALSE)))</f>
        <v>Neujahr</v>
      </c>
      <c r="D5" s="457"/>
      <c r="E5" s="254"/>
      <c r="F5" s="520"/>
      <c r="G5" s="516"/>
      <c r="H5" s="567"/>
      <c r="I5" s="568"/>
      <c r="J5" s="569"/>
      <c r="K5" s="570"/>
      <c r="L5" s="571"/>
      <c r="M5" s="572"/>
      <c r="N5" s="572"/>
      <c r="O5" s="572"/>
      <c r="P5" s="619">
        <f>IF(T5&gt;PauseGTime,PauseGWert,IF(T5&gt;PauseKTime,PauseKWert,IF(T5&lt;=PauseKTime,0,WENN)))</f>
        <v>0</v>
      </c>
      <c r="Q5" s="363"/>
      <c r="R5" s="544">
        <f>T5-P5</f>
        <v>0</v>
      </c>
      <c r="S5" s="546">
        <f t="shared" ref="S5:S35" ca="1" si="2">IF(AND(C5&lt;&gt;"",Q5=""),IF(ISERROR(VLOOKUP(B5,Feiertage,2,FALSE)),0,VLOOKUP(B5,Feiertage,3,FALSE)*V5),IF(A5="",0,IF(Q5&lt;&gt;"",IF(UPPER(Q5)=VLOOKUP(UPPER(Q5),Code,1,FALSE),IF(OR(VLOOKUP(Q5,Code,2,FALSE)="NONE",VLOOKUP(Q5,Code,2,FALSE)="XTRA",VLOOKUP(Q5,Code,2,FALSE)="REST"),R5,IF(ISERROR(VLOOKUP(B5,Feiertage,2,FALSE)),VLOOKUP(Q5,Code,2,FALSE)*V5,IF(VLOOKUP(B5,Feiertage,3,FALSE)=0.5,IF(OR(UPPER(Q5)="G",UPPER(Q5)="H"),VLOOKUP(B5,Feiertage,3,FALSE)*VLOOKUP(Q5,Code,2,FALSE)*V5,0),VLOOKUP(B5,Feiertage,3,FALSE)*VLOOKUP(Q5,Code,2,FALSE)*V5))),V5),V5)))</f>
        <v>0</v>
      </c>
      <c r="T5" s="546">
        <f t="shared" ref="T5:T8" si="3">IF(A5="",0,IF(IF(D5&lt;E5,E5-D5,IF(E5="",0,E5-D5+1))&gt;0,IF(D5&lt;E5,E5-D5,IF(E5="",0,E5-D5+1)),0))+(IF(IF(F5&lt;G5,G5-F5,IF(G5="",0,G5-F5+1))&gt;0,IF(F5&lt;G5,G5-F5,IF(G5="",0,G5-F5+1)),0)+W5+X5)</f>
        <v>0</v>
      </c>
      <c r="U5" s="547">
        <f t="shared" ref="U5:U35" ca="1" si="4">IF(A5="",0,ROUND(R5-S5,14))</f>
        <v>0</v>
      </c>
      <c r="V5" s="548">
        <f t="shared" ref="V5:V35" ca="1" si="5">IF(A5="",0,INDIRECT(ADDRESS(MATCH(A5,SOLL_AZ_Ab,1)+11,WEEKDAY(A5,2)+3,,,"Voreinstellungen"),TRUE))</f>
        <v>0.29166666666666669</v>
      </c>
      <c r="W5" s="549">
        <f>IF(A5="",0,((Y5))*Voreinstellungen!$E$23)</f>
        <v>0</v>
      </c>
      <c r="X5" s="549">
        <f>IF(A5="",0,IF(IF(J5&lt;K5,K5-J5,IF(K5="",0,K5-J5+1))&gt;0,IF(J5&lt;K5,K5-J5,IF(K5="",0,K5-J5+1)),0))+(IF(IF(L5&lt;M5,M5-L5,IF(M5="",0,M5-L5+1))&gt;0,IF(L5&lt;M5,M5-L5,IF(M5="",0,M5-L5+1)),0))+(IF(IF(N5&lt;O5,O5-N5,IF(O5="",0,O5-N5+1))&gt;0,IF(N5&lt;O5,O5-N5,IF(O5="",0,O5-N5+1)),0))</f>
        <v>0</v>
      </c>
      <c r="Y5" s="727">
        <f t="shared" ref="Y5:Y14" si="6">IF(A5="",0,IF(IF(H5&lt;I5,I5-H5,IF(I5="",0,I5-H5+1))&gt;0,IF(H5&lt;I5,I5-H5,IF(I5="",0,I5-H5+1)),0))-X5</f>
        <v>0</v>
      </c>
      <c r="Z5" s="550">
        <f>IF(WEEKDAY($A5,2)&lt;7,((W5+X5)*Voreinstellungen!$C$45))</f>
        <v>0</v>
      </c>
      <c r="AA5" s="550">
        <f>((R5)*Voreinstellungen!$C$45)</f>
        <v>0</v>
      </c>
      <c r="AB5" s="611" t="str">
        <f t="shared" ref="AB5:AB35" si="7">IF(OR(WEEKDAY(A5,2)&gt;6,NOT(ISERROR(VLOOKUP(A5,Feiertage,3,0)))),"",AA5)</f>
        <v/>
      </c>
      <c r="AC5" s="611" t="str">
        <f>IF(WEEKDAY($A5,2)&gt;6,AA5,"")</f>
        <v/>
      </c>
      <c r="AD5" s="611">
        <f t="shared" ref="AD5:AD35" si="8">IF(ISERROR(VLOOKUP(B5,Feiertage,2,FALSE)),"",(AA5))</f>
        <v>0</v>
      </c>
      <c r="AE5" s="611" t="str">
        <f>IF(WEEKDAY($A5,2)&gt;6,Z5,"")</f>
        <v/>
      </c>
      <c r="AF5" s="611">
        <f t="shared" ref="AF5:AF35" si="9">IF(ISERROR(VLOOKUP(B5,Feiertage,2,FALSE)),"",(Z5))</f>
        <v>0</v>
      </c>
      <c r="AG5" s="550">
        <f t="shared" ref="AG5:AG35" si="10">((R5+W5+X5)*24)</f>
        <v>0</v>
      </c>
      <c r="AH5" s="632">
        <f>(AG5)*Voreinstellungen!$E$19</f>
        <v>0</v>
      </c>
      <c r="AI5" s="632" t="str">
        <f>IF(ISERROR(AB5*Voreinstellungen!$E$19*Voreinstellungen!$E$20),"",(AB5*Voreinstellungen!$E$19*Voreinstellungen!$E$20))</f>
        <v/>
      </c>
      <c r="AJ5" s="632">
        <f>IF(ISERROR((AC5&amp;AD5)*Voreinstellungen!$E$19*Voreinstellungen!$E$21),"",((AC5&amp;AD5)*Voreinstellungen!$E$19*Voreinstellungen!$E$21))</f>
        <v>0</v>
      </c>
      <c r="AK5" s="632">
        <f>IF(ISERROR((AE5&amp;AF5)*Voreinstellungen!$E$19*Voreinstellungen!$E$22),"",((AE5&amp;AF5)*Voreinstellungen!$E$19*Voreinstellungen!$E$22))</f>
        <v>0</v>
      </c>
      <c r="AL5" s="616">
        <f>SUM(AH5:AK5)</f>
        <v>0</v>
      </c>
      <c r="AM5" s="212"/>
      <c r="AN5" s="562">
        <f ca="1">IF(A5="","",IF(U5&lt;&gt;"",ROUND(F38+U5,14),F38))</f>
        <v>0</v>
      </c>
      <c r="AP5" s="617"/>
      <c r="AQ5" s="625"/>
      <c r="AR5" s="566"/>
      <c r="AS5" s="565"/>
      <c r="AT5" s="344">
        <f t="shared" ref="AT5:AT35" si="11">MOD(E5-D5,1)*24</f>
        <v>0</v>
      </c>
      <c r="AU5" s="344">
        <f t="shared" ref="AU5:AU35" si="12">MOD(I5-H5,1)*24</f>
        <v>0</v>
      </c>
      <c r="AV5" s="19" t="str">
        <f>IF(AND(A5&lt;&gt;""),IF(ISERROR(VLOOKUP(A5,Feiertage,3,FALSE)),AG5,""))</f>
        <v/>
      </c>
      <c r="AW5" s="499"/>
    </row>
    <row r="6" spans="1:49" s="19" customFormat="1" ht="12" x14ac:dyDescent="0.2">
      <c r="A6" s="538">
        <f t="shared" ref="A6:A32" si="13">A5+1</f>
        <v>44197</v>
      </c>
      <c r="B6" s="539">
        <f t="shared" si="0"/>
        <v>44197</v>
      </c>
      <c r="C6" s="540" t="str">
        <f t="shared" si="1"/>
        <v/>
      </c>
      <c r="D6" s="458">
        <v>0.75</v>
      </c>
      <c r="E6" s="255">
        <v>0.91666666666666663</v>
      </c>
      <c r="F6" s="521"/>
      <c r="G6" s="517"/>
      <c r="H6" s="573">
        <v>0.91666666666666663</v>
      </c>
      <c r="I6" s="574">
        <v>0.25</v>
      </c>
      <c r="J6" s="582">
        <v>0.91666666666666663</v>
      </c>
      <c r="K6" s="576">
        <v>6.25E-2</v>
      </c>
      <c r="L6" s="581"/>
      <c r="M6" s="581"/>
      <c r="N6" s="581"/>
      <c r="O6" s="581"/>
      <c r="P6" s="620">
        <f>IF(T6&gt;PauseGTime,PauseGWert,IF(T6&gt;PauseKTime,PauseKWert,IF(T6&lt;=PauseKTime,0,WENN)))</f>
        <v>2.0833333333333332E-2</v>
      </c>
      <c r="Q6" s="364"/>
      <c r="R6" s="545">
        <f>T6-P6</f>
        <v>0.33854166666666669</v>
      </c>
      <c r="S6" s="551">
        <f t="shared" ca="1" si="2"/>
        <v>0.29166666666666669</v>
      </c>
      <c r="T6" s="551">
        <f t="shared" si="3"/>
        <v>0.359375</v>
      </c>
      <c r="U6" s="552">
        <f t="shared" ca="1" si="4"/>
        <v>4.6875E-2</v>
      </c>
      <c r="V6" s="553">
        <f t="shared" ca="1" si="5"/>
        <v>0.29166666666666669</v>
      </c>
      <c r="W6" s="554">
        <f>IF(A6="",0,((Y6))*Voreinstellungen!$E$23)</f>
        <v>4.6875E-2</v>
      </c>
      <c r="X6" s="554">
        <f t="shared" ref="X6:X35" si="14">IF(A6="",0,IF(IF(J6&lt;K6,K6-J6,IF(K6="",0,K6-J6+1))&gt;0,IF(J6&lt;K6,K6-J6,IF(K6="",0,K6-J6+1)),0))+(IF(IF(L6&lt;M6,M6-L6,IF(M6="",0,M6-L6+1))&gt;0,IF(L6&lt;M6,M6-L6,IF(M6="",0,M6-L6+1)),0))+(IF(IF(N6&lt;O6,O6-N6,IF(O6="",0,O6-N6+1))&gt;0,IF(N6&lt;O6,O6-N6,IF(O6="",0,O6-N6+1)),0))</f>
        <v>0.14583333333333337</v>
      </c>
      <c r="Y6" s="728">
        <f t="shared" si="6"/>
        <v>0.1875</v>
      </c>
      <c r="Z6" s="555">
        <f>((W6+X6)*Voreinstellungen!$C$45)</f>
        <v>4.6250000000000009</v>
      </c>
      <c r="AA6" s="555">
        <f>((R6)*Voreinstellungen!$C$45)</f>
        <v>8.125</v>
      </c>
      <c r="AB6" s="612">
        <f t="shared" si="7"/>
        <v>8.125</v>
      </c>
      <c r="AC6" s="612" t="str">
        <f t="shared" ref="AC6:AC35" si="15">IF(WEEKDAY($A6,2)&gt;6,AA6,"")</f>
        <v/>
      </c>
      <c r="AD6" s="612" t="str">
        <f t="shared" si="8"/>
        <v/>
      </c>
      <c r="AE6" s="612" t="str">
        <f t="shared" ref="AE6:AE35" si="16">IF(WEEKDAY($A6,2)&gt;6,Z6,"")</f>
        <v/>
      </c>
      <c r="AF6" s="612" t="str">
        <f t="shared" si="9"/>
        <v/>
      </c>
      <c r="AG6" s="555">
        <f t="shared" si="10"/>
        <v>12.75</v>
      </c>
      <c r="AH6" s="633">
        <f>(AG6)*Voreinstellungen!$E$19</f>
        <v>160.39500000000001</v>
      </c>
      <c r="AI6" s="633">
        <f>IF(ISERROR(AB6*Voreinstellungen!$E$19*Voreinstellungen!$E$20),"",(AB6*Voreinstellungen!$E$19*Voreinstellungen!$E$20))</f>
        <v>20.442500000000003</v>
      </c>
      <c r="AJ6" s="633" t="str">
        <f>IF(ISERROR((AC6&amp;AD6)*Voreinstellungen!$E$19*Voreinstellungen!$E$21),"",((AC6&amp;AD6)*Voreinstellungen!$E$19*Voreinstellungen!$E$21))</f>
        <v/>
      </c>
      <c r="AK6" s="633" t="str">
        <f>IF(ISERROR((AE6&amp;AF6)*Voreinstellungen!$E$19*Voreinstellungen!$E$22),"",((AE6&amp;AF6)*Voreinstellungen!$E$19*Voreinstellungen!$E$22))</f>
        <v/>
      </c>
      <c r="AL6" s="556">
        <f t="shared" ref="AL6:AL35" si="17">SUM(AH6:AK6)</f>
        <v>180.83750000000001</v>
      </c>
      <c r="AM6" s="131"/>
      <c r="AN6" s="563">
        <f t="shared" ref="AN6:AN35" ca="1" si="18">IF(A6="","",IF(U6&lt;&gt;"",ROUND(AN5+U6,14),AN5))</f>
        <v>4.6875E-2</v>
      </c>
      <c r="AP6" s="587"/>
      <c r="AQ6" s="625"/>
      <c r="AR6" s="566"/>
      <c r="AS6" s="565"/>
      <c r="AT6" s="345">
        <f t="shared" si="11"/>
        <v>3.9999999999999991</v>
      </c>
      <c r="AU6" s="345">
        <f t="shared" si="12"/>
        <v>8</v>
      </c>
      <c r="AW6" s="499"/>
    </row>
    <row r="7" spans="1:49" s="19" customFormat="1" ht="12" x14ac:dyDescent="0.2">
      <c r="A7" s="538">
        <f t="shared" si="13"/>
        <v>44198</v>
      </c>
      <c r="B7" s="539">
        <f t="shared" si="0"/>
        <v>44198</v>
      </c>
      <c r="C7" s="540" t="str">
        <f t="shared" si="1"/>
        <v/>
      </c>
      <c r="D7" s="458"/>
      <c r="E7" s="255"/>
      <c r="F7" s="521"/>
      <c r="G7" s="517"/>
      <c r="H7" s="573"/>
      <c r="I7" s="574"/>
      <c r="J7" s="582"/>
      <c r="K7" s="576"/>
      <c r="L7" s="583"/>
      <c r="M7" s="583"/>
      <c r="N7" s="583"/>
      <c r="O7" s="581"/>
      <c r="P7" s="620">
        <f>IF(T7&gt;PauseGTime,PauseGWert,IF(T7&gt;PauseKTime,PauseKWert,IF(T7&lt;=PauseKTime,0,WENN)))</f>
        <v>0</v>
      </c>
      <c r="Q7" s="364" t="s">
        <v>38</v>
      </c>
      <c r="R7" s="545">
        <f t="shared" ref="R7:R35" si="19">T7-P7</f>
        <v>0</v>
      </c>
      <c r="S7" s="551">
        <f t="shared" ca="1" si="2"/>
        <v>0</v>
      </c>
      <c r="T7" s="551">
        <f t="shared" si="3"/>
        <v>0</v>
      </c>
      <c r="U7" s="552">
        <f t="shared" ca="1" si="4"/>
        <v>0</v>
      </c>
      <c r="V7" s="553">
        <f t="shared" ca="1" si="5"/>
        <v>0.29166666666666669</v>
      </c>
      <c r="W7" s="554">
        <f>IF(A7="",0,((Y7))*Voreinstellungen!$E$23)</f>
        <v>0</v>
      </c>
      <c r="X7" s="554">
        <f t="shared" si="14"/>
        <v>0</v>
      </c>
      <c r="Y7" s="728">
        <f t="shared" si="6"/>
        <v>0</v>
      </c>
      <c r="Z7" s="555">
        <f>((W7+X7)*Voreinstellungen!$C$45)</f>
        <v>0</v>
      </c>
      <c r="AA7" s="555">
        <f>((R7)*Voreinstellungen!$C$45)</f>
        <v>0</v>
      </c>
      <c r="AB7" s="612">
        <f t="shared" si="7"/>
        <v>0</v>
      </c>
      <c r="AC7" s="612" t="str">
        <f t="shared" si="15"/>
        <v/>
      </c>
      <c r="AD7" s="612" t="str">
        <f t="shared" si="8"/>
        <v/>
      </c>
      <c r="AE7" s="612" t="str">
        <f t="shared" si="16"/>
        <v/>
      </c>
      <c r="AF7" s="612" t="str">
        <f t="shared" si="9"/>
        <v/>
      </c>
      <c r="AG7" s="555">
        <f t="shared" si="10"/>
        <v>0</v>
      </c>
      <c r="AH7" s="633">
        <f>(AG7)*Voreinstellungen!$E$19</f>
        <v>0</v>
      </c>
      <c r="AI7" s="633">
        <f>IF(ISERROR(AB7*Voreinstellungen!$E$19*Voreinstellungen!$E$20),"",(AB7*Voreinstellungen!$E$19*Voreinstellungen!$E$20))</f>
        <v>0</v>
      </c>
      <c r="AJ7" s="633" t="str">
        <f>IF(ISERROR((AC7&amp;AD7)*Voreinstellungen!$E$19*Voreinstellungen!$E$21),"",((AC7&amp;AD7)*Voreinstellungen!$E$19*Voreinstellungen!$E$21))</f>
        <v/>
      </c>
      <c r="AK7" s="633" t="str">
        <f>IF(ISERROR((AE7&amp;AF7)*Voreinstellungen!$E$19*Voreinstellungen!$E$22),"",((AE7&amp;AF7)*Voreinstellungen!$E$19*Voreinstellungen!$E$22))</f>
        <v/>
      </c>
      <c r="AL7" s="556">
        <f t="shared" si="17"/>
        <v>0</v>
      </c>
      <c r="AM7" s="131"/>
      <c r="AN7" s="563">
        <f t="shared" ca="1" si="18"/>
        <v>4.6875E-2</v>
      </c>
      <c r="AP7" s="587"/>
      <c r="AQ7" s="625"/>
      <c r="AR7" s="566"/>
      <c r="AS7" s="565"/>
      <c r="AT7" s="345">
        <f t="shared" si="11"/>
        <v>0</v>
      </c>
      <c r="AU7" s="345">
        <f t="shared" si="12"/>
        <v>0</v>
      </c>
    </row>
    <row r="8" spans="1:49" s="19" customFormat="1" ht="12" x14ac:dyDescent="0.2">
      <c r="A8" s="538">
        <f t="shared" si="13"/>
        <v>44199</v>
      </c>
      <c r="B8" s="539">
        <f t="shared" si="0"/>
        <v>44199</v>
      </c>
      <c r="C8" s="540" t="str">
        <f t="shared" si="1"/>
        <v/>
      </c>
      <c r="D8" s="458"/>
      <c r="E8" s="255"/>
      <c r="F8" s="521"/>
      <c r="G8" s="517"/>
      <c r="H8" s="573"/>
      <c r="I8" s="574"/>
      <c r="J8" s="582"/>
      <c r="K8" s="576"/>
      <c r="L8" s="583"/>
      <c r="M8" s="583"/>
      <c r="N8" s="583"/>
      <c r="O8" s="581"/>
      <c r="P8" s="620">
        <f>IF(T8&gt;PauseGTime,PauseGWert,IF(T8&gt;PauseKTime,PauseKWert,IF(T8&lt;=PauseKTime,0,WENN)))</f>
        <v>0</v>
      </c>
      <c r="Q8" s="364"/>
      <c r="R8" s="545">
        <f t="shared" si="19"/>
        <v>0</v>
      </c>
      <c r="S8" s="551">
        <f t="shared" ca="1" si="2"/>
        <v>0</v>
      </c>
      <c r="T8" s="551">
        <f t="shared" si="3"/>
        <v>0</v>
      </c>
      <c r="U8" s="552">
        <f t="shared" ca="1" si="4"/>
        <v>0</v>
      </c>
      <c r="V8" s="553">
        <f t="shared" ca="1" si="5"/>
        <v>0</v>
      </c>
      <c r="W8" s="554">
        <f>IF(A8="",0,((Y8))*Voreinstellungen!$E$23)</f>
        <v>0</v>
      </c>
      <c r="X8" s="554">
        <f t="shared" si="14"/>
        <v>0</v>
      </c>
      <c r="Y8" s="728">
        <f t="shared" si="6"/>
        <v>0</v>
      </c>
      <c r="Z8" s="555">
        <f>((W8+X8)*Voreinstellungen!$C$45)</f>
        <v>0</v>
      </c>
      <c r="AA8" s="555">
        <f>((R8)*Voreinstellungen!$C$45)</f>
        <v>0</v>
      </c>
      <c r="AB8" s="612">
        <f t="shared" si="7"/>
        <v>0</v>
      </c>
      <c r="AC8" s="612" t="str">
        <f t="shared" si="15"/>
        <v/>
      </c>
      <c r="AD8" s="612" t="str">
        <f t="shared" si="8"/>
        <v/>
      </c>
      <c r="AE8" s="612" t="str">
        <f t="shared" si="16"/>
        <v/>
      </c>
      <c r="AF8" s="612" t="str">
        <f t="shared" si="9"/>
        <v/>
      </c>
      <c r="AG8" s="555">
        <f t="shared" si="10"/>
        <v>0</v>
      </c>
      <c r="AH8" s="633">
        <f>(AG8)*Voreinstellungen!$E$19</f>
        <v>0</v>
      </c>
      <c r="AI8" s="633">
        <f>IF(ISERROR(AB8*Voreinstellungen!$E$19*Voreinstellungen!$E$20),"",(AB8*Voreinstellungen!$E$19*Voreinstellungen!$E$20))</f>
        <v>0</v>
      </c>
      <c r="AJ8" s="633" t="str">
        <f>IF(ISERROR((AC8&amp;AD8)*Voreinstellungen!$E$19*Voreinstellungen!$E$21),"",((AC8&amp;AD8)*Voreinstellungen!$E$19*Voreinstellungen!$E$21))</f>
        <v/>
      </c>
      <c r="AK8" s="633" t="str">
        <f>IF(ISERROR((AE8&amp;AF8)*Voreinstellungen!$E$19*Voreinstellungen!$E$22),"",((AE8&amp;AF8)*Voreinstellungen!$E$19*Voreinstellungen!$E$22))</f>
        <v/>
      </c>
      <c r="AL8" s="556">
        <f t="shared" si="17"/>
        <v>0</v>
      </c>
      <c r="AM8" s="131"/>
      <c r="AN8" s="563">
        <f t="shared" ca="1" si="18"/>
        <v>4.6875E-2</v>
      </c>
      <c r="AP8" s="587"/>
      <c r="AQ8" s="625"/>
      <c r="AR8" s="566"/>
      <c r="AS8" s="565"/>
      <c r="AT8" s="345">
        <f t="shared" si="11"/>
        <v>0</v>
      </c>
      <c r="AU8" s="345">
        <f t="shared" si="12"/>
        <v>0</v>
      </c>
    </row>
    <row r="9" spans="1:49" s="19" customFormat="1" ht="12" x14ac:dyDescent="0.2">
      <c r="A9" s="538">
        <f t="shared" si="13"/>
        <v>44200</v>
      </c>
      <c r="B9" s="539">
        <f t="shared" si="0"/>
        <v>44200</v>
      </c>
      <c r="C9" s="540" t="str">
        <f t="shared" si="1"/>
        <v/>
      </c>
      <c r="D9" s="458"/>
      <c r="E9" s="255"/>
      <c r="F9" s="521"/>
      <c r="G9" s="517"/>
      <c r="H9" s="573"/>
      <c r="I9" s="574"/>
      <c r="J9" s="582"/>
      <c r="K9" s="576"/>
      <c r="L9" s="583"/>
      <c r="M9" s="583"/>
      <c r="N9" s="583"/>
      <c r="O9" s="581"/>
      <c r="P9" s="620">
        <f>IF(T9&gt;PauseGTime,PauseGWert,IF(T9&gt;PauseKTime,PauseKWert,IF(T9&lt;=PauseKTime,0,WENN)))</f>
        <v>0</v>
      </c>
      <c r="Q9" s="364"/>
      <c r="R9" s="545">
        <f t="shared" si="19"/>
        <v>0</v>
      </c>
      <c r="S9" s="551">
        <f t="shared" ca="1" si="2"/>
        <v>0</v>
      </c>
      <c r="T9" s="551">
        <f>IF(A9="",0,IF(IF(D9&lt;E9,E9-D9,IF(E9="",0,E9-D9+1))&gt;0,IF(D9&lt;E9,E9-D9,IF(E9="",0,E9-D9+1)),0))+(IF(IF(F9&lt;G9,G9-F9,IF(G9="",0,G9-F9+1))&gt;0,IF(F9&lt;G9,G9-F9,IF(G9="",0,G9-F9+1)),0)+W9+X9)</f>
        <v>0</v>
      </c>
      <c r="U9" s="552">
        <f t="shared" ca="1" si="4"/>
        <v>0</v>
      </c>
      <c r="V9" s="553">
        <f t="shared" ca="1" si="5"/>
        <v>0</v>
      </c>
      <c r="W9" s="554">
        <f>IF(A9="",0,((Y9))*Voreinstellungen!$E$23)</f>
        <v>0</v>
      </c>
      <c r="X9" s="554">
        <f t="shared" si="14"/>
        <v>0</v>
      </c>
      <c r="Y9" s="728">
        <f t="shared" si="6"/>
        <v>0</v>
      </c>
      <c r="Z9" s="555">
        <f>((W9+X9)*Voreinstellungen!$C$45)</f>
        <v>0</v>
      </c>
      <c r="AA9" s="555">
        <f>((R9)*Voreinstellungen!$C$45)</f>
        <v>0</v>
      </c>
      <c r="AB9" s="612" t="str">
        <f t="shared" si="7"/>
        <v/>
      </c>
      <c r="AC9" s="612">
        <f t="shared" si="15"/>
        <v>0</v>
      </c>
      <c r="AD9" s="612" t="str">
        <f t="shared" si="8"/>
        <v/>
      </c>
      <c r="AE9" s="612">
        <f t="shared" si="16"/>
        <v>0</v>
      </c>
      <c r="AF9" s="612" t="str">
        <f t="shared" si="9"/>
        <v/>
      </c>
      <c r="AG9" s="555">
        <f t="shared" si="10"/>
        <v>0</v>
      </c>
      <c r="AH9" s="633">
        <f>(AG9)*Voreinstellungen!$E$19</f>
        <v>0</v>
      </c>
      <c r="AI9" s="633" t="str">
        <f>IF(ISERROR(AB9*Voreinstellungen!$E$19*Voreinstellungen!$E$20),"",(AB9*Voreinstellungen!$E$19*Voreinstellungen!$E$20))</f>
        <v/>
      </c>
      <c r="AJ9" s="633">
        <f>IF(ISERROR((AC9&amp;AD9)*Voreinstellungen!$E$19*Voreinstellungen!$E$21),"",((AC9&amp;AD9)*Voreinstellungen!$E$19*Voreinstellungen!$E$21))</f>
        <v>0</v>
      </c>
      <c r="AK9" s="633">
        <f>IF(ISERROR((AE9&amp;AF9)*Voreinstellungen!$E$19*Voreinstellungen!$E$22),"",((AE9&amp;AF9)*Voreinstellungen!$E$19*Voreinstellungen!$E$22))</f>
        <v>0</v>
      </c>
      <c r="AL9" s="556">
        <f t="shared" si="17"/>
        <v>0</v>
      </c>
      <c r="AM9" s="131"/>
      <c r="AN9" s="563">
        <f t="shared" ca="1" si="18"/>
        <v>4.6875E-2</v>
      </c>
      <c r="AP9" s="587"/>
      <c r="AQ9" s="625"/>
      <c r="AR9" s="566"/>
      <c r="AS9" s="565"/>
      <c r="AT9" s="345">
        <f t="shared" si="11"/>
        <v>0</v>
      </c>
      <c r="AU9" s="345">
        <f t="shared" si="12"/>
        <v>0</v>
      </c>
    </row>
    <row r="10" spans="1:49" s="19" customFormat="1" ht="12" x14ac:dyDescent="0.2">
      <c r="A10" s="538">
        <f t="shared" si="13"/>
        <v>44201</v>
      </c>
      <c r="B10" s="539">
        <f t="shared" si="0"/>
        <v>44201</v>
      </c>
      <c r="C10" s="540" t="str">
        <f t="shared" si="1"/>
        <v/>
      </c>
      <c r="D10" s="458"/>
      <c r="E10" s="255"/>
      <c r="F10" s="521"/>
      <c r="G10" s="517"/>
      <c r="H10" s="573"/>
      <c r="I10" s="574"/>
      <c r="J10" s="582"/>
      <c r="K10" s="576"/>
      <c r="L10" s="583"/>
      <c r="M10" s="583"/>
      <c r="N10" s="583"/>
      <c r="O10" s="583"/>
      <c r="P10" s="620">
        <f>IF(T10&gt;PauseGTime,PauseGWert,IF(T10&gt;PauseKTime,PauseKWert,IF(T10&lt;=PauseKTime,0,WENN)))</f>
        <v>0</v>
      </c>
      <c r="Q10" s="364"/>
      <c r="R10" s="545">
        <f t="shared" si="19"/>
        <v>0</v>
      </c>
      <c r="S10" s="551">
        <f t="shared" ca="1" si="2"/>
        <v>0.29166666666666669</v>
      </c>
      <c r="T10" s="551">
        <f t="shared" ref="T10:T35" si="20">IF(A10="",0,IF(IF(D10&lt;E10,E10-D10,IF(E10="",0,E10-D10+1))&gt;0,IF(D10&lt;E10,E10-D10,IF(E10="",0,E10-D10+1)),0))+(IF(IF(F10&lt;G10,G10-F10,IF(G10="",0,G10-F10+1))&gt;0,IF(F10&lt;G10,G10-F10,IF(G10="",0,G10-F10+1)),0)+W10+X10)</f>
        <v>0</v>
      </c>
      <c r="U10" s="552">
        <f t="shared" ca="1" si="4"/>
        <v>-0.29166666666667002</v>
      </c>
      <c r="V10" s="553">
        <f t="shared" ca="1" si="5"/>
        <v>0.29166666666666669</v>
      </c>
      <c r="W10" s="554">
        <f>IF(A10="",0,((Y10))*Voreinstellungen!$E$23)</f>
        <v>0</v>
      </c>
      <c r="X10" s="554">
        <f t="shared" si="14"/>
        <v>0</v>
      </c>
      <c r="Y10" s="728">
        <f t="shared" si="6"/>
        <v>0</v>
      </c>
      <c r="Z10" s="555">
        <f>((W10+X10)*Voreinstellungen!$C$45)</f>
        <v>0</v>
      </c>
      <c r="AA10" s="555">
        <f>((R10)*Voreinstellungen!$C$45)</f>
        <v>0</v>
      </c>
      <c r="AB10" s="612">
        <f t="shared" si="7"/>
        <v>0</v>
      </c>
      <c r="AC10" s="612" t="str">
        <f t="shared" si="15"/>
        <v/>
      </c>
      <c r="AD10" s="612" t="str">
        <f t="shared" si="8"/>
        <v/>
      </c>
      <c r="AE10" s="612" t="str">
        <f t="shared" si="16"/>
        <v/>
      </c>
      <c r="AF10" s="612" t="str">
        <f t="shared" si="9"/>
        <v/>
      </c>
      <c r="AG10" s="555">
        <f t="shared" si="10"/>
        <v>0</v>
      </c>
      <c r="AH10" s="633">
        <f>(AG10)*Voreinstellungen!$E$19</f>
        <v>0</v>
      </c>
      <c r="AI10" s="633">
        <f>IF(ISERROR(AB10*Voreinstellungen!$E$19*Voreinstellungen!$E$20),"",(AB10*Voreinstellungen!$E$19*Voreinstellungen!$E$20))</f>
        <v>0</v>
      </c>
      <c r="AJ10" s="633" t="str">
        <f>IF(ISERROR((AC10&amp;AD10)*Voreinstellungen!$E$19*Voreinstellungen!$E$21),"",((AC10&amp;AD10)*Voreinstellungen!$E$19*Voreinstellungen!$E$21))</f>
        <v/>
      </c>
      <c r="AK10" s="633" t="str">
        <f>IF(ISERROR((AE10&amp;AF10)*Voreinstellungen!$E$19*Voreinstellungen!$E$22),"",((AE10&amp;AF10)*Voreinstellungen!$E$19*Voreinstellungen!$E$22))</f>
        <v/>
      </c>
      <c r="AL10" s="556">
        <f t="shared" si="17"/>
        <v>0</v>
      </c>
      <c r="AM10" s="131"/>
      <c r="AN10" s="563">
        <f t="shared" ca="1" si="18"/>
        <v>-0.24479166666666999</v>
      </c>
      <c r="AP10" s="587"/>
      <c r="AQ10" s="625"/>
      <c r="AR10" s="566"/>
      <c r="AS10" s="565"/>
      <c r="AT10" s="345">
        <f t="shared" si="11"/>
        <v>0</v>
      </c>
      <c r="AU10" s="345">
        <f t="shared" si="12"/>
        <v>0</v>
      </c>
    </row>
    <row r="11" spans="1:49" s="19" customFormat="1" ht="12" x14ac:dyDescent="0.2">
      <c r="A11" s="538">
        <f t="shared" si="13"/>
        <v>44202</v>
      </c>
      <c r="B11" s="539">
        <f t="shared" si="0"/>
        <v>44202</v>
      </c>
      <c r="C11" s="540" t="str">
        <f t="shared" si="1"/>
        <v/>
      </c>
      <c r="D11" s="458"/>
      <c r="E11" s="255"/>
      <c r="F11" s="521"/>
      <c r="G11" s="517"/>
      <c r="H11" s="573"/>
      <c r="I11" s="574"/>
      <c r="J11" s="582"/>
      <c r="K11" s="576"/>
      <c r="L11" s="583"/>
      <c r="M11" s="583"/>
      <c r="N11" s="583"/>
      <c r="O11" s="583"/>
      <c r="P11" s="620">
        <f>IF(T11&gt;PauseGTime,PauseGWert,IF(T11&gt;PauseKTime,PauseKWert,IF(T11&lt;=PauseKTime,0,WENN)))</f>
        <v>0</v>
      </c>
      <c r="Q11" s="364"/>
      <c r="R11" s="545">
        <f t="shared" si="19"/>
        <v>0</v>
      </c>
      <c r="S11" s="551">
        <f t="shared" ca="1" si="2"/>
        <v>0.29166666666666669</v>
      </c>
      <c r="T11" s="551">
        <f t="shared" si="20"/>
        <v>0</v>
      </c>
      <c r="U11" s="552">
        <f t="shared" ca="1" si="4"/>
        <v>-0.29166666666667002</v>
      </c>
      <c r="V11" s="553">
        <f t="shared" ca="1" si="5"/>
        <v>0.29166666666666669</v>
      </c>
      <c r="W11" s="554">
        <f>IF(A11="",0,((Y11))*Voreinstellungen!$E$23)</f>
        <v>0</v>
      </c>
      <c r="X11" s="554">
        <f t="shared" si="14"/>
        <v>0</v>
      </c>
      <c r="Y11" s="728">
        <f t="shared" si="6"/>
        <v>0</v>
      </c>
      <c r="Z11" s="555">
        <f>((W11+X11)*Voreinstellungen!$C$45)</f>
        <v>0</v>
      </c>
      <c r="AA11" s="555">
        <f>((R11)*Voreinstellungen!$C$45)</f>
        <v>0</v>
      </c>
      <c r="AB11" s="612">
        <f t="shared" si="7"/>
        <v>0</v>
      </c>
      <c r="AC11" s="612" t="str">
        <f t="shared" si="15"/>
        <v/>
      </c>
      <c r="AD11" s="612" t="str">
        <f t="shared" si="8"/>
        <v/>
      </c>
      <c r="AE11" s="612" t="str">
        <f t="shared" si="16"/>
        <v/>
      </c>
      <c r="AF11" s="612" t="str">
        <f t="shared" si="9"/>
        <v/>
      </c>
      <c r="AG11" s="555">
        <f t="shared" si="10"/>
        <v>0</v>
      </c>
      <c r="AH11" s="633">
        <f>(AG11)*Voreinstellungen!$E$19</f>
        <v>0</v>
      </c>
      <c r="AI11" s="633">
        <f>IF(ISERROR(AB11*Voreinstellungen!$E$19*Voreinstellungen!$E$20),"",(AB11*Voreinstellungen!$E$19*Voreinstellungen!$E$20))</f>
        <v>0</v>
      </c>
      <c r="AJ11" s="633" t="str">
        <f>IF(ISERROR((AC11&amp;AD11)*Voreinstellungen!$E$19*Voreinstellungen!$E$21),"",((AC11&amp;AD11)*Voreinstellungen!$E$19*Voreinstellungen!$E$21))</f>
        <v/>
      </c>
      <c r="AK11" s="633" t="str">
        <f>IF(ISERROR((AE11&amp;AF11)*Voreinstellungen!$E$19*Voreinstellungen!$E$22),"",((AE11&amp;AF11)*Voreinstellungen!$E$19*Voreinstellungen!$E$22))</f>
        <v/>
      </c>
      <c r="AL11" s="556">
        <f t="shared" si="17"/>
        <v>0</v>
      </c>
      <c r="AM11" s="131"/>
      <c r="AN11" s="563">
        <f t="shared" ca="1" si="18"/>
        <v>-0.53645833333334003</v>
      </c>
      <c r="AP11" s="587"/>
      <c r="AQ11" s="625"/>
      <c r="AR11" s="566"/>
      <c r="AS11" s="565"/>
      <c r="AT11" s="345">
        <f t="shared" si="11"/>
        <v>0</v>
      </c>
      <c r="AU11" s="345">
        <f t="shared" si="12"/>
        <v>0</v>
      </c>
      <c r="AW11" s="498">
        <f>IF((MOD(B1-A1,1)-20/24+A1)&gt;0,MOD(B1-A1,1)-20/24+A1-MAX(0,(A1-20/24)),0)</f>
        <v>0</v>
      </c>
    </row>
    <row r="12" spans="1:49" s="19" customFormat="1" ht="12" x14ac:dyDescent="0.2">
      <c r="A12" s="538">
        <f t="shared" si="13"/>
        <v>44203</v>
      </c>
      <c r="B12" s="539">
        <f t="shared" si="0"/>
        <v>44203</v>
      </c>
      <c r="C12" s="540" t="str">
        <f t="shared" si="1"/>
        <v/>
      </c>
      <c r="D12" s="458"/>
      <c r="E12" s="255"/>
      <c r="F12" s="521"/>
      <c r="G12" s="517"/>
      <c r="H12" s="573"/>
      <c r="I12" s="574"/>
      <c r="J12" s="582"/>
      <c r="K12" s="576"/>
      <c r="L12" s="583"/>
      <c r="M12" s="583"/>
      <c r="N12" s="583"/>
      <c r="O12" s="581"/>
      <c r="P12" s="620">
        <f>IF(T12&gt;PauseGTime,PauseGWert,IF(T12&gt;PauseKTime,PauseKWert,IF(T12&lt;=PauseKTime,0,WENN)))</f>
        <v>0</v>
      </c>
      <c r="Q12" s="364"/>
      <c r="R12" s="545">
        <f t="shared" si="19"/>
        <v>0</v>
      </c>
      <c r="S12" s="551">
        <f t="shared" ca="1" si="2"/>
        <v>0.29166666666666669</v>
      </c>
      <c r="T12" s="551">
        <f t="shared" si="20"/>
        <v>0</v>
      </c>
      <c r="U12" s="552">
        <f t="shared" ca="1" si="4"/>
        <v>-0.29166666666667002</v>
      </c>
      <c r="V12" s="553">
        <f t="shared" ca="1" si="5"/>
        <v>0.29166666666666669</v>
      </c>
      <c r="W12" s="554">
        <f>IF(A12="",0,((Y12))*Voreinstellungen!$E$23)</f>
        <v>0</v>
      </c>
      <c r="X12" s="554">
        <f t="shared" si="14"/>
        <v>0</v>
      </c>
      <c r="Y12" s="728">
        <f t="shared" si="6"/>
        <v>0</v>
      </c>
      <c r="Z12" s="555">
        <f>((W12+X12)*Voreinstellungen!$C$45)</f>
        <v>0</v>
      </c>
      <c r="AA12" s="555">
        <f>((R12)*Voreinstellungen!$C$45)</f>
        <v>0</v>
      </c>
      <c r="AB12" s="612">
        <f t="shared" si="7"/>
        <v>0</v>
      </c>
      <c r="AC12" s="612" t="str">
        <f t="shared" si="15"/>
        <v/>
      </c>
      <c r="AD12" s="612" t="str">
        <f t="shared" si="8"/>
        <v/>
      </c>
      <c r="AE12" s="612" t="str">
        <f t="shared" si="16"/>
        <v/>
      </c>
      <c r="AF12" s="612" t="str">
        <f t="shared" si="9"/>
        <v/>
      </c>
      <c r="AG12" s="555">
        <f t="shared" si="10"/>
        <v>0</v>
      </c>
      <c r="AH12" s="633">
        <f>(AG12)*Voreinstellungen!$E$19</f>
        <v>0</v>
      </c>
      <c r="AI12" s="633">
        <f>IF(ISERROR(AB12*Voreinstellungen!$E$19*Voreinstellungen!$E$20),"",(AB12*Voreinstellungen!$E$19*Voreinstellungen!$E$20))</f>
        <v>0</v>
      </c>
      <c r="AJ12" s="633" t="str">
        <f>IF(ISERROR((AC12&amp;AD12)*Voreinstellungen!$E$19*Voreinstellungen!$E$21),"",((AC12&amp;AD12)*Voreinstellungen!$E$19*Voreinstellungen!$E$21))</f>
        <v/>
      </c>
      <c r="AK12" s="633" t="str">
        <f>IF(ISERROR((AE12&amp;AF12)*Voreinstellungen!$E$19*Voreinstellungen!$E$22),"",((AE12&amp;AF12)*Voreinstellungen!$E$19*Voreinstellungen!$E$22))</f>
        <v/>
      </c>
      <c r="AL12" s="556">
        <f t="shared" si="17"/>
        <v>0</v>
      </c>
      <c r="AM12" s="131"/>
      <c r="AN12" s="563">
        <f t="shared" ca="1" si="18"/>
        <v>-0.82812500000000999</v>
      </c>
      <c r="AP12" s="587"/>
      <c r="AQ12" s="625"/>
      <c r="AR12" s="566"/>
      <c r="AS12" s="565"/>
      <c r="AT12" s="345">
        <f t="shared" si="11"/>
        <v>0</v>
      </c>
      <c r="AU12" s="345">
        <f t="shared" si="12"/>
        <v>0</v>
      </c>
    </row>
    <row r="13" spans="1:49" s="19" customFormat="1" ht="12" x14ac:dyDescent="0.2">
      <c r="A13" s="538">
        <f t="shared" si="13"/>
        <v>44204</v>
      </c>
      <c r="B13" s="539">
        <f t="shared" si="0"/>
        <v>44204</v>
      </c>
      <c r="C13" s="540" t="str">
        <f t="shared" si="1"/>
        <v/>
      </c>
      <c r="D13" s="458"/>
      <c r="E13" s="255"/>
      <c r="F13" s="521"/>
      <c r="G13" s="517"/>
      <c r="H13" s="573"/>
      <c r="I13" s="574"/>
      <c r="J13" s="582"/>
      <c r="K13" s="576"/>
      <c r="L13" s="583"/>
      <c r="M13" s="583"/>
      <c r="N13" s="583"/>
      <c r="O13" s="581"/>
      <c r="P13" s="620">
        <f>IF(T13&gt;PauseGTime,PauseGWert,IF(T13&gt;PauseKTime,PauseKWert,IF(T13&lt;=PauseKTime,0,WENN)))</f>
        <v>0</v>
      </c>
      <c r="Q13" s="364"/>
      <c r="R13" s="545">
        <f t="shared" si="19"/>
        <v>0</v>
      </c>
      <c r="S13" s="551">
        <f t="shared" ca="1" si="2"/>
        <v>0.29166666666666669</v>
      </c>
      <c r="T13" s="551">
        <f t="shared" si="20"/>
        <v>0</v>
      </c>
      <c r="U13" s="552">
        <f t="shared" ca="1" si="4"/>
        <v>-0.29166666666667002</v>
      </c>
      <c r="V13" s="553">
        <f t="shared" ca="1" si="5"/>
        <v>0.29166666666666669</v>
      </c>
      <c r="W13" s="554">
        <f>IF(A13="",0,((Y13))*Voreinstellungen!$E$23)</f>
        <v>0</v>
      </c>
      <c r="X13" s="554">
        <f t="shared" si="14"/>
        <v>0</v>
      </c>
      <c r="Y13" s="728">
        <f t="shared" si="6"/>
        <v>0</v>
      </c>
      <c r="Z13" s="555">
        <f>((W13+X13)*Voreinstellungen!$C$45)</f>
        <v>0</v>
      </c>
      <c r="AA13" s="555">
        <f>((R13)*Voreinstellungen!$C$45)</f>
        <v>0</v>
      </c>
      <c r="AB13" s="612">
        <f t="shared" si="7"/>
        <v>0</v>
      </c>
      <c r="AC13" s="612" t="str">
        <f t="shared" si="15"/>
        <v/>
      </c>
      <c r="AD13" s="612" t="str">
        <f t="shared" si="8"/>
        <v/>
      </c>
      <c r="AE13" s="612" t="str">
        <f t="shared" si="16"/>
        <v/>
      </c>
      <c r="AF13" s="612" t="str">
        <f t="shared" si="9"/>
        <v/>
      </c>
      <c r="AG13" s="555">
        <f t="shared" si="10"/>
        <v>0</v>
      </c>
      <c r="AH13" s="633">
        <f>(AG13)*Voreinstellungen!$E$19</f>
        <v>0</v>
      </c>
      <c r="AI13" s="633">
        <f>IF(ISERROR(AB13*Voreinstellungen!$E$19*Voreinstellungen!$E$20),"",(AB13*Voreinstellungen!$E$19*Voreinstellungen!$E$20))</f>
        <v>0</v>
      </c>
      <c r="AJ13" s="633" t="str">
        <f>IF(ISERROR((AC13&amp;AD13)*Voreinstellungen!$E$19*Voreinstellungen!$E$21),"",((AC13&amp;AD13)*Voreinstellungen!$E$19*Voreinstellungen!$E$21))</f>
        <v/>
      </c>
      <c r="AK13" s="633" t="str">
        <f>IF(ISERROR((AE13&amp;AF13)*Voreinstellungen!$E$19*Voreinstellungen!$E$22),"",((AE13&amp;AF13)*Voreinstellungen!$E$19*Voreinstellungen!$E$22))</f>
        <v/>
      </c>
      <c r="AL13" s="556">
        <f t="shared" si="17"/>
        <v>0</v>
      </c>
      <c r="AM13" s="131"/>
      <c r="AN13" s="563">
        <f t="shared" ca="1" si="18"/>
        <v>-1.1197916666666801</v>
      </c>
      <c r="AP13" s="587"/>
      <c r="AQ13" s="625"/>
      <c r="AR13" s="566"/>
      <c r="AS13" s="565"/>
      <c r="AT13" s="345">
        <f t="shared" si="11"/>
        <v>0</v>
      </c>
      <c r="AU13" s="345">
        <f t="shared" si="12"/>
        <v>0</v>
      </c>
    </row>
    <row r="14" spans="1:49" s="19" customFormat="1" ht="12" x14ac:dyDescent="0.2">
      <c r="A14" s="538">
        <f t="shared" si="13"/>
        <v>44205</v>
      </c>
      <c r="B14" s="539">
        <f t="shared" si="0"/>
        <v>44205</v>
      </c>
      <c r="C14" s="540" t="str">
        <f t="shared" si="1"/>
        <v/>
      </c>
      <c r="D14" s="458"/>
      <c r="E14" s="255"/>
      <c r="F14" s="521"/>
      <c r="G14" s="517"/>
      <c r="H14" s="573"/>
      <c r="I14" s="574"/>
      <c r="J14" s="582"/>
      <c r="K14" s="576"/>
      <c r="L14" s="583"/>
      <c r="M14" s="583"/>
      <c r="N14" s="583"/>
      <c r="O14" s="581"/>
      <c r="P14" s="620">
        <f>IF(T14&gt;PauseGTime,PauseGWert,IF(T14&gt;PauseKTime,PauseKWert,IF(T14&lt;=PauseKTime,0,WENN)))</f>
        <v>0</v>
      </c>
      <c r="Q14" s="364"/>
      <c r="R14" s="545">
        <f t="shared" si="19"/>
        <v>0</v>
      </c>
      <c r="S14" s="551">
        <f t="shared" ca="1" si="2"/>
        <v>0.29166666666666669</v>
      </c>
      <c r="T14" s="551">
        <f t="shared" si="20"/>
        <v>0</v>
      </c>
      <c r="U14" s="552">
        <f t="shared" ca="1" si="4"/>
        <v>-0.29166666666667002</v>
      </c>
      <c r="V14" s="553">
        <f t="shared" ca="1" si="5"/>
        <v>0.29166666666666669</v>
      </c>
      <c r="W14" s="554">
        <f>IF(A14="",0,((Y14))*Voreinstellungen!$E$23)</f>
        <v>0</v>
      </c>
      <c r="X14" s="554">
        <f t="shared" si="14"/>
        <v>0</v>
      </c>
      <c r="Y14" s="728">
        <f t="shared" si="6"/>
        <v>0</v>
      </c>
      <c r="Z14" s="555">
        <f>((W14+X14)*Voreinstellungen!$C$45)</f>
        <v>0</v>
      </c>
      <c r="AA14" s="555">
        <f>((R14)*Voreinstellungen!$C$45)</f>
        <v>0</v>
      </c>
      <c r="AB14" s="612">
        <f t="shared" si="7"/>
        <v>0</v>
      </c>
      <c r="AC14" s="612" t="str">
        <f t="shared" si="15"/>
        <v/>
      </c>
      <c r="AD14" s="612" t="str">
        <f t="shared" si="8"/>
        <v/>
      </c>
      <c r="AE14" s="612" t="str">
        <f t="shared" si="16"/>
        <v/>
      </c>
      <c r="AF14" s="612" t="str">
        <f t="shared" si="9"/>
        <v/>
      </c>
      <c r="AG14" s="555">
        <f t="shared" si="10"/>
        <v>0</v>
      </c>
      <c r="AH14" s="633">
        <f>(AG14)*Voreinstellungen!$E$19</f>
        <v>0</v>
      </c>
      <c r="AI14" s="633">
        <f>IF(ISERROR(AB14*Voreinstellungen!$E$19*Voreinstellungen!$E$20),"",(AB14*Voreinstellungen!$E$19*Voreinstellungen!$E$20))</f>
        <v>0</v>
      </c>
      <c r="AJ14" s="633" t="str">
        <f>IF(ISERROR((AC14&amp;AD14)*Voreinstellungen!$E$19*Voreinstellungen!$E$21),"",((AC14&amp;AD14)*Voreinstellungen!$E$19*Voreinstellungen!$E$21))</f>
        <v/>
      </c>
      <c r="AK14" s="633" t="str">
        <f>IF(ISERROR((AE14&amp;AF14)*Voreinstellungen!$E$19*Voreinstellungen!$E$22),"",((AE14&amp;AF14)*Voreinstellungen!$E$19*Voreinstellungen!$E$22))</f>
        <v/>
      </c>
      <c r="AL14" s="556">
        <f t="shared" si="17"/>
        <v>0</v>
      </c>
      <c r="AM14" s="131"/>
      <c r="AN14" s="563">
        <f t="shared" ca="1" si="18"/>
        <v>-1.4114583333333499</v>
      </c>
      <c r="AP14" s="587"/>
      <c r="AQ14" s="625"/>
      <c r="AR14" s="566"/>
      <c r="AS14" s="565"/>
      <c r="AT14" s="345">
        <f t="shared" si="11"/>
        <v>0</v>
      </c>
      <c r="AU14" s="345">
        <f t="shared" si="12"/>
        <v>0</v>
      </c>
    </row>
    <row r="15" spans="1:49" s="19" customFormat="1" ht="12" x14ac:dyDescent="0.2">
      <c r="A15" s="538">
        <f t="shared" si="13"/>
        <v>44206</v>
      </c>
      <c r="B15" s="539">
        <f t="shared" si="0"/>
        <v>44206</v>
      </c>
      <c r="C15" s="540" t="str">
        <f t="shared" si="1"/>
        <v/>
      </c>
      <c r="D15" s="458"/>
      <c r="E15" s="255"/>
      <c r="F15" s="521"/>
      <c r="G15" s="517"/>
      <c r="H15" s="573"/>
      <c r="I15" s="574"/>
      <c r="J15" s="582"/>
      <c r="K15" s="576"/>
      <c r="L15" s="583"/>
      <c r="M15" s="583"/>
      <c r="N15" s="583"/>
      <c r="O15" s="581"/>
      <c r="P15" s="620">
        <f>IF(T15&gt;PauseGTime,PauseGWert,IF(T15&gt;PauseKTime,PauseKWert,IF(T15&lt;=PauseKTime,0,WENN)))</f>
        <v>0</v>
      </c>
      <c r="Q15" s="364"/>
      <c r="R15" s="545">
        <f t="shared" si="19"/>
        <v>0</v>
      </c>
      <c r="S15" s="551">
        <f t="shared" ca="1" si="2"/>
        <v>0</v>
      </c>
      <c r="T15" s="551">
        <f t="shared" si="20"/>
        <v>0</v>
      </c>
      <c r="U15" s="552">
        <f t="shared" ca="1" si="4"/>
        <v>0</v>
      </c>
      <c r="V15" s="553">
        <f t="shared" ca="1" si="5"/>
        <v>0</v>
      </c>
      <c r="W15" s="554">
        <f>IF(A15="",0,((Y15))*Voreinstellungen!$E$23)</f>
        <v>0</v>
      </c>
      <c r="X15" s="554">
        <f t="shared" si="14"/>
        <v>0</v>
      </c>
      <c r="Y15" s="728">
        <f>IF(A15="",0,IF(IF(H15&lt;I15,I15-H15,IF(I15="",0,I15-H15+1))&gt;0,IF(H15&lt;I15,I15-H15,IF(I15="",0,I15-H15+1)),0))-X15</f>
        <v>0</v>
      </c>
      <c r="Z15" s="555">
        <f>((W15+X15)*Voreinstellungen!$C$45)</f>
        <v>0</v>
      </c>
      <c r="AA15" s="555">
        <f>((R15)*Voreinstellungen!$C$45)</f>
        <v>0</v>
      </c>
      <c r="AB15" s="612">
        <f t="shared" si="7"/>
        <v>0</v>
      </c>
      <c r="AC15" s="612" t="str">
        <f t="shared" si="15"/>
        <v/>
      </c>
      <c r="AD15" s="612" t="str">
        <f t="shared" si="8"/>
        <v/>
      </c>
      <c r="AE15" s="612" t="str">
        <f t="shared" si="16"/>
        <v/>
      </c>
      <c r="AF15" s="612" t="str">
        <f t="shared" si="9"/>
        <v/>
      </c>
      <c r="AG15" s="555">
        <f t="shared" si="10"/>
        <v>0</v>
      </c>
      <c r="AH15" s="633">
        <f>(AG15)*Voreinstellungen!$E$19</f>
        <v>0</v>
      </c>
      <c r="AI15" s="633">
        <f>IF(ISERROR(AB15*Voreinstellungen!$E$19*Voreinstellungen!$E$20),"",(AB15*Voreinstellungen!$E$19*Voreinstellungen!$E$20))</f>
        <v>0</v>
      </c>
      <c r="AJ15" s="633" t="str">
        <f>IF(ISERROR((AC15&amp;AD15)*Voreinstellungen!$E$19*Voreinstellungen!$E$21),"",((AC15&amp;AD15)*Voreinstellungen!$E$19*Voreinstellungen!$E$21))</f>
        <v/>
      </c>
      <c r="AK15" s="633" t="str">
        <f>IF(ISERROR((AE15&amp;AF15)*Voreinstellungen!$E$19*Voreinstellungen!$E$22),"",((AE15&amp;AF15)*Voreinstellungen!$E$19*Voreinstellungen!$E$22))</f>
        <v/>
      </c>
      <c r="AL15" s="556">
        <f t="shared" si="17"/>
        <v>0</v>
      </c>
      <c r="AM15" s="131"/>
      <c r="AN15" s="563">
        <f t="shared" ca="1" si="18"/>
        <v>-1.4114583333333499</v>
      </c>
      <c r="AP15" s="587"/>
      <c r="AQ15" s="625"/>
      <c r="AR15" s="566"/>
      <c r="AS15" s="565"/>
      <c r="AT15" s="345">
        <f t="shared" si="11"/>
        <v>0</v>
      </c>
      <c r="AU15" s="345">
        <f t="shared" si="12"/>
        <v>0</v>
      </c>
    </row>
    <row r="16" spans="1:49" s="19" customFormat="1" ht="12" x14ac:dyDescent="0.2">
      <c r="A16" s="538">
        <f t="shared" si="13"/>
        <v>44207</v>
      </c>
      <c r="B16" s="539">
        <f t="shared" si="0"/>
        <v>44207</v>
      </c>
      <c r="C16" s="540" t="str">
        <f t="shared" si="1"/>
        <v/>
      </c>
      <c r="D16" s="458"/>
      <c r="E16" s="255"/>
      <c r="F16" s="521"/>
      <c r="G16" s="517"/>
      <c r="H16" s="573"/>
      <c r="I16" s="574"/>
      <c r="J16" s="582"/>
      <c r="K16" s="576"/>
      <c r="L16" s="583"/>
      <c r="M16" s="583"/>
      <c r="N16" s="583"/>
      <c r="O16" s="581"/>
      <c r="P16" s="620">
        <f>IF(T16&gt;PauseGTime,PauseGWert,IF(T16&gt;PauseKTime,PauseKWert,IF(T16&lt;=PauseKTime,0,WENN)))</f>
        <v>0</v>
      </c>
      <c r="Q16" s="364"/>
      <c r="R16" s="545">
        <f t="shared" si="19"/>
        <v>0</v>
      </c>
      <c r="S16" s="551">
        <f t="shared" ca="1" si="2"/>
        <v>0</v>
      </c>
      <c r="T16" s="551">
        <f t="shared" si="20"/>
        <v>0</v>
      </c>
      <c r="U16" s="552">
        <f t="shared" ca="1" si="4"/>
        <v>0</v>
      </c>
      <c r="V16" s="553">
        <f t="shared" ca="1" si="5"/>
        <v>0</v>
      </c>
      <c r="W16" s="554">
        <f>IF(A16="",0,(Y16))*Voreinstellungen!$E$23</f>
        <v>0</v>
      </c>
      <c r="X16" s="554">
        <f t="shared" si="14"/>
        <v>0</v>
      </c>
      <c r="Y16" s="728"/>
      <c r="Z16" s="555">
        <f>((W16+X16)*Voreinstellungen!$C$45)</f>
        <v>0</v>
      </c>
      <c r="AA16" s="555">
        <f>((R16)*Voreinstellungen!$C$45)</f>
        <v>0</v>
      </c>
      <c r="AB16" s="612" t="str">
        <f t="shared" si="7"/>
        <v/>
      </c>
      <c r="AC16" s="612">
        <f t="shared" si="15"/>
        <v>0</v>
      </c>
      <c r="AD16" s="612" t="str">
        <f t="shared" si="8"/>
        <v/>
      </c>
      <c r="AE16" s="612">
        <f t="shared" si="16"/>
        <v>0</v>
      </c>
      <c r="AF16" s="612" t="str">
        <f t="shared" si="9"/>
        <v/>
      </c>
      <c r="AG16" s="555">
        <f t="shared" si="10"/>
        <v>0</v>
      </c>
      <c r="AH16" s="633">
        <f>(AG16)*Voreinstellungen!$E$19</f>
        <v>0</v>
      </c>
      <c r="AI16" s="633" t="str">
        <f>IF(ISERROR(AB16*Voreinstellungen!$E$19*Voreinstellungen!$E$20),"",(AB16*Voreinstellungen!$E$19*Voreinstellungen!$E$20))</f>
        <v/>
      </c>
      <c r="AJ16" s="633">
        <f>IF(ISERROR((AC16&amp;AD16)*Voreinstellungen!$E$19*Voreinstellungen!$E$21),"",((AC16&amp;AD16)*Voreinstellungen!$E$19*Voreinstellungen!$E$21))</f>
        <v>0</v>
      </c>
      <c r="AK16" s="633">
        <f>IF(ISERROR((AE16&amp;AF16)*Voreinstellungen!$E$19*Voreinstellungen!$E$22),"",((AE16&amp;AF16)*Voreinstellungen!$E$19*Voreinstellungen!$E$22))</f>
        <v>0</v>
      </c>
      <c r="AL16" s="556">
        <f t="shared" si="17"/>
        <v>0</v>
      </c>
      <c r="AM16" s="131"/>
      <c r="AN16" s="563">
        <f t="shared" ca="1" si="18"/>
        <v>-1.4114583333333499</v>
      </c>
      <c r="AP16" s="587"/>
      <c r="AQ16" s="625"/>
      <c r="AR16" s="566"/>
      <c r="AS16" s="565"/>
      <c r="AT16" s="345">
        <f t="shared" si="11"/>
        <v>0</v>
      </c>
      <c r="AU16" s="345">
        <f t="shared" si="12"/>
        <v>0</v>
      </c>
    </row>
    <row r="17" spans="1:47" s="19" customFormat="1" ht="12" x14ac:dyDescent="0.2">
      <c r="A17" s="538">
        <f t="shared" si="13"/>
        <v>44208</v>
      </c>
      <c r="B17" s="539">
        <f t="shared" si="0"/>
        <v>44208</v>
      </c>
      <c r="C17" s="540" t="str">
        <f t="shared" si="1"/>
        <v/>
      </c>
      <c r="D17" s="458"/>
      <c r="E17" s="255"/>
      <c r="F17" s="521"/>
      <c r="G17" s="517"/>
      <c r="H17" s="573"/>
      <c r="I17" s="574"/>
      <c r="J17" s="582"/>
      <c r="K17" s="576"/>
      <c r="L17" s="583"/>
      <c r="M17" s="583"/>
      <c r="N17" s="583"/>
      <c r="O17" s="583"/>
      <c r="P17" s="620">
        <f>IF(T17&gt;PauseGTime,PauseGWert,IF(T17&gt;PauseKTime,PauseKWert,IF(T17&lt;=PauseKTime,0,WENN)))</f>
        <v>0</v>
      </c>
      <c r="Q17" s="364"/>
      <c r="R17" s="545">
        <f t="shared" si="19"/>
        <v>0</v>
      </c>
      <c r="S17" s="551">
        <f t="shared" ca="1" si="2"/>
        <v>0.29166666666666669</v>
      </c>
      <c r="T17" s="551">
        <f t="shared" si="20"/>
        <v>0</v>
      </c>
      <c r="U17" s="552">
        <f t="shared" ca="1" si="4"/>
        <v>-0.29166666666667002</v>
      </c>
      <c r="V17" s="553">
        <f t="shared" ca="1" si="5"/>
        <v>0.29166666666666669</v>
      </c>
      <c r="W17" s="554">
        <f>IF(A17="",0,(Y17))*Voreinstellungen!$E$23</f>
        <v>0</v>
      </c>
      <c r="X17" s="554">
        <f t="shared" si="14"/>
        <v>0</v>
      </c>
      <c r="Y17" s="728"/>
      <c r="Z17" s="555">
        <f>((W17+X17)*Voreinstellungen!$C$45)</f>
        <v>0</v>
      </c>
      <c r="AA17" s="555">
        <f>((R17)*Voreinstellungen!$C$45)</f>
        <v>0</v>
      </c>
      <c r="AB17" s="612">
        <f t="shared" si="7"/>
        <v>0</v>
      </c>
      <c r="AC17" s="612" t="str">
        <f t="shared" si="15"/>
        <v/>
      </c>
      <c r="AD17" s="612" t="str">
        <f t="shared" si="8"/>
        <v/>
      </c>
      <c r="AE17" s="612" t="str">
        <f t="shared" si="16"/>
        <v/>
      </c>
      <c r="AF17" s="612" t="str">
        <f t="shared" si="9"/>
        <v/>
      </c>
      <c r="AG17" s="555">
        <f t="shared" si="10"/>
        <v>0</v>
      </c>
      <c r="AH17" s="633">
        <f>(AG17)*Voreinstellungen!$E$19</f>
        <v>0</v>
      </c>
      <c r="AI17" s="633">
        <f>IF(ISERROR(AB17*Voreinstellungen!$E$19*Voreinstellungen!$E$20),"",(AB17*Voreinstellungen!$E$19*Voreinstellungen!$E$20))</f>
        <v>0</v>
      </c>
      <c r="AJ17" s="633" t="str">
        <f>IF(ISERROR((AC17&amp;AD17)*Voreinstellungen!$E$19*Voreinstellungen!$E$21),"",((AC17&amp;AD17)*Voreinstellungen!$E$19*Voreinstellungen!$E$21))</f>
        <v/>
      </c>
      <c r="AK17" s="633" t="str">
        <f>IF(ISERROR((AE17&amp;AF17)*Voreinstellungen!$E$19*Voreinstellungen!$E$22),"",((AE17&amp;AF17)*Voreinstellungen!$E$19*Voreinstellungen!$E$22))</f>
        <v/>
      </c>
      <c r="AL17" s="556">
        <f t="shared" si="17"/>
        <v>0</v>
      </c>
      <c r="AM17" s="131"/>
      <c r="AN17" s="563">
        <f t="shared" ca="1" si="18"/>
        <v>-1.70312500000002</v>
      </c>
      <c r="AP17" s="587"/>
      <c r="AQ17" s="625"/>
      <c r="AR17" s="566"/>
      <c r="AS17" s="565"/>
      <c r="AT17" s="345">
        <f t="shared" si="11"/>
        <v>0</v>
      </c>
      <c r="AU17" s="345">
        <f t="shared" si="12"/>
        <v>0</v>
      </c>
    </row>
    <row r="18" spans="1:47" s="19" customFormat="1" ht="12" x14ac:dyDescent="0.2">
      <c r="A18" s="538">
        <f t="shared" si="13"/>
        <v>44209</v>
      </c>
      <c r="B18" s="539">
        <f t="shared" si="0"/>
        <v>44209</v>
      </c>
      <c r="C18" s="540" t="str">
        <f t="shared" si="1"/>
        <v/>
      </c>
      <c r="D18" s="458"/>
      <c r="E18" s="255"/>
      <c r="F18" s="521"/>
      <c r="G18" s="517"/>
      <c r="H18" s="573"/>
      <c r="I18" s="574"/>
      <c r="J18" s="582"/>
      <c r="K18" s="576"/>
      <c r="L18" s="583"/>
      <c r="M18" s="583"/>
      <c r="N18" s="583"/>
      <c r="O18" s="583"/>
      <c r="P18" s="620">
        <f>IF(T18&gt;PauseGTime,PauseGWert,IF(T18&gt;PauseKTime,PauseKWert,IF(T18&lt;=PauseKTime,0,WENN)))</f>
        <v>0</v>
      </c>
      <c r="Q18" s="364"/>
      <c r="R18" s="545">
        <f t="shared" si="19"/>
        <v>0</v>
      </c>
      <c r="S18" s="551">
        <f t="shared" ca="1" si="2"/>
        <v>0.29166666666666669</v>
      </c>
      <c r="T18" s="551">
        <f t="shared" si="20"/>
        <v>0</v>
      </c>
      <c r="U18" s="552">
        <f t="shared" ca="1" si="4"/>
        <v>-0.29166666666667002</v>
      </c>
      <c r="V18" s="553">
        <f t="shared" ca="1" si="5"/>
        <v>0.29166666666666669</v>
      </c>
      <c r="W18" s="554">
        <f>IF(A18="",0,(Y18))*Voreinstellungen!$E$23</f>
        <v>0</v>
      </c>
      <c r="X18" s="554">
        <f t="shared" si="14"/>
        <v>0</v>
      </c>
      <c r="Y18" s="728"/>
      <c r="Z18" s="555">
        <f>((W18+X18)*Voreinstellungen!$C$45)</f>
        <v>0</v>
      </c>
      <c r="AA18" s="555">
        <f>((R18)*Voreinstellungen!$C$45)</f>
        <v>0</v>
      </c>
      <c r="AB18" s="612">
        <f t="shared" si="7"/>
        <v>0</v>
      </c>
      <c r="AC18" s="612" t="str">
        <f t="shared" si="15"/>
        <v/>
      </c>
      <c r="AD18" s="612" t="str">
        <f t="shared" si="8"/>
        <v/>
      </c>
      <c r="AE18" s="612" t="str">
        <f t="shared" si="16"/>
        <v/>
      </c>
      <c r="AF18" s="612" t="str">
        <f t="shared" si="9"/>
        <v/>
      </c>
      <c r="AG18" s="555">
        <f t="shared" si="10"/>
        <v>0</v>
      </c>
      <c r="AH18" s="633">
        <f>(AG18)*Voreinstellungen!$E$19</f>
        <v>0</v>
      </c>
      <c r="AI18" s="633">
        <f>IF(ISERROR(AB18*Voreinstellungen!$E$19*Voreinstellungen!$E$20),"",(AB18*Voreinstellungen!$E$19*Voreinstellungen!$E$20))</f>
        <v>0</v>
      </c>
      <c r="AJ18" s="633" t="str">
        <f>IF(ISERROR((AC18&amp;AD18)*Voreinstellungen!$E$19*Voreinstellungen!$E$21),"",((AC18&amp;AD18)*Voreinstellungen!$E$19*Voreinstellungen!$E$21))</f>
        <v/>
      </c>
      <c r="AK18" s="633" t="str">
        <f>IF(ISERROR((AE18&amp;AF18)*Voreinstellungen!$E$19*Voreinstellungen!$E$22),"",((AE18&amp;AF18)*Voreinstellungen!$E$19*Voreinstellungen!$E$22))</f>
        <v/>
      </c>
      <c r="AL18" s="556">
        <f t="shared" si="17"/>
        <v>0</v>
      </c>
      <c r="AM18" s="131"/>
      <c r="AN18" s="563">
        <f t="shared" ca="1" si="18"/>
        <v>-1.9947916666666901</v>
      </c>
      <c r="AP18" s="587"/>
      <c r="AQ18" s="625"/>
      <c r="AR18" s="566"/>
      <c r="AS18" s="565"/>
      <c r="AT18" s="345">
        <f t="shared" si="11"/>
        <v>0</v>
      </c>
      <c r="AU18" s="345">
        <f t="shared" si="12"/>
        <v>0</v>
      </c>
    </row>
    <row r="19" spans="1:47" s="19" customFormat="1" ht="12" x14ac:dyDescent="0.2">
      <c r="A19" s="538">
        <f t="shared" si="13"/>
        <v>44210</v>
      </c>
      <c r="B19" s="539">
        <f t="shared" si="0"/>
        <v>44210</v>
      </c>
      <c r="C19" s="540" t="str">
        <f t="shared" si="1"/>
        <v/>
      </c>
      <c r="D19" s="458"/>
      <c r="E19" s="255"/>
      <c r="F19" s="521"/>
      <c r="G19" s="517"/>
      <c r="H19" s="573"/>
      <c r="I19" s="574"/>
      <c r="J19" s="582"/>
      <c r="K19" s="576"/>
      <c r="L19" s="583"/>
      <c r="M19" s="583"/>
      <c r="N19" s="583"/>
      <c r="O19" s="581"/>
      <c r="P19" s="620">
        <f>IF(T19&gt;PauseGTime,PauseGWert,IF(T19&gt;PauseKTime,PauseKWert,IF(T19&lt;=PauseKTime,0,WENN)))</f>
        <v>0</v>
      </c>
      <c r="Q19" s="364"/>
      <c r="R19" s="545">
        <f t="shared" si="19"/>
        <v>0</v>
      </c>
      <c r="S19" s="551">
        <f t="shared" ca="1" si="2"/>
        <v>0.29166666666666669</v>
      </c>
      <c r="T19" s="551">
        <f t="shared" si="20"/>
        <v>0</v>
      </c>
      <c r="U19" s="552">
        <f t="shared" ca="1" si="4"/>
        <v>-0.29166666666667002</v>
      </c>
      <c r="V19" s="553">
        <f t="shared" ca="1" si="5"/>
        <v>0.29166666666666669</v>
      </c>
      <c r="W19" s="554">
        <f>IF(A19="",0,(Y19))*Voreinstellungen!$E$23</f>
        <v>0</v>
      </c>
      <c r="X19" s="554">
        <f t="shared" si="14"/>
        <v>0</v>
      </c>
      <c r="Y19" s="728"/>
      <c r="Z19" s="555">
        <f>((W19+X19)*Voreinstellungen!$C$45)</f>
        <v>0</v>
      </c>
      <c r="AA19" s="555">
        <f>((R19)*Voreinstellungen!$C$45)</f>
        <v>0</v>
      </c>
      <c r="AB19" s="612">
        <f t="shared" si="7"/>
        <v>0</v>
      </c>
      <c r="AC19" s="612" t="str">
        <f t="shared" si="15"/>
        <v/>
      </c>
      <c r="AD19" s="612" t="str">
        <f t="shared" si="8"/>
        <v/>
      </c>
      <c r="AE19" s="612" t="str">
        <f t="shared" si="16"/>
        <v/>
      </c>
      <c r="AF19" s="612" t="str">
        <f t="shared" si="9"/>
        <v/>
      </c>
      <c r="AG19" s="555">
        <f t="shared" si="10"/>
        <v>0</v>
      </c>
      <c r="AH19" s="633">
        <f>(AG19)*Voreinstellungen!$E$19</f>
        <v>0</v>
      </c>
      <c r="AI19" s="633">
        <f>IF(ISERROR(AB19*Voreinstellungen!$E$19*Voreinstellungen!$E$20),"",(AB19*Voreinstellungen!$E$19*Voreinstellungen!$E$20))</f>
        <v>0</v>
      </c>
      <c r="AJ19" s="633" t="str">
        <f>IF(ISERROR((AC19&amp;AD19)*Voreinstellungen!$E$19*Voreinstellungen!$E$21),"",((AC19&amp;AD19)*Voreinstellungen!$E$19*Voreinstellungen!$E$21))</f>
        <v/>
      </c>
      <c r="AK19" s="633" t="str">
        <f>IF(ISERROR((AE19&amp;AF19)*Voreinstellungen!$E$19*Voreinstellungen!$E$22),"",((AE19&amp;AF19)*Voreinstellungen!$E$19*Voreinstellungen!$E$22))</f>
        <v/>
      </c>
      <c r="AL19" s="556">
        <f t="shared" si="17"/>
        <v>0</v>
      </c>
      <c r="AM19" s="131"/>
      <c r="AN19" s="563">
        <f t="shared" ca="1" si="18"/>
        <v>-2.2864583333333601</v>
      </c>
      <c r="AP19" s="587"/>
      <c r="AQ19" s="625"/>
      <c r="AR19" s="566"/>
      <c r="AS19" s="565"/>
      <c r="AT19" s="345">
        <f t="shared" si="11"/>
        <v>0</v>
      </c>
      <c r="AU19" s="345">
        <f t="shared" si="12"/>
        <v>0</v>
      </c>
    </row>
    <row r="20" spans="1:47" s="19" customFormat="1" ht="12" x14ac:dyDescent="0.2">
      <c r="A20" s="538">
        <f t="shared" si="13"/>
        <v>44211</v>
      </c>
      <c r="B20" s="539">
        <f t="shared" si="0"/>
        <v>44211</v>
      </c>
      <c r="C20" s="540" t="str">
        <f t="shared" si="1"/>
        <v/>
      </c>
      <c r="D20" s="458"/>
      <c r="E20" s="255"/>
      <c r="F20" s="521"/>
      <c r="G20" s="517"/>
      <c r="H20" s="573"/>
      <c r="I20" s="574"/>
      <c r="J20" s="582"/>
      <c r="K20" s="576"/>
      <c r="L20" s="583"/>
      <c r="M20" s="583"/>
      <c r="N20" s="583"/>
      <c r="O20" s="581"/>
      <c r="P20" s="620">
        <f>IF(T20&gt;PauseGTime,PauseGWert,IF(T20&gt;PauseKTime,PauseKWert,IF(T20&lt;=PauseKTime,0,WENN)))</f>
        <v>0</v>
      </c>
      <c r="Q20" s="364"/>
      <c r="R20" s="545">
        <f t="shared" si="19"/>
        <v>0</v>
      </c>
      <c r="S20" s="551">
        <f t="shared" ca="1" si="2"/>
        <v>0.29166666666666669</v>
      </c>
      <c r="T20" s="551">
        <f t="shared" si="20"/>
        <v>0</v>
      </c>
      <c r="U20" s="552">
        <f t="shared" ca="1" si="4"/>
        <v>-0.29166666666667002</v>
      </c>
      <c r="V20" s="553">
        <f t="shared" ca="1" si="5"/>
        <v>0.29166666666666669</v>
      </c>
      <c r="W20" s="554">
        <f>IF(A20="",0,(Y20))*Voreinstellungen!$E$23</f>
        <v>0</v>
      </c>
      <c r="X20" s="554">
        <f t="shared" si="14"/>
        <v>0</v>
      </c>
      <c r="Y20" s="728"/>
      <c r="Z20" s="555">
        <f>((W20+X20)*Voreinstellungen!$C$45)</f>
        <v>0</v>
      </c>
      <c r="AA20" s="555">
        <f>((R20)*Voreinstellungen!$C$45)</f>
        <v>0</v>
      </c>
      <c r="AB20" s="612">
        <f t="shared" si="7"/>
        <v>0</v>
      </c>
      <c r="AC20" s="612" t="str">
        <f t="shared" si="15"/>
        <v/>
      </c>
      <c r="AD20" s="612" t="str">
        <f t="shared" si="8"/>
        <v/>
      </c>
      <c r="AE20" s="612" t="str">
        <f t="shared" si="16"/>
        <v/>
      </c>
      <c r="AF20" s="612" t="str">
        <f t="shared" si="9"/>
        <v/>
      </c>
      <c r="AG20" s="555">
        <f t="shared" si="10"/>
        <v>0</v>
      </c>
      <c r="AH20" s="633">
        <f>(AG20)*Voreinstellungen!$E$19</f>
        <v>0</v>
      </c>
      <c r="AI20" s="633">
        <f>IF(ISERROR(AB20*Voreinstellungen!$E$19*Voreinstellungen!$E$20),"",(AB20*Voreinstellungen!$E$19*Voreinstellungen!$E$20))</f>
        <v>0</v>
      </c>
      <c r="AJ20" s="633" t="str">
        <f>IF(ISERROR((AC20&amp;AD20)*Voreinstellungen!$E$19*Voreinstellungen!$E$21),"",((AC20&amp;AD20)*Voreinstellungen!$E$19*Voreinstellungen!$E$21))</f>
        <v/>
      </c>
      <c r="AK20" s="633" t="str">
        <f>IF(ISERROR((AE20&amp;AF20)*Voreinstellungen!$E$19*Voreinstellungen!$E$22),"",((AE20&amp;AF20)*Voreinstellungen!$E$19*Voreinstellungen!$E$22))</f>
        <v/>
      </c>
      <c r="AL20" s="556">
        <f t="shared" si="17"/>
        <v>0</v>
      </c>
      <c r="AM20" s="131"/>
      <c r="AN20" s="563">
        <f t="shared" ca="1" si="18"/>
        <v>-2.5781250000000302</v>
      </c>
      <c r="AP20" s="587"/>
      <c r="AQ20" s="625"/>
      <c r="AR20" s="566"/>
      <c r="AS20" s="565"/>
      <c r="AT20" s="345">
        <f t="shared" si="11"/>
        <v>0</v>
      </c>
      <c r="AU20" s="345">
        <f t="shared" si="12"/>
        <v>0</v>
      </c>
    </row>
    <row r="21" spans="1:47" s="19" customFormat="1" ht="12" x14ac:dyDescent="0.2">
      <c r="A21" s="538">
        <f t="shared" si="13"/>
        <v>44212</v>
      </c>
      <c r="B21" s="539">
        <f t="shared" si="0"/>
        <v>44212</v>
      </c>
      <c r="C21" s="540" t="str">
        <f t="shared" si="1"/>
        <v/>
      </c>
      <c r="D21" s="458"/>
      <c r="E21" s="255"/>
      <c r="F21" s="521"/>
      <c r="G21" s="517"/>
      <c r="H21" s="573"/>
      <c r="I21" s="574"/>
      <c r="J21" s="582"/>
      <c r="K21" s="576"/>
      <c r="L21" s="583"/>
      <c r="M21" s="583"/>
      <c r="N21" s="583"/>
      <c r="O21" s="581"/>
      <c r="P21" s="620">
        <f>IF(T21&gt;PauseGTime,PauseGWert,IF(T21&gt;PauseKTime,PauseKWert,IF(T21&lt;=PauseKTime,0,WENN)))</f>
        <v>0</v>
      </c>
      <c r="Q21" s="364"/>
      <c r="R21" s="545">
        <f t="shared" si="19"/>
        <v>0</v>
      </c>
      <c r="S21" s="551">
        <f t="shared" ca="1" si="2"/>
        <v>0.29166666666666669</v>
      </c>
      <c r="T21" s="551">
        <f t="shared" si="20"/>
        <v>0</v>
      </c>
      <c r="U21" s="552">
        <f t="shared" ca="1" si="4"/>
        <v>-0.29166666666667002</v>
      </c>
      <c r="V21" s="553">
        <f t="shared" ca="1" si="5"/>
        <v>0.29166666666666669</v>
      </c>
      <c r="W21" s="554">
        <f>IF(A21="",0,(Y21))*Voreinstellungen!$E$23</f>
        <v>0</v>
      </c>
      <c r="X21" s="554">
        <f t="shared" si="14"/>
        <v>0</v>
      </c>
      <c r="Y21" s="728"/>
      <c r="Z21" s="555">
        <f>((W21+X21)*Voreinstellungen!$C$45)</f>
        <v>0</v>
      </c>
      <c r="AA21" s="555">
        <f>((R21)*Voreinstellungen!$C$45)</f>
        <v>0</v>
      </c>
      <c r="AB21" s="612">
        <f t="shared" si="7"/>
        <v>0</v>
      </c>
      <c r="AC21" s="612" t="str">
        <f t="shared" si="15"/>
        <v/>
      </c>
      <c r="AD21" s="612" t="str">
        <f t="shared" si="8"/>
        <v/>
      </c>
      <c r="AE21" s="612" t="str">
        <f t="shared" si="16"/>
        <v/>
      </c>
      <c r="AF21" s="612" t="str">
        <f t="shared" si="9"/>
        <v/>
      </c>
      <c r="AG21" s="555">
        <f t="shared" si="10"/>
        <v>0</v>
      </c>
      <c r="AH21" s="633">
        <f>(AG21)*Voreinstellungen!$E$19</f>
        <v>0</v>
      </c>
      <c r="AI21" s="633">
        <f>IF(ISERROR(AB21*Voreinstellungen!$E$19*Voreinstellungen!$E$20),"",(AB21*Voreinstellungen!$E$19*Voreinstellungen!$E$20))</f>
        <v>0</v>
      </c>
      <c r="AJ21" s="633" t="str">
        <f>IF(ISERROR((AC21&amp;AD21)*Voreinstellungen!$E$19*Voreinstellungen!$E$21),"",((AC21&amp;AD21)*Voreinstellungen!$E$19*Voreinstellungen!$E$21))</f>
        <v/>
      </c>
      <c r="AK21" s="633" t="str">
        <f>IF(ISERROR((AE21&amp;AF21)*Voreinstellungen!$E$19*Voreinstellungen!$E$22),"",((AE21&amp;AF21)*Voreinstellungen!$E$19*Voreinstellungen!$E$22))</f>
        <v/>
      </c>
      <c r="AL21" s="556">
        <f t="shared" si="17"/>
        <v>0</v>
      </c>
      <c r="AM21" s="131"/>
      <c r="AN21" s="563">
        <f t="shared" ca="1" si="18"/>
        <v>-2.8697916666666998</v>
      </c>
      <c r="AP21" s="587"/>
      <c r="AQ21" s="625"/>
      <c r="AR21" s="566"/>
      <c r="AS21" s="565"/>
      <c r="AT21" s="345">
        <f t="shared" si="11"/>
        <v>0</v>
      </c>
      <c r="AU21" s="345">
        <f t="shared" si="12"/>
        <v>0</v>
      </c>
    </row>
    <row r="22" spans="1:47" s="19" customFormat="1" ht="12" x14ac:dyDescent="0.2">
      <c r="A22" s="538">
        <f t="shared" si="13"/>
        <v>44213</v>
      </c>
      <c r="B22" s="539">
        <f t="shared" si="0"/>
        <v>44213</v>
      </c>
      <c r="C22" s="540" t="str">
        <f t="shared" si="1"/>
        <v/>
      </c>
      <c r="D22" s="458"/>
      <c r="E22" s="255"/>
      <c r="F22" s="521"/>
      <c r="G22" s="517"/>
      <c r="H22" s="573"/>
      <c r="I22" s="574"/>
      <c r="J22" s="582"/>
      <c r="K22" s="576"/>
      <c r="L22" s="583"/>
      <c r="M22" s="583"/>
      <c r="N22" s="583"/>
      <c r="O22" s="581"/>
      <c r="P22" s="620">
        <f>IF(T22&gt;PauseGTime,PauseGWert,IF(T22&gt;PauseKTime,PauseKWert,IF(T22&lt;=PauseKTime,0,WENN)))</f>
        <v>0</v>
      </c>
      <c r="Q22" s="364"/>
      <c r="R22" s="545">
        <f t="shared" si="19"/>
        <v>0</v>
      </c>
      <c r="S22" s="551">
        <f t="shared" ca="1" si="2"/>
        <v>0</v>
      </c>
      <c r="T22" s="551">
        <f t="shared" si="20"/>
        <v>0</v>
      </c>
      <c r="U22" s="552">
        <f t="shared" ca="1" si="4"/>
        <v>0</v>
      </c>
      <c r="V22" s="553">
        <f t="shared" ca="1" si="5"/>
        <v>0</v>
      </c>
      <c r="W22" s="554">
        <f>IF(A22="",0,(Y22))*Voreinstellungen!$E$23</f>
        <v>0</v>
      </c>
      <c r="X22" s="554">
        <f t="shared" si="14"/>
        <v>0</v>
      </c>
      <c r="Y22" s="728"/>
      <c r="Z22" s="555">
        <f>((W22+X22)*Voreinstellungen!$C$45)</f>
        <v>0</v>
      </c>
      <c r="AA22" s="555">
        <f>((R22)*Voreinstellungen!$C$45)</f>
        <v>0</v>
      </c>
      <c r="AB22" s="612">
        <f t="shared" si="7"/>
        <v>0</v>
      </c>
      <c r="AC22" s="612" t="str">
        <f t="shared" si="15"/>
        <v/>
      </c>
      <c r="AD22" s="612" t="str">
        <f t="shared" si="8"/>
        <v/>
      </c>
      <c r="AE22" s="612" t="str">
        <f t="shared" si="16"/>
        <v/>
      </c>
      <c r="AF22" s="612" t="str">
        <f t="shared" si="9"/>
        <v/>
      </c>
      <c r="AG22" s="555">
        <f t="shared" si="10"/>
        <v>0</v>
      </c>
      <c r="AH22" s="633">
        <f>(AG22)*Voreinstellungen!$E$19</f>
        <v>0</v>
      </c>
      <c r="AI22" s="633">
        <f>IF(ISERROR(AB22*Voreinstellungen!$E$19*Voreinstellungen!$E$20),"",(AB22*Voreinstellungen!$E$19*Voreinstellungen!$E$20))</f>
        <v>0</v>
      </c>
      <c r="AJ22" s="633" t="str">
        <f>IF(ISERROR((AC22&amp;AD22)*Voreinstellungen!$E$19*Voreinstellungen!$E$21),"",((AC22&amp;AD22)*Voreinstellungen!$E$19*Voreinstellungen!$E$21))</f>
        <v/>
      </c>
      <c r="AK22" s="633" t="str">
        <f>IF(ISERROR((AE22&amp;AF22)*Voreinstellungen!$E$19*Voreinstellungen!$E$22),"",((AE22&amp;AF22)*Voreinstellungen!$E$19*Voreinstellungen!$E$22))</f>
        <v/>
      </c>
      <c r="AL22" s="556">
        <f t="shared" si="17"/>
        <v>0</v>
      </c>
      <c r="AM22" s="131"/>
      <c r="AN22" s="563">
        <f t="shared" ca="1" si="18"/>
        <v>-2.8697916666666998</v>
      </c>
      <c r="AP22" s="587"/>
      <c r="AQ22" s="625"/>
      <c r="AR22" s="566"/>
      <c r="AS22" s="565"/>
      <c r="AT22" s="345">
        <f t="shared" si="11"/>
        <v>0</v>
      </c>
      <c r="AU22" s="345">
        <f t="shared" si="12"/>
        <v>0</v>
      </c>
    </row>
    <row r="23" spans="1:47" s="19" customFormat="1" ht="12" x14ac:dyDescent="0.2">
      <c r="A23" s="538">
        <f t="shared" si="13"/>
        <v>44214</v>
      </c>
      <c r="B23" s="539">
        <f t="shared" si="0"/>
        <v>44214</v>
      </c>
      <c r="C23" s="540" t="str">
        <f t="shared" si="1"/>
        <v/>
      </c>
      <c r="D23" s="458"/>
      <c r="E23" s="255"/>
      <c r="F23" s="521"/>
      <c r="G23" s="517"/>
      <c r="H23" s="573"/>
      <c r="I23" s="574"/>
      <c r="J23" s="582"/>
      <c r="K23" s="576"/>
      <c r="L23" s="583"/>
      <c r="M23" s="583"/>
      <c r="N23" s="583"/>
      <c r="O23" s="581"/>
      <c r="P23" s="620">
        <f>IF(T23&gt;PauseGTime,PauseGWert,IF(T23&gt;PauseKTime,PauseKWert,IF(T23&lt;=PauseKTime,0,WENN)))</f>
        <v>0</v>
      </c>
      <c r="Q23" s="364"/>
      <c r="R23" s="545">
        <f t="shared" si="19"/>
        <v>0</v>
      </c>
      <c r="S23" s="551">
        <f t="shared" ca="1" si="2"/>
        <v>0</v>
      </c>
      <c r="T23" s="551">
        <f t="shared" si="20"/>
        <v>0</v>
      </c>
      <c r="U23" s="552">
        <f t="shared" ca="1" si="4"/>
        <v>0</v>
      </c>
      <c r="V23" s="553">
        <f t="shared" ca="1" si="5"/>
        <v>0</v>
      </c>
      <c r="W23" s="554">
        <f>IF(A23="",0,(Y23))*Voreinstellungen!$E$23</f>
        <v>0</v>
      </c>
      <c r="X23" s="554">
        <f t="shared" si="14"/>
        <v>0</v>
      </c>
      <c r="Y23" s="728"/>
      <c r="Z23" s="555">
        <f>((W23+X23)*Voreinstellungen!$C$45)</f>
        <v>0</v>
      </c>
      <c r="AA23" s="555">
        <f>((R23)*Voreinstellungen!$C$45)</f>
        <v>0</v>
      </c>
      <c r="AB23" s="612" t="str">
        <f t="shared" si="7"/>
        <v/>
      </c>
      <c r="AC23" s="612">
        <f t="shared" si="15"/>
        <v>0</v>
      </c>
      <c r="AD23" s="612" t="str">
        <f t="shared" si="8"/>
        <v/>
      </c>
      <c r="AE23" s="612">
        <f t="shared" si="16"/>
        <v>0</v>
      </c>
      <c r="AF23" s="612" t="str">
        <f t="shared" si="9"/>
        <v/>
      </c>
      <c r="AG23" s="555">
        <f t="shared" si="10"/>
        <v>0</v>
      </c>
      <c r="AH23" s="633">
        <f>(AG23)*Voreinstellungen!$E$19</f>
        <v>0</v>
      </c>
      <c r="AI23" s="633" t="str">
        <f>IF(ISERROR(AB23*Voreinstellungen!$E$19*Voreinstellungen!$E$20),"",(AB23*Voreinstellungen!$E$19*Voreinstellungen!$E$20))</f>
        <v/>
      </c>
      <c r="AJ23" s="633">
        <f>IF(ISERROR((AC23&amp;AD23)*Voreinstellungen!$E$19*Voreinstellungen!$E$21),"",((AC23&amp;AD23)*Voreinstellungen!$E$19*Voreinstellungen!$E$21))</f>
        <v>0</v>
      </c>
      <c r="AK23" s="633">
        <f>IF(ISERROR((AE23&amp;AF23)*Voreinstellungen!$E$19*Voreinstellungen!$E$22),"",((AE23&amp;AF23)*Voreinstellungen!$E$19*Voreinstellungen!$E$22))</f>
        <v>0</v>
      </c>
      <c r="AL23" s="556">
        <f t="shared" si="17"/>
        <v>0</v>
      </c>
      <c r="AM23" s="131"/>
      <c r="AN23" s="563">
        <f t="shared" ca="1" si="18"/>
        <v>-2.8697916666666998</v>
      </c>
      <c r="AP23" s="587"/>
      <c r="AQ23" s="625"/>
      <c r="AR23" s="566"/>
      <c r="AS23" s="565"/>
      <c r="AT23" s="345">
        <f t="shared" si="11"/>
        <v>0</v>
      </c>
      <c r="AU23" s="345">
        <f t="shared" si="12"/>
        <v>0</v>
      </c>
    </row>
    <row r="24" spans="1:47" s="19" customFormat="1" ht="12" x14ac:dyDescent="0.2">
      <c r="A24" s="538">
        <f t="shared" si="13"/>
        <v>44215</v>
      </c>
      <c r="B24" s="539">
        <f t="shared" si="0"/>
        <v>44215</v>
      </c>
      <c r="C24" s="540" t="str">
        <f t="shared" si="1"/>
        <v/>
      </c>
      <c r="D24" s="458"/>
      <c r="E24" s="255"/>
      <c r="F24" s="521"/>
      <c r="G24" s="517"/>
      <c r="H24" s="573"/>
      <c r="I24" s="574"/>
      <c r="J24" s="582"/>
      <c r="K24" s="576"/>
      <c r="L24" s="583"/>
      <c r="M24" s="583"/>
      <c r="N24" s="583"/>
      <c r="O24" s="583"/>
      <c r="P24" s="620">
        <f>IF(T24&gt;PauseGTime,PauseGWert,IF(T24&gt;PauseKTime,PauseKWert,IF(T24&lt;=PauseKTime,0,WENN)))</f>
        <v>0</v>
      </c>
      <c r="Q24" s="364"/>
      <c r="R24" s="545">
        <f t="shared" si="19"/>
        <v>0</v>
      </c>
      <c r="S24" s="551">
        <f t="shared" ca="1" si="2"/>
        <v>0.29166666666666669</v>
      </c>
      <c r="T24" s="551">
        <f t="shared" si="20"/>
        <v>0</v>
      </c>
      <c r="U24" s="552">
        <f t="shared" ca="1" si="4"/>
        <v>-0.29166666666667002</v>
      </c>
      <c r="V24" s="553">
        <f t="shared" ca="1" si="5"/>
        <v>0.29166666666666669</v>
      </c>
      <c r="W24" s="554">
        <f>IF(A24="",0,(Y24))*Voreinstellungen!$E$23</f>
        <v>0</v>
      </c>
      <c r="X24" s="554">
        <f t="shared" si="14"/>
        <v>0</v>
      </c>
      <c r="Y24" s="728"/>
      <c r="Z24" s="555">
        <f>((W24+X24)*Voreinstellungen!$C$45)</f>
        <v>0</v>
      </c>
      <c r="AA24" s="555">
        <f>((R24)*Voreinstellungen!$C$45)</f>
        <v>0</v>
      </c>
      <c r="AB24" s="612">
        <f t="shared" si="7"/>
        <v>0</v>
      </c>
      <c r="AC24" s="612" t="str">
        <f t="shared" si="15"/>
        <v/>
      </c>
      <c r="AD24" s="612" t="str">
        <f t="shared" si="8"/>
        <v/>
      </c>
      <c r="AE24" s="612" t="str">
        <f t="shared" si="16"/>
        <v/>
      </c>
      <c r="AF24" s="612" t="str">
        <f t="shared" si="9"/>
        <v/>
      </c>
      <c r="AG24" s="555">
        <f t="shared" si="10"/>
        <v>0</v>
      </c>
      <c r="AH24" s="633">
        <f>(AG24)*Voreinstellungen!$E$19</f>
        <v>0</v>
      </c>
      <c r="AI24" s="633">
        <f>IF(ISERROR(AB24*Voreinstellungen!$E$19*Voreinstellungen!$E$20),"",(AB24*Voreinstellungen!$E$19*Voreinstellungen!$E$20))</f>
        <v>0</v>
      </c>
      <c r="AJ24" s="633" t="str">
        <f>IF(ISERROR((AC24&amp;AD24)*Voreinstellungen!$E$19*Voreinstellungen!$E$21),"",((AC24&amp;AD24)*Voreinstellungen!$E$19*Voreinstellungen!$E$21))</f>
        <v/>
      </c>
      <c r="AK24" s="633" t="str">
        <f>IF(ISERROR((AE24&amp;AF24)*Voreinstellungen!$E$19*Voreinstellungen!$E$22),"",((AE24&amp;AF24)*Voreinstellungen!$E$19*Voreinstellungen!$E$22))</f>
        <v/>
      </c>
      <c r="AL24" s="556">
        <f t="shared" si="17"/>
        <v>0</v>
      </c>
      <c r="AM24" s="131"/>
      <c r="AN24" s="563">
        <f t="shared" ca="1" si="18"/>
        <v>-3.1614583333333699</v>
      </c>
      <c r="AP24" s="622" t="s">
        <v>216</v>
      </c>
      <c r="AQ24" s="740"/>
      <c r="AR24" s="566"/>
      <c r="AS24" s="565"/>
      <c r="AT24" s="345">
        <f t="shared" si="11"/>
        <v>0</v>
      </c>
      <c r="AU24" s="345">
        <f t="shared" si="12"/>
        <v>0</v>
      </c>
    </row>
    <row r="25" spans="1:47" s="19" customFormat="1" ht="12" x14ac:dyDescent="0.2">
      <c r="A25" s="538">
        <f t="shared" si="13"/>
        <v>44216</v>
      </c>
      <c r="B25" s="539">
        <f t="shared" si="0"/>
        <v>44216</v>
      </c>
      <c r="C25" s="540" t="str">
        <f t="shared" si="1"/>
        <v/>
      </c>
      <c r="D25" s="458"/>
      <c r="E25" s="255"/>
      <c r="F25" s="521"/>
      <c r="G25" s="517"/>
      <c r="H25" s="573"/>
      <c r="I25" s="574"/>
      <c r="J25" s="582"/>
      <c r="K25" s="576"/>
      <c r="L25" s="583"/>
      <c r="M25" s="583"/>
      <c r="N25" s="583"/>
      <c r="O25" s="583"/>
      <c r="P25" s="620">
        <f>IF(T25&gt;PauseGTime,PauseGWert,IF(T25&gt;PauseKTime,PauseKWert,IF(T25&lt;=PauseKTime,0,WENN)))</f>
        <v>0</v>
      </c>
      <c r="Q25" s="364"/>
      <c r="R25" s="545">
        <f t="shared" si="19"/>
        <v>0</v>
      </c>
      <c r="S25" s="551">
        <f t="shared" ca="1" si="2"/>
        <v>0.29166666666666669</v>
      </c>
      <c r="T25" s="551">
        <f t="shared" si="20"/>
        <v>0</v>
      </c>
      <c r="U25" s="552">
        <f t="shared" ca="1" si="4"/>
        <v>-0.29166666666667002</v>
      </c>
      <c r="V25" s="553">
        <f t="shared" ca="1" si="5"/>
        <v>0.29166666666666669</v>
      </c>
      <c r="W25" s="554">
        <f>IF(A25="",0,(Y25))*Voreinstellungen!$E$23</f>
        <v>0</v>
      </c>
      <c r="X25" s="554">
        <f t="shared" si="14"/>
        <v>0</v>
      </c>
      <c r="Y25" s="728"/>
      <c r="Z25" s="555">
        <f>((W25+X25)*Voreinstellungen!$C$45)</f>
        <v>0</v>
      </c>
      <c r="AA25" s="555">
        <f>((R25)*Voreinstellungen!$C$45)</f>
        <v>0</v>
      </c>
      <c r="AB25" s="612">
        <f t="shared" si="7"/>
        <v>0</v>
      </c>
      <c r="AC25" s="612" t="str">
        <f t="shared" si="15"/>
        <v/>
      </c>
      <c r="AD25" s="612" t="str">
        <f t="shared" si="8"/>
        <v/>
      </c>
      <c r="AE25" s="612" t="str">
        <f t="shared" si="16"/>
        <v/>
      </c>
      <c r="AF25" s="612" t="str">
        <f t="shared" si="9"/>
        <v/>
      </c>
      <c r="AG25" s="555">
        <f t="shared" si="10"/>
        <v>0</v>
      </c>
      <c r="AH25" s="633">
        <f>(AG25)*Voreinstellungen!$E$19</f>
        <v>0</v>
      </c>
      <c r="AI25" s="633">
        <f>IF(ISERROR(AB25*Voreinstellungen!$E$19*Voreinstellungen!$E$20),"",(AB25*Voreinstellungen!$E$19*Voreinstellungen!$E$20))</f>
        <v>0</v>
      </c>
      <c r="AJ25" s="633" t="str">
        <f>IF(ISERROR((AC25&amp;AD25)*Voreinstellungen!$E$19*Voreinstellungen!$E$21),"",((AC25&amp;AD25)*Voreinstellungen!$E$19*Voreinstellungen!$E$21))</f>
        <v/>
      </c>
      <c r="AK25" s="633" t="str">
        <f>IF(ISERROR((AE25&amp;AF25)*Voreinstellungen!$E$19*Voreinstellungen!$E$22),"",((AE25&amp;AF25)*Voreinstellungen!$E$19*Voreinstellungen!$E$22))</f>
        <v/>
      </c>
      <c r="AL25" s="556">
        <f t="shared" si="17"/>
        <v>0</v>
      </c>
      <c r="AM25" s="131"/>
      <c r="AN25" s="563">
        <f t="shared" ca="1" si="18"/>
        <v>-3.45312500000004</v>
      </c>
      <c r="AP25" s="622" t="s">
        <v>217</v>
      </c>
      <c r="AQ25" s="740"/>
      <c r="AR25" s="566"/>
      <c r="AS25" s="565"/>
      <c r="AT25" s="345">
        <f t="shared" si="11"/>
        <v>0</v>
      </c>
      <c r="AU25" s="345">
        <f t="shared" si="12"/>
        <v>0</v>
      </c>
    </row>
    <row r="26" spans="1:47" s="19" customFormat="1" ht="12" x14ac:dyDescent="0.2">
      <c r="A26" s="538">
        <f t="shared" si="13"/>
        <v>44217</v>
      </c>
      <c r="B26" s="539">
        <f t="shared" si="0"/>
        <v>44217</v>
      </c>
      <c r="C26" s="540" t="str">
        <f t="shared" si="1"/>
        <v/>
      </c>
      <c r="D26" s="458"/>
      <c r="E26" s="255"/>
      <c r="F26" s="521"/>
      <c r="G26" s="517"/>
      <c r="H26" s="573"/>
      <c r="I26" s="574"/>
      <c r="J26" s="582"/>
      <c r="K26" s="576"/>
      <c r="L26" s="583"/>
      <c r="M26" s="583"/>
      <c r="N26" s="583"/>
      <c r="O26" s="581"/>
      <c r="P26" s="620">
        <f>IF(T26&gt;PauseGTime,PauseGWert,IF(T26&gt;PauseKTime,PauseKWert,IF(T26&lt;=PauseKTime,0,WENN)))</f>
        <v>0</v>
      </c>
      <c r="Q26" s="364"/>
      <c r="R26" s="545">
        <f t="shared" si="19"/>
        <v>0</v>
      </c>
      <c r="S26" s="551">
        <f t="shared" ca="1" si="2"/>
        <v>0.29166666666666669</v>
      </c>
      <c r="T26" s="551">
        <f t="shared" si="20"/>
        <v>0</v>
      </c>
      <c r="U26" s="552">
        <f t="shared" ca="1" si="4"/>
        <v>-0.29166666666667002</v>
      </c>
      <c r="V26" s="553">
        <f t="shared" ca="1" si="5"/>
        <v>0.29166666666666669</v>
      </c>
      <c r="W26" s="554">
        <f>IF(A26="",0,(Y26))*Voreinstellungen!$E$23</f>
        <v>0</v>
      </c>
      <c r="X26" s="554">
        <f t="shared" si="14"/>
        <v>0</v>
      </c>
      <c r="Y26" s="728"/>
      <c r="Z26" s="555">
        <f>((W26+X26)*Voreinstellungen!$C$45)</f>
        <v>0</v>
      </c>
      <c r="AA26" s="555">
        <f>((R26)*Voreinstellungen!$C$45)</f>
        <v>0</v>
      </c>
      <c r="AB26" s="612">
        <f t="shared" si="7"/>
        <v>0</v>
      </c>
      <c r="AC26" s="612" t="str">
        <f t="shared" si="15"/>
        <v/>
      </c>
      <c r="AD26" s="612" t="str">
        <f t="shared" si="8"/>
        <v/>
      </c>
      <c r="AE26" s="612" t="str">
        <f t="shared" si="16"/>
        <v/>
      </c>
      <c r="AF26" s="612" t="str">
        <f t="shared" si="9"/>
        <v/>
      </c>
      <c r="AG26" s="555">
        <f t="shared" si="10"/>
        <v>0</v>
      </c>
      <c r="AH26" s="633">
        <f>(AG26)*Voreinstellungen!$E$19</f>
        <v>0</v>
      </c>
      <c r="AI26" s="633">
        <f>IF(ISERROR(AB26*Voreinstellungen!$E$19*Voreinstellungen!$E$20),"",(AB26*Voreinstellungen!$E$19*Voreinstellungen!$E$20))</f>
        <v>0</v>
      </c>
      <c r="AJ26" s="633" t="str">
        <f>IF(ISERROR((AC26&amp;AD26)*Voreinstellungen!$E$19*Voreinstellungen!$E$21),"",((AC26&amp;AD26)*Voreinstellungen!$E$19*Voreinstellungen!$E$21))</f>
        <v/>
      </c>
      <c r="AK26" s="633" t="str">
        <f>IF(ISERROR((AE26&amp;AF26)*Voreinstellungen!$E$19*Voreinstellungen!$E$22),"",((AE26&amp;AF26)*Voreinstellungen!$E$19*Voreinstellungen!$E$22))</f>
        <v/>
      </c>
      <c r="AL26" s="556">
        <f t="shared" si="17"/>
        <v>0</v>
      </c>
      <c r="AM26" s="131"/>
      <c r="AN26" s="563">
        <f t="shared" ca="1" si="18"/>
        <v>-3.74479166666671</v>
      </c>
      <c r="AP26" s="622" t="s">
        <v>218</v>
      </c>
      <c r="AQ26" s="740"/>
      <c r="AR26" s="566"/>
      <c r="AS26" s="565"/>
      <c r="AT26" s="345">
        <f t="shared" si="11"/>
        <v>0</v>
      </c>
      <c r="AU26" s="345">
        <f t="shared" si="12"/>
        <v>0</v>
      </c>
    </row>
    <row r="27" spans="1:47" s="19" customFormat="1" ht="12" x14ac:dyDescent="0.2">
      <c r="A27" s="538">
        <f t="shared" si="13"/>
        <v>44218</v>
      </c>
      <c r="B27" s="539">
        <f t="shared" si="0"/>
        <v>44218</v>
      </c>
      <c r="C27" s="540" t="str">
        <f t="shared" si="1"/>
        <v/>
      </c>
      <c r="D27" s="458"/>
      <c r="E27" s="255"/>
      <c r="F27" s="521"/>
      <c r="G27" s="517"/>
      <c r="H27" s="573"/>
      <c r="I27" s="574"/>
      <c r="J27" s="582"/>
      <c r="K27" s="576"/>
      <c r="L27" s="583"/>
      <c r="M27" s="583"/>
      <c r="N27" s="583"/>
      <c r="O27" s="581"/>
      <c r="P27" s="620">
        <f>IF(T27&gt;PauseGTime,PauseGWert,IF(T27&gt;PauseKTime,PauseKWert,IF(T27&lt;=PauseKTime,0,WENN)))</f>
        <v>0</v>
      </c>
      <c r="Q27" s="364"/>
      <c r="R27" s="545">
        <f t="shared" si="19"/>
        <v>0</v>
      </c>
      <c r="S27" s="551">
        <f t="shared" ca="1" si="2"/>
        <v>0.29166666666666669</v>
      </c>
      <c r="T27" s="551">
        <f t="shared" si="20"/>
        <v>0</v>
      </c>
      <c r="U27" s="552">
        <f t="shared" ca="1" si="4"/>
        <v>-0.29166666666667002</v>
      </c>
      <c r="V27" s="553">
        <f t="shared" ca="1" si="5"/>
        <v>0.29166666666666669</v>
      </c>
      <c r="W27" s="554">
        <f>IF(A27="",0,(Y27))*Voreinstellungen!$E$23</f>
        <v>0</v>
      </c>
      <c r="X27" s="554">
        <f t="shared" si="14"/>
        <v>0</v>
      </c>
      <c r="Y27" s="728"/>
      <c r="Z27" s="555">
        <f>((W27+X27)*Voreinstellungen!$C$45)</f>
        <v>0</v>
      </c>
      <c r="AA27" s="555">
        <f>((R27)*Voreinstellungen!$C$45)</f>
        <v>0</v>
      </c>
      <c r="AB27" s="612">
        <f t="shared" si="7"/>
        <v>0</v>
      </c>
      <c r="AC27" s="612" t="str">
        <f t="shared" si="15"/>
        <v/>
      </c>
      <c r="AD27" s="612" t="str">
        <f t="shared" si="8"/>
        <v/>
      </c>
      <c r="AE27" s="612" t="str">
        <f t="shared" si="16"/>
        <v/>
      </c>
      <c r="AF27" s="612" t="str">
        <f t="shared" si="9"/>
        <v/>
      </c>
      <c r="AG27" s="555">
        <f t="shared" si="10"/>
        <v>0</v>
      </c>
      <c r="AH27" s="633">
        <f>(AG27)*Voreinstellungen!$E$19</f>
        <v>0</v>
      </c>
      <c r="AI27" s="633">
        <f>IF(ISERROR(AB27*Voreinstellungen!$E$19*Voreinstellungen!$E$20),"",(AB27*Voreinstellungen!$E$19*Voreinstellungen!$E$20))</f>
        <v>0</v>
      </c>
      <c r="AJ27" s="633" t="str">
        <f>IF(ISERROR((AC27&amp;AD27)*Voreinstellungen!$E$19*Voreinstellungen!$E$21),"",((AC27&amp;AD27)*Voreinstellungen!$E$19*Voreinstellungen!$E$21))</f>
        <v/>
      </c>
      <c r="AK27" s="633" t="str">
        <f>IF(ISERROR((AE27&amp;AF27)*Voreinstellungen!$E$19*Voreinstellungen!$E$22),"",((AE27&amp;AF27)*Voreinstellungen!$E$19*Voreinstellungen!$E$22))</f>
        <v/>
      </c>
      <c r="AL27" s="556">
        <f t="shared" si="17"/>
        <v>0</v>
      </c>
      <c r="AM27" s="131"/>
      <c r="AN27" s="563">
        <f t="shared" ca="1" si="18"/>
        <v>-4.0364583333333801</v>
      </c>
      <c r="AP27" s="622" t="s">
        <v>219</v>
      </c>
      <c r="AQ27" s="740"/>
      <c r="AR27" s="566"/>
      <c r="AS27" s="565"/>
      <c r="AT27" s="345">
        <f t="shared" si="11"/>
        <v>0</v>
      </c>
      <c r="AU27" s="345">
        <f t="shared" si="12"/>
        <v>0</v>
      </c>
    </row>
    <row r="28" spans="1:47" s="19" customFormat="1" ht="12" x14ac:dyDescent="0.2">
      <c r="A28" s="538">
        <f t="shared" si="13"/>
        <v>44219</v>
      </c>
      <c r="B28" s="539">
        <f t="shared" si="0"/>
        <v>44219</v>
      </c>
      <c r="C28" s="540" t="str">
        <f t="shared" si="1"/>
        <v/>
      </c>
      <c r="D28" s="458"/>
      <c r="E28" s="255"/>
      <c r="F28" s="521"/>
      <c r="G28" s="517"/>
      <c r="H28" s="573"/>
      <c r="I28" s="574"/>
      <c r="J28" s="582"/>
      <c r="K28" s="576"/>
      <c r="L28" s="583"/>
      <c r="M28" s="583"/>
      <c r="N28" s="583"/>
      <c r="O28" s="581"/>
      <c r="P28" s="620">
        <f>IF(T28&gt;PauseGTime,PauseGWert,IF(T28&gt;PauseKTime,PauseKWert,IF(T28&lt;=PauseKTime,0,WENN)))</f>
        <v>0</v>
      </c>
      <c r="Q28" s="364"/>
      <c r="R28" s="545">
        <f t="shared" si="19"/>
        <v>0</v>
      </c>
      <c r="S28" s="551">
        <f t="shared" ca="1" si="2"/>
        <v>0.29166666666666669</v>
      </c>
      <c r="T28" s="551">
        <f t="shared" si="20"/>
        <v>0</v>
      </c>
      <c r="U28" s="552">
        <f t="shared" ca="1" si="4"/>
        <v>-0.29166666666667002</v>
      </c>
      <c r="V28" s="553">
        <f t="shared" ca="1" si="5"/>
        <v>0.29166666666666669</v>
      </c>
      <c r="W28" s="554">
        <f>IF(A28="",0,(Y28))*Voreinstellungen!$E$23</f>
        <v>0</v>
      </c>
      <c r="X28" s="554">
        <f t="shared" si="14"/>
        <v>0</v>
      </c>
      <c r="Y28" s="728"/>
      <c r="Z28" s="555">
        <f>((W28+X28)*Voreinstellungen!$C$45)</f>
        <v>0</v>
      </c>
      <c r="AA28" s="555">
        <f>((R28)*Voreinstellungen!$C$45)</f>
        <v>0</v>
      </c>
      <c r="AB28" s="612">
        <f t="shared" si="7"/>
        <v>0</v>
      </c>
      <c r="AC28" s="612" t="str">
        <f t="shared" si="15"/>
        <v/>
      </c>
      <c r="AD28" s="612" t="str">
        <f t="shared" si="8"/>
        <v/>
      </c>
      <c r="AE28" s="612" t="str">
        <f t="shared" si="16"/>
        <v/>
      </c>
      <c r="AF28" s="612" t="str">
        <f t="shared" si="9"/>
        <v/>
      </c>
      <c r="AG28" s="555">
        <f t="shared" si="10"/>
        <v>0</v>
      </c>
      <c r="AH28" s="633">
        <f>(AG28)*Voreinstellungen!$E$19</f>
        <v>0</v>
      </c>
      <c r="AI28" s="633">
        <f>IF(ISERROR(AB28*Voreinstellungen!$E$19*Voreinstellungen!$E$20),"",(AB28*Voreinstellungen!$E$19*Voreinstellungen!$E$20))</f>
        <v>0</v>
      </c>
      <c r="AJ28" s="633" t="str">
        <f>IF(ISERROR((AC28&amp;AD28)*Voreinstellungen!$E$19*Voreinstellungen!$E$21),"",((AC28&amp;AD28)*Voreinstellungen!$E$19*Voreinstellungen!$E$21))</f>
        <v/>
      </c>
      <c r="AK28" s="633" t="str">
        <f>IF(ISERROR((AE28&amp;AF28)*Voreinstellungen!$E$19*Voreinstellungen!$E$22),"",((AE28&amp;AF28)*Voreinstellungen!$E$19*Voreinstellungen!$E$22))</f>
        <v/>
      </c>
      <c r="AL28" s="556">
        <f t="shared" si="17"/>
        <v>0</v>
      </c>
      <c r="AM28" s="131"/>
      <c r="AN28" s="563">
        <f t="shared" ca="1" si="18"/>
        <v>-4.3281250000000497</v>
      </c>
      <c r="AP28" s="622" t="s">
        <v>213</v>
      </c>
      <c r="AQ28" s="740"/>
      <c r="AR28" s="566"/>
      <c r="AS28" s="565"/>
      <c r="AT28" s="345">
        <f t="shared" si="11"/>
        <v>0</v>
      </c>
      <c r="AU28" s="345">
        <f t="shared" si="12"/>
        <v>0</v>
      </c>
    </row>
    <row r="29" spans="1:47" s="19" customFormat="1" ht="12" x14ac:dyDescent="0.2">
      <c r="A29" s="538">
        <f t="shared" si="13"/>
        <v>44220</v>
      </c>
      <c r="B29" s="539">
        <f t="shared" si="0"/>
        <v>44220</v>
      </c>
      <c r="C29" s="540" t="str">
        <f t="shared" si="1"/>
        <v/>
      </c>
      <c r="D29" s="458"/>
      <c r="E29" s="255"/>
      <c r="F29" s="521"/>
      <c r="G29" s="517"/>
      <c r="H29" s="573"/>
      <c r="I29" s="574"/>
      <c r="J29" s="582"/>
      <c r="K29" s="576"/>
      <c r="L29" s="583"/>
      <c r="M29" s="583"/>
      <c r="N29" s="583"/>
      <c r="O29" s="581"/>
      <c r="P29" s="620">
        <f>IF(T29&gt;PauseGTime,PauseGWert,IF(T29&gt;PauseKTime,PauseKWert,IF(T29&lt;=PauseKTime,0,WENN)))</f>
        <v>0</v>
      </c>
      <c r="Q29" s="364"/>
      <c r="R29" s="545">
        <f t="shared" si="19"/>
        <v>0</v>
      </c>
      <c r="S29" s="551">
        <f t="shared" ca="1" si="2"/>
        <v>0</v>
      </c>
      <c r="T29" s="551">
        <f t="shared" si="20"/>
        <v>0</v>
      </c>
      <c r="U29" s="552">
        <f t="shared" ca="1" si="4"/>
        <v>0</v>
      </c>
      <c r="V29" s="553">
        <f t="shared" ca="1" si="5"/>
        <v>0</v>
      </c>
      <c r="W29" s="554">
        <f>IF(A29="",0,(Y29))*Voreinstellungen!$E$23</f>
        <v>0</v>
      </c>
      <c r="X29" s="554">
        <f t="shared" si="14"/>
        <v>0</v>
      </c>
      <c r="Y29" s="728"/>
      <c r="Z29" s="555">
        <f>((W29+X29)*Voreinstellungen!$C$45)</f>
        <v>0</v>
      </c>
      <c r="AA29" s="555">
        <f>((R29)*Voreinstellungen!$C$45)</f>
        <v>0</v>
      </c>
      <c r="AB29" s="612">
        <f t="shared" si="7"/>
        <v>0</v>
      </c>
      <c r="AC29" s="612" t="str">
        <f t="shared" si="15"/>
        <v/>
      </c>
      <c r="AD29" s="612" t="str">
        <f t="shared" si="8"/>
        <v/>
      </c>
      <c r="AE29" s="612" t="str">
        <f t="shared" si="16"/>
        <v/>
      </c>
      <c r="AF29" s="612" t="str">
        <f t="shared" si="9"/>
        <v/>
      </c>
      <c r="AG29" s="555">
        <f t="shared" si="10"/>
        <v>0</v>
      </c>
      <c r="AH29" s="633">
        <f>(AG29)*Voreinstellungen!$E$19</f>
        <v>0</v>
      </c>
      <c r="AI29" s="633">
        <f>IF(ISERROR(AB29*Voreinstellungen!$E$19*Voreinstellungen!$E$20),"",(AB29*Voreinstellungen!$E$19*Voreinstellungen!$E$20))</f>
        <v>0</v>
      </c>
      <c r="AJ29" s="633" t="str">
        <f>IF(ISERROR((AC29&amp;AD29)*Voreinstellungen!$E$19*Voreinstellungen!$E$21),"",((AC29&amp;AD29)*Voreinstellungen!$E$19*Voreinstellungen!$E$21))</f>
        <v/>
      </c>
      <c r="AK29" s="633" t="str">
        <f>IF(ISERROR((AE29&amp;AF29)*Voreinstellungen!$E$19*Voreinstellungen!$E$22),"",((AE29&amp;AF29)*Voreinstellungen!$E$19*Voreinstellungen!$E$22))</f>
        <v/>
      </c>
      <c r="AL29" s="556">
        <f t="shared" si="17"/>
        <v>0</v>
      </c>
      <c r="AM29" s="131"/>
      <c r="AN29" s="563">
        <f t="shared" ca="1" si="18"/>
        <v>-4.3281250000000497</v>
      </c>
      <c r="AP29" s="587"/>
      <c r="AQ29" s="625"/>
      <c r="AR29" s="566"/>
      <c r="AS29" s="565"/>
      <c r="AT29" s="345">
        <f t="shared" si="11"/>
        <v>0</v>
      </c>
      <c r="AU29" s="345">
        <f t="shared" si="12"/>
        <v>0</v>
      </c>
    </row>
    <row r="30" spans="1:47" s="19" customFormat="1" ht="12" x14ac:dyDescent="0.2">
      <c r="A30" s="538">
        <f t="shared" si="13"/>
        <v>44221</v>
      </c>
      <c r="B30" s="539">
        <f t="shared" si="0"/>
        <v>44221</v>
      </c>
      <c r="C30" s="540" t="str">
        <f t="shared" si="1"/>
        <v/>
      </c>
      <c r="D30" s="458"/>
      <c r="E30" s="255"/>
      <c r="F30" s="521"/>
      <c r="G30" s="517"/>
      <c r="H30" s="573"/>
      <c r="I30" s="574"/>
      <c r="J30" s="582"/>
      <c r="K30" s="576"/>
      <c r="L30" s="583"/>
      <c r="M30" s="583"/>
      <c r="N30" s="583"/>
      <c r="O30" s="581"/>
      <c r="P30" s="620">
        <f>IF(T30&gt;PauseGTime,PauseGWert,IF(T30&gt;PauseKTime,PauseKWert,IF(T30&lt;=PauseKTime,0,WENN)))</f>
        <v>0</v>
      </c>
      <c r="Q30" s="364"/>
      <c r="R30" s="545">
        <f t="shared" si="19"/>
        <v>0</v>
      </c>
      <c r="S30" s="551">
        <f t="shared" ca="1" si="2"/>
        <v>0</v>
      </c>
      <c r="T30" s="551">
        <f t="shared" si="20"/>
        <v>0</v>
      </c>
      <c r="U30" s="552">
        <f t="shared" ca="1" si="4"/>
        <v>0</v>
      </c>
      <c r="V30" s="553">
        <f t="shared" ca="1" si="5"/>
        <v>0</v>
      </c>
      <c r="W30" s="554">
        <f>IF(A30="",0,(Y30))*Voreinstellungen!$E$23</f>
        <v>0</v>
      </c>
      <c r="X30" s="554">
        <f t="shared" si="14"/>
        <v>0</v>
      </c>
      <c r="Y30" s="728"/>
      <c r="Z30" s="555">
        <f>((W30+X30)*Voreinstellungen!$C$45)</f>
        <v>0</v>
      </c>
      <c r="AA30" s="555">
        <f>((R30)*Voreinstellungen!$C$45)</f>
        <v>0</v>
      </c>
      <c r="AB30" s="612" t="str">
        <f t="shared" si="7"/>
        <v/>
      </c>
      <c r="AC30" s="612">
        <f t="shared" si="15"/>
        <v>0</v>
      </c>
      <c r="AD30" s="612" t="str">
        <f t="shared" si="8"/>
        <v/>
      </c>
      <c r="AE30" s="612">
        <f t="shared" si="16"/>
        <v>0</v>
      </c>
      <c r="AF30" s="612" t="str">
        <f t="shared" si="9"/>
        <v/>
      </c>
      <c r="AG30" s="555">
        <f t="shared" si="10"/>
        <v>0</v>
      </c>
      <c r="AH30" s="633">
        <f>(AG30)*Voreinstellungen!$E$19</f>
        <v>0</v>
      </c>
      <c r="AI30" s="633" t="str">
        <f>IF(ISERROR(AB30*Voreinstellungen!$E$19*Voreinstellungen!$E$20),"",(AB30*Voreinstellungen!$E$19*Voreinstellungen!$E$20))</f>
        <v/>
      </c>
      <c r="AJ30" s="633">
        <f>IF(ISERROR((AC30&amp;AD30)*Voreinstellungen!$E$19*Voreinstellungen!$E$21),"",((AC30&amp;AD30)*Voreinstellungen!$E$19*Voreinstellungen!$E$21))</f>
        <v>0</v>
      </c>
      <c r="AK30" s="633">
        <f>IF(ISERROR((AE30&amp;AF30)*Voreinstellungen!$E$19*Voreinstellungen!$E$22),"",((AE30&amp;AF30)*Voreinstellungen!$E$19*Voreinstellungen!$E$22))</f>
        <v>0</v>
      </c>
      <c r="AL30" s="556">
        <f t="shared" si="17"/>
        <v>0</v>
      </c>
      <c r="AM30" s="131"/>
      <c r="AN30" s="563">
        <f t="shared" ca="1" si="18"/>
        <v>-4.3281250000000497</v>
      </c>
      <c r="AP30" s="587"/>
      <c r="AQ30" s="625"/>
      <c r="AR30" s="566"/>
      <c r="AS30" s="565"/>
      <c r="AT30" s="345">
        <f t="shared" si="11"/>
        <v>0</v>
      </c>
      <c r="AU30" s="345">
        <f t="shared" si="12"/>
        <v>0</v>
      </c>
    </row>
    <row r="31" spans="1:47" s="19" customFormat="1" ht="12" x14ac:dyDescent="0.2">
      <c r="A31" s="538">
        <f t="shared" si="13"/>
        <v>44222</v>
      </c>
      <c r="B31" s="539">
        <f t="shared" si="0"/>
        <v>44222</v>
      </c>
      <c r="C31" s="540" t="str">
        <f t="shared" si="1"/>
        <v/>
      </c>
      <c r="D31" s="458"/>
      <c r="E31" s="255"/>
      <c r="F31" s="521"/>
      <c r="G31" s="517"/>
      <c r="H31" s="573"/>
      <c r="I31" s="574"/>
      <c r="J31" s="582"/>
      <c r="K31" s="576"/>
      <c r="L31" s="583"/>
      <c r="M31" s="583"/>
      <c r="N31" s="583"/>
      <c r="O31" s="583"/>
      <c r="P31" s="620">
        <f>IF(T31&gt;PauseGTime,PauseGWert,IF(T31&gt;PauseKTime,PauseKWert,IF(T31&lt;=PauseKTime,0,WENN)))</f>
        <v>0</v>
      </c>
      <c r="Q31" s="364"/>
      <c r="R31" s="545">
        <f t="shared" si="19"/>
        <v>0</v>
      </c>
      <c r="S31" s="551">
        <f t="shared" ca="1" si="2"/>
        <v>0.29166666666666669</v>
      </c>
      <c r="T31" s="551">
        <f t="shared" si="20"/>
        <v>0</v>
      </c>
      <c r="U31" s="552">
        <f t="shared" ca="1" si="4"/>
        <v>-0.29166666666667002</v>
      </c>
      <c r="V31" s="553">
        <f t="shared" ca="1" si="5"/>
        <v>0.29166666666666669</v>
      </c>
      <c r="W31" s="554">
        <f>IF(A31="",0,(Y31))*Voreinstellungen!$E$23</f>
        <v>0</v>
      </c>
      <c r="X31" s="554">
        <f t="shared" si="14"/>
        <v>0</v>
      </c>
      <c r="Y31" s="728"/>
      <c r="Z31" s="555">
        <f>((W31+X31)*Voreinstellungen!$C$45)</f>
        <v>0</v>
      </c>
      <c r="AA31" s="555">
        <f>((R31)*Voreinstellungen!$C$45)</f>
        <v>0</v>
      </c>
      <c r="AB31" s="612">
        <f t="shared" si="7"/>
        <v>0</v>
      </c>
      <c r="AC31" s="612" t="str">
        <f t="shared" si="15"/>
        <v/>
      </c>
      <c r="AD31" s="612" t="str">
        <f t="shared" si="8"/>
        <v/>
      </c>
      <c r="AE31" s="612" t="str">
        <f t="shared" si="16"/>
        <v/>
      </c>
      <c r="AF31" s="612" t="str">
        <f t="shared" si="9"/>
        <v/>
      </c>
      <c r="AG31" s="555">
        <f t="shared" si="10"/>
        <v>0</v>
      </c>
      <c r="AH31" s="633">
        <f>(AG31)*Voreinstellungen!$E$19</f>
        <v>0</v>
      </c>
      <c r="AI31" s="633">
        <f>IF(ISERROR(AB31*Voreinstellungen!$E$19*Voreinstellungen!$E$20),"",(AB31*Voreinstellungen!$E$19*Voreinstellungen!$E$20))</f>
        <v>0</v>
      </c>
      <c r="AJ31" s="633" t="str">
        <f>IF(ISERROR((AC31&amp;AD31)*Voreinstellungen!$E$19*Voreinstellungen!$E$21),"",((AC31&amp;AD31)*Voreinstellungen!$E$19*Voreinstellungen!$E$21))</f>
        <v/>
      </c>
      <c r="AK31" s="633" t="str">
        <f>IF(ISERROR((AE31&amp;AF31)*Voreinstellungen!$E$19*Voreinstellungen!$E$22),"",((AE31&amp;AF31)*Voreinstellungen!$E$19*Voreinstellungen!$E$22))</f>
        <v/>
      </c>
      <c r="AL31" s="556">
        <f t="shared" si="17"/>
        <v>0</v>
      </c>
      <c r="AM31" s="131"/>
      <c r="AN31" s="563">
        <f t="shared" ca="1" si="18"/>
        <v>-4.6197916666667203</v>
      </c>
      <c r="AP31" s="622" t="s">
        <v>209</v>
      </c>
      <c r="AQ31" s="631">
        <f>SUM(AH5:AH35)</f>
        <v>160.39500000000001</v>
      </c>
      <c r="AR31" s="566"/>
      <c r="AS31" s="565"/>
      <c r="AT31" s="345">
        <f t="shared" si="11"/>
        <v>0</v>
      </c>
      <c r="AU31" s="345">
        <f t="shared" si="12"/>
        <v>0</v>
      </c>
    </row>
    <row r="32" spans="1:47" s="19" customFormat="1" ht="12" x14ac:dyDescent="0.2">
      <c r="A32" s="538">
        <f t="shared" si="13"/>
        <v>44223</v>
      </c>
      <c r="B32" s="539">
        <f t="shared" si="0"/>
        <v>44223</v>
      </c>
      <c r="C32" s="540" t="str">
        <f t="shared" si="1"/>
        <v/>
      </c>
      <c r="D32" s="458"/>
      <c r="E32" s="255"/>
      <c r="F32" s="521"/>
      <c r="G32" s="517"/>
      <c r="H32" s="573"/>
      <c r="I32" s="574"/>
      <c r="J32" s="582"/>
      <c r="K32" s="576"/>
      <c r="L32" s="583"/>
      <c r="M32" s="583"/>
      <c r="N32" s="583"/>
      <c r="O32" s="583"/>
      <c r="P32" s="620">
        <f>IF(T32&gt;PauseGTime,PauseGWert,IF(T32&gt;PauseKTime,PauseKWert,IF(T32&lt;=PauseKTime,0,WENN)))</f>
        <v>0</v>
      </c>
      <c r="Q32" s="364"/>
      <c r="R32" s="545">
        <f t="shared" si="19"/>
        <v>0</v>
      </c>
      <c r="S32" s="551">
        <f t="shared" ca="1" si="2"/>
        <v>0.29166666666666669</v>
      </c>
      <c r="T32" s="551">
        <f t="shared" si="20"/>
        <v>0</v>
      </c>
      <c r="U32" s="552">
        <f t="shared" ca="1" si="4"/>
        <v>-0.29166666666667002</v>
      </c>
      <c r="V32" s="553">
        <f t="shared" ca="1" si="5"/>
        <v>0.29166666666666669</v>
      </c>
      <c r="W32" s="554">
        <f>IF(A32="",0,(Y32))*Voreinstellungen!$E$23</f>
        <v>0</v>
      </c>
      <c r="X32" s="554">
        <f t="shared" si="14"/>
        <v>0</v>
      </c>
      <c r="Y32" s="728"/>
      <c r="Z32" s="555">
        <f>((W32+X32)*Voreinstellungen!$C$45)</f>
        <v>0</v>
      </c>
      <c r="AA32" s="555">
        <f>((R32)*Voreinstellungen!$C$45)</f>
        <v>0</v>
      </c>
      <c r="AB32" s="612">
        <f t="shared" si="7"/>
        <v>0</v>
      </c>
      <c r="AC32" s="612" t="str">
        <f t="shared" si="15"/>
        <v/>
      </c>
      <c r="AD32" s="612" t="str">
        <f t="shared" si="8"/>
        <v/>
      </c>
      <c r="AE32" s="612" t="str">
        <f t="shared" si="16"/>
        <v/>
      </c>
      <c r="AF32" s="612" t="str">
        <f t="shared" si="9"/>
        <v/>
      </c>
      <c r="AG32" s="555">
        <f t="shared" si="10"/>
        <v>0</v>
      </c>
      <c r="AH32" s="633">
        <f>(AG32)*Voreinstellungen!$E$19</f>
        <v>0</v>
      </c>
      <c r="AI32" s="633">
        <f>IF(ISERROR(AB32*Voreinstellungen!$E$19*Voreinstellungen!$E$20),"",(AB32*Voreinstellungen!$E$19*Voreinstellungen!$E$20))</f>
        <v>0</v>
      </c>
      <c r="AJ32" s="633" t="str">
        <f>IF(ISERROR((AC32&amp;AD32)*Voreinstellungen!$E$19*Voreinstellungen!$E$21),"",((AC32&amp;AD32)*Voreinstellungen!$E$19*Voreinstellungen!$E$21))</f>
        <v/>
      </c>
      <c r="AK32" s="633" t="str">
        <f>IF(ISERROR((AE32&amp;AF32)*Voreinstellungen!$E$19*Voreinstellungen!$E$22),"",((AE32&amp;AF32)*Voreinstellungen!$E$19*Voreinstellungen!$E$22))</f>
        <v/>
      </c>
      <c r="AL32" s="556">
        <f t="shared" si="17"/>
        <v>0</v>
      </c>
      <c r="AM32" s="131"/>
      <c r="AN32" s="563">
        <f t="shared" ca="1" si="18"/>
        <v>-4.9114583333333899</v>
      </c>
      <c r="AP32" s="622" t="s">
        <v>210</v>
      </c>
      <c r="AQ32" s="631">
        <f>SUM(AI5:AI35)</f>
        <v>20.442500000000003</v>
      </c>
      <c r="AR32" s="566"/>
      <c r="AS32" s="565"/>
      <c r="AT32" s="345">
        <f t="shared" si="11"/>
        <v>0</v>
      </c>
      <c r="AU32" s="345">
        <f t="shared" si="12"/>
        <v>0</v>
      </c>
    </row>
    <row r="33" spans="1:47" s="19" customFormat="1" ht="12" x14ac:dyDescent="0.2">
      <c r="A33" s="538">
        <f>IF(MONTH(A32+1)&gt;MONTH(A32),"",A32+1)</f>
        <v>44224</v>
      </c>
      <c r="B33" s="539">
        <f t="shared" si="0"/>
        <v>44224</v>
      </c>
      <c r="C33" s="540" t="str">
        <f>IF(ISERROR(VLOOKUP(A33,Feiertage,2,FALSE)),"",(VLOOKUP(A33,Feiertage,2,FALSE)))</f>
        <v/>
      </c>
      <c r="D33" s="458"/>
      <c r="E33" s="255"/>
      <c r="F33" s="521"/>
      <c r="G33" s="517"/>
      <c r="H33" s="573"/>
      <c r="I33" s="574"/>
      <c r="J33" s="582"/>
      <c r="K33" s="576"/>
      <c r="L33" s="583"/>
      <c r="M33" s="583"/>
      <c r="N33" s="583"/>
      <c r="O33" s="583"/>
      <c r="P33" s="620">
        <f>IF(T33&gt;PauseGTime,PauseGWert,IF(T33&gt;PauseKTime,PauseKWert,IF(T33&lt;=PauseKTime,0,WENN)))</f>
        <v>0</v>
      </c>
      <c r="Q33" s="364"/>
      <c r="R33" s="545">
        <f t="shared" si="19"/>
        <v>0</v>
      </c>
      <c r="S33" s="551">
        <f t="shared" ca="1" si="2"/>
        <v>0.29166666666666669</v>
      </c>
      <c r="T33" s="551">
        <f t="shared" si="20"/>
        <v>0</v>
      </c>
      <c r="U33" s="552">
        <f t="shared" ca="1" si="4"/>
        <v>-0.29166666666667002</v>
      </c>
      <c r="V33" s="553">
        <f t="shared" ca="1" si="5"/>
        <v>0.29166666666666669</v>
      </c>
      <c r="W33" s="554">
        <f>IF(A33="",0,(Y33))*Voreinstellungen!$E$23</f>
        <v>0</v>
      </c>
      <c r="X33" s="554">
        <f t="shared" si="14"/>
        <v>0</v>
      </c>
      <c r="Y33" s="728"/>
      <c r="Z33" s="555">
        <f>((W33+X33)*Voreinstellungen!$C$45)</f>
        <v>0</v>
      </c>
      <c r="AA33" s="555">
        <f>((R33)*Voreinstellungen!$C$45)</f>
        <v>0</v>
      </c>
      <c r="AB33" s="612">
        <f t="shared" si="7"/>
        <v>0</v>
      </c>
      <c r="AC33" s="612" t="str">
        <f t="shared" si="15"/>
        <v/>
      </c>
      <c r="AD33" s="612" t="str">
        <f t="shared" si="8"/>
        <v/>
      </c>
      <c r="AE33" s="612" t="str">
        <f t="shared" si="16"/>
        <v/>
      </c>
      <c r="AF33" s="612" t="str">
        <f t="shared" si="9"/>
        <v/>
      </c>
      <c r="AG33" s="555">
        <f t="shared" si="10"/>
        <v>0</v>
      </c>
      <c r="AH33" s="633">
        <f>(AG33)*Voreinstellungen!$E$19</f>
        <v>0</v>
      </c>
      <c r="AI33" s="633">
        <f>IF(ISERROR(AB33*Voreinstellungen!$E$19*Voreinstellungen!$E$20),"",(AB33*Voreinstellungen!$E$19*Voreinstellungen!$E$20))</f>
        <v>0</v>
      </c>
      <c r="AJ33" s="633" t="str">
        <f>IF(ISERROR((AC33&amp;AD33)*Voreinstellungen!$E$19*Voreinstellungen!$E$21),"",((AC33&amp;AD33)*Voreinstellungen!$E$19*Voreinstellungen!$E$21))</f>
        <v/>
      </c>
      <c r="AK33" s="633" t="str">
        <f>IF(ISERROR((AE33&amp;AF33)*Voreinstellungen!$E$19*Voreinstellungen!$E$22),"",((AE33&amp;AF33)*Voreinstellungen!$E$19*Voreinstellungen!$E$22))</f>
        <v/>
      </c>
      <c r="AL33" s="556">
        <f t="shared" si="17"/>
        <v>0</v>
      </c>
      <c r="AM33" s="131"/>
      <c r="AN33" s="563">
        <f t="shared" ca="1" si="18"/>
        <v>-5.2031250000000604</v>
      </c>
      <c r="AP33" s="622" t="s">
        <v>211</v>
      </c>
      <c r="AQ33" s="631">
        <f>SUM(AJ5:AJ35)</f>
        <v>0</v>
      </c>
      <c r="AR33" s="566"/>
      <c r="AS33" s="565"/>
      <c r="AT33" s="345">
        <f t="shared" si="11"/>
        <v>0</v>
      </c>
      <c r="AU33" s="345">
        <f t="shared" si="12"/>
        <v>0</v>
      </c>
    </row>
    <row r="34" spans="1:47" s="19" customFormat="1" ht="12" x14ac:dyDescent="0.2">
      <c r="A34" s="538">
        <f>IF(MONTH(A32+2)&gt;MONTH(A32),"",A32+2)</f>
        <v>44225</v>
      </c>
      <c r="B34" s="539">
        <f t="shared" si="0"/>
        <v>44225</v>
      </c>
      <c r="C34" s="540" t="str">
        <f>IF(ISERROR(VLOOKUP(A34,Feiertage,2,FALSE)),"",(VLOOKUP(A34,Feiertage,2,FALSE)))</f>
        <v/>
      </c>
      <c r="D34" s="458"/>
      <c r="E34" s="255"/>
      <c r="F34" s="521"/>
      <c r="G34" s="517"/>
      <c r="H34" s="573"/>
      <c r="I34" s="574"/>
      <c r="J34" s="582"/>
      <c r="K34" s="576"/>
      <c r="L34" s="583"/>
      <c r="M34" s="583"/>
      <c r="N34" s="583"/>
      <c r="O34" s="583"/>
      <c r="P34" s="620">
        <f>IF(T34&gt;PauseGTime,PauseGWert,IF(T34&gt;PauseKTime,PauseKWert,IF(T34&lt;=PauseKTime,0,WENN)))</f>
        <v>0</v>
      </c>
      <c r="Q34" s="364"/>
      <c r="R34" s="545">
        <f t="shared" si="19"/>
        <v>0</v>
      </c>
      <c r="S34" s="551">
        <f t="shared" ca="1" si="2"/>
        <v>0.29166666666666669</v>
      </c>
      <c r="T34" s="551">
        <f t="shared" si="20"/>
        <v>0</v>
      </c>
      <c r="U34" s="552">
        <f t="shared" ca="1" si="4"/>
        <v>-0.29166666666667002</v>
      </c>
      <c r="V34" s="553">
        <f t="shared" ca="1" si="5"/>
        <v>0.29166666666666669</v>
      </c>
      <c r="W34" s="554">
        <f>IF(A34="",0,(Y34))*Voreinstellungen!$E$23</f>
        <v>0</v>
      </c>
      <c r="X34" s="554">
        <f t="shared" si="14"/>
        <v>0</v>
      </c>
      <c r="Y34" s="728"/>
      <c r="Z34" s="555">
        <f>((W34+X34)*Voreinstellungen!$C$45)</f>
        <v>0</v>
      </c>
      <c r="AA34" s="555">
        <f>((R34)*Voreinstellungen!$C$45)</f>
        <v>0</v>
      </c>
      <c r="AB34" s="612">
        <f t="shared" si="7"/>
        <v>0</v>
      </c>
      <c r="AC34" s="612" t="str">
        <f t="shared" si="15"/>
        <v/>
      </c>
      <c r="AD34" s="612" t="str">
        <f t="shared" si="8"/>
        <v/>
      </c>
      <c r="AE34" s="612" t="str">
        <f t="shared" si="16"/>
        <v/>
      </c>
      <c r="AF34" s="612" t="str">
        <f t="shared" si="9"/>
        <v/>
      </c>
      <c r="AG34" s="555">
        <f t="shared" si="10"/>
        <v>0</v>
      </c>
      <c r="AH34" s="633">
        <f>(AG34)*Voreinstellungen!$E$19</f>
        <v>0</v>
      </c>
      <c r="AI34" s="633">
        <f>IF(ISERROR(AB34*Voreinstellungen!$E$19*Voreinstellungen!$E$20),"",(AB34*Voreinstellungen!$E$19*Voreinstellungen!$E$20))</f>
        <v>0</v>
      </c>
      <c r="AJ34" s="633" t="str">
        <f>IF(ISERROR((AC34&amp;AD34)*Voreinstellungen!$E$19*Voreinstellungen!$E$21),"",((AC34&amp;AD34)*Voreinstellungen!$E$19*Voreinstellungen!$E$21))</f>
        <v/>
      </c>
      <c r="AK34" s="633" t="str">
        <f>IF(ISERROR((AE34&amp;AF34)*Voreinstellungen!$E$19*Voreinstellungen!$E$22),"",((AE34&amp;AF34)*Voreinstellungen!$E$19*Voreinstellungen!$E$22))</f>
        <v/>
      </c>
      <c r="AL34" s="556">
        <f t="shared" si="17"/>
        <v>0</v>
      </c>
      <c r="AM34" s="131"/>
      <c r="AN34" s="563">
        <f t="shared" ca="1" si="18"/>
        <v>-5.49479166666673</v>
      </c>
      <c r="AP34" s="622" t="s">
        <v>212</v>
      </c>
      <c r="AQ34" s="631">
        <f>SUM(AK5:AK35)</f>
        <v>0</v>
      </c>
      <c r="AR34" s="566"/>
      <c r="AS34" s="565"/>
      <c r="AT34" s="345">
        <f t="shared" si="11"/>
        <v>0</v>
      </c>
      <c r="AU34" s="345">
        <f t="shared" si="12"/>
        <v>0</v>
      </c>
    </row>
    <row r="35" spans="1:47" s="19" customFormat="1" ht="12" x14ac:dyDescent="0.2">
      <c r="A35" s="541">
        <f>IF(MONTH(A32+3)&gt;MONTH(A32),"",A32+3)</f>
        <v>44226</v>
      </c>
      <c r="B35" s="542">
        <f t="shared" si="0"/>
        <v>44226</v>
      </c>
      <c r="C35" s="543" t="str">
        <f>IF(ISERROR(VLOOKUP(A35,Feiertage,2,FALSE)),"",(VLOOKUP(A35,Feiertage,2,FALSE)))</f>
        <v/>
      </c>
      <c r="D35" s="459"/>
      <c r="E35" s="519"/>
      <c r="F35" s="522"/>
      <c r="G35" s="518"/>
      <c r="H35" s="577"/>
      <c r="I35" s="578"/>
      <c r="J35" s="584"/>
      <c r="K35" s="579"/>
      <c r="L35" s="585"/>
      <c r="M35" s="585"/>
      <c r="N35" s="585"/>
      <c r="O35" s="585"/>
      <c r="P35" s="621">
        <f>IF(T35&gt;PauseGTime,PauseGWert,IF(T35&gt;PauseKTime,PauseKWert,IF(T35&lt;=PauseKTime,0,WENN)))</f>
        <v>0</v>
      </c>
      <c r="Q35" s="365"/>
      <c r="R35" s="534">
        <f t="shared" si="19"/>
        <v>0</v>
      </c>
      <c r="S35" s="557">
        <f t="shared" ca="1" si="2"/>
        <v>0.29166666666666669</v>
      </c>
      <c r="T35" s="557">
        <f t="shared" si="20"/>
        <v>0</v>
      </c>
      <c r="U35" s="558">
        <f t="shared" ca="1" si="4"/>
        <v>-0.29166666666667002</v>
      </c>
      <c r="V35" s="559">
        <f t="shared" ca="1" si="5"/>
        <v>0.29166666666666669</v>
      </c>
      <c r="W35" s="560">
        <f>IF(A35="",0,(Y35))*Voreinstellungen!$E$23</f>
        <v>0</v>
      </c>
      <c r="X35" s="560">
        <f t="shared" si="14"/>
        <v>0</v>
      </c>
      <c r="Y35" s="729"/>
      <c r="Z35" s="561">
        <f>((W35+X35)*Voreinstellungen!$C$45)</f>
        <v>0</v>
      </c>
      <c r="AA35" s="561">
        <f>((R35)*Voreinstellungen!$C$45)</f>
        <v>0</v>
      </c>
      <c r="AB35" s="613">
        <f t="shared" si="7"/>
        <v>0</v>
      </c>
      <c r="AC35" s="613" t="str">
        <f t="shared" si="15"/>
        <v/>
      </c>
      <c r="AD35" s="613" t="str">
        <f t="shared" si="8"/>
        <v/>
      </c>
      <c r="AE35" s="613" t="str">
        <f t="shared" si="16"/>
        <v/>
      </c>
      <c r="AF35" s="613" t="str">
        <f t="shared" si="9"/>
        <v/>
      </c>
      <c r="AG35" s="561">
        <f t="shared" si="10"/>
        <v>0</v>
      </c>
      <c r="AH35" s="634">
        <f>(AG35)*Voreinstellungen!$E$19</f>
        <v>0</v>
      </c>
      <c r="AI35" s="634">
        <f>IF(ISERROR(AB35*Voreinstellungen!$E$19*Voreinstellungen!$E$20),"",(AB35*Voreinstellungen!$E$19*Voreinstellungen!$E$20))</f>
        <v>0</v>
      </c>
      <c r="AJ35" s="635" t="str">
        <f>IF(ISERROR((AC35&amp;AD35)*Voreinstellungen!$E$19*Voreinstellungen!$E$21),"",((AC35&amp;AD35)*Voreinstellungen!$E$19*Voreinstellungen!$E$21))</f>
        <v/>
      </c>
      <c r="AK35" s="635" t="str">
        <f>IF(ISERROR((AE35&amp;AF35)*Voreinstellungen!$E$19*Voreinstellungen!$E$22),"",((AE35&amp;AF35)*Voreinstellungen!$E$19*Voreinstellungen!$E$22))</f>
        <v/>
      </c>
      <c r="AL35" s="604">
        <f t="shared" si="17"/>
        <v>0</v>
      </c>
      <c r="AM35" s="217"/>
      <c r="AN35" s="564">
        <f t="shared" ca="1" si="18"/>
        <v>-5.7864583333333997</v>
      </c>
      <c r="AP35" s="622" t="s">
        <v>213</v>
      </c>
      <c r="AQ35" s="631">
        <f>SUM(AQ31:AQ34)</f>
        <v>180.83750000000001</v>
      </c>
      <c r="AR35" s="566"/>
      <c r="AS35" s="565"/>
      <c r="AT35" s="345">
        <f t="shared" si="11"/>
        <v>0</v>
      </c>
      <c r="AU35" s="345">
        <f t="shared" si="12"/>
        <v>0</v>
      </c>
    </row>
    <row r="36" spans="1:47" s="19" customFormat="1" ht="4.5" customHeight="1" x14ac:dyDescent="0.2">
      <c r="B36" s="48"/>
      <c r="C36" s="48"/>
      <c r="D36" s="48"/>
      <c r="E36" s="49"/>
      <c r="F36" s="49"/>
      <c r="G36" s="49"/>
      <c r="H36" s="49"/>
      <c r="I36" s="49"/>
      <c r="J36" s="50"/>
      <c r="K36" s="50"/>
      <c r="L36" s="50"/>
      <c r="M36" s="50"/>
      <c r="N36" s="50"/>
      <c r="O36" s="50"/>
      <c r="P36" s="50"/>
      <c r="Q36" s="50"/>
      <c r="R36" s="49"/>
      <c r="S36" s="51"/>
      <c r="T36" s="51"/>
      <c r="U36" s="5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P36" s="47"/>
      <c r="AQ36" s="626"/>
      <c r="AR36" s="48"/>
      <c r="AS36" s="48"/>
    </row>
    <row r="37" spans="1:47" s="19" customFormat="1" ht="12" x14ac:dyDescent="0.2">
      <c r="B37" s="48"/>
      <c r="C37" s="48"/>
      <c r="D37" s="48"/>
      <c r="E37" s="49"/>
      <c r="F37" s="49"/>
      <c r="G37" s="49"/>
      <c r="H37" s="49"/>
      <c r="I37" s="49"/>
      <c r="J37" s="50"/>
      <c r="K37" s="50"/>
      <c r="L37" s="50"/>
      <c r="M37" s="50"/>
      <c r="N37" s="50"/>
      <c r="O37" s="50"/>
      <c r="P37" s="50"/>
      <c r="Q37" s="50"/>
      <c r="R37" s="49"/>
      <c r="S37" s="51"/>
      <c r="T37" s="51"/>
      <c r="U37" s="5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P37" s="461"/>
      <c r="AQ37" s="627"/>
      <c r="AR37" s="460"/>
      <c r="AS37" s="461"/>
      <c r="AT37" s="462"/>
    </row>
    <row r="38" spans="1:47" ht="12.75" customHeight="1" x14ac:dyDescent="0.2">
      <c r="A38" s="132"/>
      <c r="B38" s="133"/>
      <c r="C38" s="133"/>
      <c r="D38" s="272"/>
      <c r="E38" s="453" t="str">
        <f>"Übertrag "&amp;TEXT(DATE(YEAR(A1),MONTH(A1)-1,1),"MMMM JJJJ")&amp;":"</f>
        <v>Übertrag Dezember 2024:</v>
      </c>
      <c r="F38" s="292">
        <f>Voreinstellungen!C9</f>
        <v>0</v>
      </c>
      <c r="G38" s="514"/>
      <c r="I38" s="287"/>
      <c r="O38" s="591">
        <f>COUNTIF(Q5:Q35,Voreinstellungen!B21)+IF(COUNTIF(Q5:Q35,Voreinstellungen!B22)&gt;0,1-(SUMIF(Q5:Q35,Voreinstellungen!B22,S5:S35)/SUMIF(Q5:Q35,Voreinstellungen!B22,V5:V35)),0)</f>
        <v>0</v>
      </c>
      <c r="P38" s="592"/>
      <c r="Q38" s="695" t="str">
        <f>Voreinstellungen!A21&amp;" ("&amp;Voreinstellungen!B21&amp;"/"&amp;Voreinstellungen!B22&amp;")"</f>
        <v>Krank (K/KK)</v>
      </c>
      <c r="R38" s="695"/>
      <c r="S38" s="695"/>
      <c r="T38" s="695"/>
      <c r="U38" s="695"/>
      <c r="V38" s="695"/>
      <c r="W38" s="695"/>
      <c r="X38" s="695"/>
      <c r="Y38" s="695"/>
      <c r="Z38" s="695"/>
      <c r="AA38" s="695"/>
      <c r="AB38" s="695"/>
      <c r="AC38" s="695"/>
      <c r="AD38" s="695"/>
      <c r="AE38" s="695"/>
      <c r="AF38" s="695"/>
      <c r="AG38" s="695"/>
      <c r="AH38" s="695"/>
      <c r="AI38" s="695"/>
      <c r="AJ38" s="695"/>
      <c r="AK38" s="695"/>
      <c r="AL38" s="695"/>
      <c r="AM38" s="695"/>
      <c r="AN38" s="593">
        <f>(SUMIF(Q5:Q35,Voreinstellungen!B21,S5:S35)-SUMIF(Q5:Q35,Voreinstellungen!B21,V5:V35)+SUMIF(Q5:Q35,Voreinstellungen!B22,S5:S35)-SUMIF(Q5:Q35,Voreinstellungen!B22,V5:V35))*-1</f>
        <v>0</v>
      </c>
      <c r="AP38" s="463"/>
      <c r="AQ38" s="628"/>
      <c r="AR38" s="463"/>
      <c r="AS38" s="463"/>
      <c r="AT38" s="463"/>
    </row>
    <row r="39" spans="1:47" ht="12.75" customHeight="1" x14ac:dyDescent="0.2">
      <c r="A39" s="134"/>
      <c r="B39" s="135"/>
      <c r="C39" s="135"/>
      <c r="D39" s="136"/>
      <c r="E39" s="454" t="str">
        <f>"SOLL Arbeitszeit ("&amp;TEXT(A1,"MMMM")&amp;"):"</f>
        <v>SOLL Arbeitszeit (Januar):</v>
      </c>
      <c r="F39" s="295">
        <f ca="1">SUM(S5:S35)</f>
        <v>6.1250000000000018</v>
      </c>
      <c r="G39" s="514"/>
      <c r="I39" s="287"/>
      <c r="O39" s="594">
        <f>COUNTIF(Q5:Q35,Voreinstellungen!B25)+(COUNTIF(Q5:Q35,Voreinstellungen!B26)*Voreinstellungen!C26)</f>
        <v>1</v>
      </c>
      <c r="P39" s="595"/>
      <c r="Q39" s="700" t="str">
        <f>Voreinstellungen!A25&amp;" ("&amp;Voreinstellungen!B25&amp;"/"&amp;Voreinstellungen!B26&amp;") aktuell noch Verfügbar: "&amp;Voreinstellungen!C38&amp;" Tag(e)"</f>
        <v>Urlaub (U/UH) aktuell noch Verfügbar: 27 Tag(e)</v>
      </c>
      <c r="R39" s="700"/>
      <c r="S39" s="700"/>
      <c r="T39" s="700"/>
      <c r="U39" s="700"/>
      <c r="V39" s="700"/>
      <c r="W39" s="700"/>
      <c r="X39" s="700"/>
      <c r="Y39" s="700"/>
      <c r="Z39" s="700"/>
      <c r="AA39" s="700"/>
      <c r="AB39" s="700"/>
      <c r="AC39" s="700"/>
      <c r="AD39" s="700"/>
      <c r="AE39" s="700"/>
      <c r="AF39" s="700"/>
      <c r="AG39" s="700"/>
      <c r="AH39" s="700"/>
      <c r="AI39" s="700"/>
      <c r="AJ39" s="700"/>
      <c r="AK39" s="700"/>
      <c r="AL39" s="700"/>
      <c r="AM39" s="700"/>
      <c r="AN39" s="596">
        <f ca="1">SUMIF(Q5:Q35,Voreinstellungen!B25,V5:V35)+(SUMIF(Q5:Q35,Voreinstellungen!B26,V5:V35)*0.5)</f>
        <v>0.29166666666666669</v>
      </c>
      <c r="AP39" s="531"/>
      <c r="AQ39" s="629"/>
      <c r="AR39" s="465"/>
      <c r="AS39" s="466"/>
      <c r="AT39" s="467"/>
    </row>
    <row r="40" spans="1:47" ht="12.75" customHeight="1" x14ac:dyDescent="0.2">
      <c r="A40" s="137"/>
      <c r="B40" s="138"/>
      <c r="C40" s="138"/>
      <c r="D40" s="136"/>
      <c r="E40" s="454" t="str">
        <f>"IST Arbeitszeit ("&amp;TEXT(A1,"MMMM")&amp;"):"</f>
        <v>IST Arbeitszeit (Januar):</v>
      </c>
      <c r="F40" s="297">
        <f>SUM(R5:R35)</f>
        <v>0.33854166666666669</v>
      </c>
      <c r="G40" s="514"/>
      <c r="I40" s="287"/>
      <c r="O40" s="594">
        <f>COUNTIF(Q5:Q35,Voreinstellungen!B20)</f>
        <v>0</v>
      </c>
      <c r="P40" s="595"/>
      <c r="Q40" s="700" t="str">
        <f>Voreinstellungen!A20&amp;" ("&amp;Voreinstellungen!B20&amp;")"</f>
        <v>Gleittag (G)</v>
      </c>
      <c r="R40" s="700"/>
      <c r="S40" s="700"/>
      <c r="T40" s="700"/>
      <c r="U40" s="700"/>
      <c r="V40" s="700"/>
      <c r="W40" s="700"/>
      <c r="X40" s="700"/>
      <c r="Y40" s="700"/>
      <c r="Z40" s="700"/>
      <c r="AA40" s="700"/>
      <c r="AB40" s="700"/>
      <c r="AC40" s="700"/>
      <c r="AD40" s="700"/>
      <c r="AE40" s="700"/>
      <c r="AF40" s="700"/>
      <c r="AG40" s="700"/>
      <c r="AH40" s="700"/>
      <c r="AI40" s="700"/>
      <c r="AJ40" s="700"/>
      <c r="AK40" s="700"/>
      <c r="AL40" s="700"/>
      <c r="AM40" s="700"/>
      <c r="AN40" s="597"/>
      <c r="AP40" s="531"/>
      <c r="AQ40" s="629"/>
      <c r="AR40" s="466"/>
      <c r="AS40" s="466"/>
      <c r="AT40" s="467"/>
    </row>
    <row r="41" spans="1:47" ht="12.75" customHeight="1" x14ac:dyDescent="0.2">
      <c r="A41" s="137"/>
      <c r="B41" s="138"/>
      <c r="C41" s="138"/>
      <c r="D41" s="136"/>
      <c r="E41" s="455" t="s">
        <v>84</v>
      </c>
      <c r="F41" s="298"/>
      <c r="G41" s="514"/>
      <c r="I41" s="287"/>
      <c r="O41" s="594">
        <f>COUNTIF(Q5:Q35,Voreinstellungen!B23)+IF(SUMIF(Q5:Q35,Voreinstellungen!B24,V5:V35)&lt;&gt;0,(1-(SUMIF(Q5:Q35,Voreinstellungen!B24,S5:S35)/SUMIF(Q5:Q35,Voreinstellungen!B24,V5:V35)))*COUNTIF(Q5:Q35,Voreinstellungen!B24),0)</f>
        <v>0</v>
      </c>
      <c r="P41" s="595"/>
      <c r="Q41" s="700" t="str">
        <f>Voreinstellungen!A23&amp;" ("&amp;Voreinstellungen!B23&amp;")/("&amp;Voreinstellungen!B24&amp;")"</f>
        <v>Kurzarbeit (KU)/(KA)</v>
      </c>
      <c r="R41" s="700"/>
      <c r="S41" s="700"/>
      <c r="T41" s="700"/>
      <c r="U41" s="700"/>
      <c r="V41" s="700"/>
      <c r="W41" s="700"/>
      <c r="X41" s="700"/>
      <c r="Y41" s="700"/>
      <c r="Z41" s="700"/>
      <c r="AA41" s="700"/>
      <c r="AB41" s="700"/>
      <c r="AC41" s="700"/>
      <c r="AD41" s="700"/>
      <c r="AE41" s="700"/>
      <c r="AF41" s="700"/>
      <c r="AG41" s="700"/>
      <c r="AH41" s="700"/>
      <c r="AI41" s="700"/>
      <c r="AJ41" s="700"/>
      <c r="AK41" s="700"/>
      <c r="AL41" s="700"/>
      <c r="AM41" s="700"/>
      <c r="AN41" s="598">
        <f>(SUMIF(Q5:Q35,Voreinstellungen!B23,S5:S35)-SUMIF(Q5:Q35,Voreinstellungen!B23,V5:V35)+SUMIF(Q5:Q35,Voreinstellungen!B24,S5:S35)-SUMIF(Q5:Q35,Voreinstellungen!B24,V5:V35))*-1</f>
        <v>0</v>
      </c>
      <c r="AP41" s="531"/>
      <c r="AQ41" s="629"/>
      <c r="AR41" s="466"/>
      <c r="AS41" s="466"/>
      <c r="AT41" s="467"/>
    </row>
    <row r="42" spans="1:47" ht="12.75" customHeight="1" x14ac:dyDescent="0.2">
      <c r="A42" s="139"/>
      <c r="B42" s="140"/>
      <c r="C42" s="140"/>
      <c r="D42" s="141"/>
      <c r="E42" s="456" t="s">
        <v>85</v>
      </c>
      <c r="F42" s="300">
        <f ca="1">ROUND(F40+F38-F41-F39,14)</f>
        <v>-5.7864583333333304</v>
      </c>
      <c r="G42" s="515"/>
      <c r="I42" s="287"/>
      <c r="O42" s="594">
        <f>COUNTIF(R5:R35,"&gt;0")-IF(Voreinstellungen!C28="XTRA",COUNTIF(Q5:Q35,Voreinstellungen!B28),0)-IF(Voreinstellungen!C29="XTRA",COUNTIF(Q5:Q35,Voreinstellungen!B29),0)-IF(Voreinstellungen!C30="XTRA",COUNTIF(Q5:Q35,Voreinstellungen!B30),0)-IF(Voreinstellungen!C31="XTRA",COUNTIF(Q5:Q35,Voreinstellungen!B31),0)-IF(Voreinstellungen!C32="XTRA",COUNTIF(Q5:Q35,Voreinstellungen!B32),0)-IF(Voreinstellungen!C33="XTRA",COUNTIF(Q5:Q35,Voreinstellungen!B33),0)-COUNTIF(Q5:Q35,"H")</f>
        <v>1</v>
      </c>
      <c r="P42" s="595"/>
      <c r="Q42" s="700" t="s">
        <v>86</v>
      </c>
      <c r="R42" s="700"/>
      <c r="S42" s="700"/>
      <c r="T42" s="700"/>
      <c r="U42" s="700"/>
      <c r="V42" s="700"/>
      <c r="W42" s="700"/>
      <c r="X42" s="700"/>
      <c r="Y42" s="700"/>
      <c r="Z42" s="700"/>
      <c r="AA42" s="700"/>
      <c r="AB42" s="700"/>
      <c r="AC42" s="700"/>
      <c r="AD42" s="700"/>
      <c r="AE42" s="700"/>
      <c r="AF42" s="700"/>
      <c r="AG42" s="700"/>
      <c r="AH42" s="700"/>
      <c r="AI42" s="700"/>
      <c r="AJ42" s="700"/>
      <c r="AK42" s="700"/>
      <c r="AL42" s="700"/>
      <c r="AM42" s="700"/>
      <c r="AN42" s="599"/>
      <c r="AP42" s="531"/>
      <c r="AQ42" s="629"/>
      <c r="AR42" s="466"/>
      <c r="AS42" s="466"/>
      <c r="AT42" s="467"/>
    </row>
    <row r="43" spans="1:47" ht="12.75" customHeight="1" x14ac:dyDescent="0.2">
      <c r="O43" s="594">
        <f>COUNTIF(Q5:Q35,Voreinstellungen!B27)</f>
        <v>0</v>
      </c>
      <c r="P43" s="595"/>
      <c r="Q43" s="700" t="str">
        <f>Voreinstellungen!A27</f>
        <v>Homeoffice</v>
      </c>
      <c r="R43" s="700"/>
      <c r="S43" s="700"/>
      <c r="T43" s="700"/>
      <c r="U43" s="700"/>
      <c r="V43" s="700"/>
      <c r="W43" s="700"/>
      <c r="X43" s="700"/>
      <c r="Y43" s="700"/>
      <c r="Z43" s="700"/>
      <c r="AA43" s="700"/>
      <c r="AB43" s="700"/>
      <c r="AC43" s="700"/>
      <c r="AD43" s="700"/>
      <c r="AE43" s="700"/>
      <c r="AF43" s="700"/>
      <c r="AG43" s="700"/>
      <c r="AH43" s="700"/>
      <c r="AI43" s="700"/>
      <c r="AJ43" s="700"/>
      <c r="AK43" s="700"/>
      <c r="AL43" s="700"/>
      <c r="AM43" s="700"/>
      <c r="AN43" s="599"/>
      <c r="AP43" s="531"/>
      <c r="AQ43" s="629"/>
      <c r="AR43" s="466"/>
      <c r="AS43" s="466"/>
      <c r="AT43" s="467"/>
    </row>
    <row r="44" spans="1:47" ht="12.75" customHeight="1" x14ac:dyDescent="0.2">
      <c r="A44" s="609"/>
      <c r="B44" s="609"/>
      <c r="C44" s="609"/>
      <c r="D44" s="277"/>
      <c r="E44" s="277"/>
      <c r="F44" s="277"/>
      <c r="G44" s="277"/>
      <c r="H44" s="277"/>
      <c r="O44" s="600">
        <f>IF(Voreinstellungen!C28="","",IF(Voreinstellungen!C28="REST",IFERROR(SUMIF(Q5:Q35,Voreinstellungen!B28,R5:R35)/SUMIF(Q5:Q35,Voreinstellungen!B28,V5:V35),0),IF(Voreinstellungen!C28="NONE",COUNTIF(Q5:Q35,Voreinstellungen!B28),IF(Voreinstellungen!C28="XTRA",COUNTIF(Q5:Q35,Voreinstellungen!B28),COUNTIF(Q5:Q35,Voreinstellungen!B28)*IF(Voreinstellungen!C28=0,1,Voreinstellungen!C28)))))</f>
        <v>0</v>
      </c>
      <c r="P44" s="595"/>
      <c r="Q44" s="699" t="str">
        <f>IF(Voreinstellungen!A28="","",REPT(Voreinstellungen!A28,1) &amp; " (" &amp; REPT(Voreinstellungen!B28,1) &amp; ")")</f>
        <v>Bereitschaft (B)</v>
      </c>
      <c r="R44" s="699"/>
      <c r="S44" s="699"/>
      <c r="T44" s="699"/>
      <c r="U44" s="699"/>
      <c r="V44" s="699"/>
      <c r="W44" s="699"/>
      <c r="X44" s="699"/>
      <c r="Y44" s="699"/>
      <c r="Z44" s="699"/>
      <c r="AA44" s="699"/>
      <c r="AB44" s="699"/>
      <c r="AC44" s="699"/>
      <c r="AD44" s="699"/>
      <c r="AE44" s="699"/>
      <c r="AF44" s="699"/>
      <c r="AG44" s="699"/>
      <c r="AH44" s="699"/>
      <c r="AI44" s="699"/>
      <c r="AJ44" s="699"/>
      <c r="AK44" s="699"/>
      <c r="AL44" s="699"/>
      <c r="AM44" s="699"/>
      <c r="AN44" s="598">
        <f>IF(ISBLANK(Voreinstellungen!C28),"",IF(Voreinstellungen!C28="REST",SUMIF(Q5:Q35,Voreinstellungen!B28,V5:V35)-SUMIF(Q5:Q35,Voreinstellungen!B28,R5:R35),IF(ISTEXT(Voreinstellungen!C28),SUMIF(Q5:Q35,Voreinstellungen!B28,R5:R35),"")))</f>
        <v>0</v>
      </c>
      <c r="AP44" s="531"/>
      <c r="AQ44" s="629"/>
      <c r="AR44" s="466"/>
      <c r="AS44" s="466"/>
      <c r="AT44" s="467"/>
    </row>
    <row r="45" spans="1:47" ht="12.75" customHeight="1" x14ac:dyDescent="0.2">
      <c r="A45" s="610"/>
      <c r="B45" s="610"/>
      <c r="C45" s="610"/>
      <c r="D45" s="278"/>
      <c r="E45" s="278"/>
      <c r="F45" s="278"/>
      <c r="G45" s="278"/>
      <c r="H45" s="278"/>
      <c r="O45" s="600">
        <f>IF(Voreinstellungen!C29="","",IF(Voreinstellungen!C29="REST",IFERROR(SUMIF(Q5:Q35,Voreinstellungen!B29,R5:R35)/SUMIF(Q5:Q35,Voreinstellungen!B29,V5:V35),0),IF(Voreinstellungen!C29="NONE",COUNTIF(Q5:Q35,Voreinstellungen!B29),IF(Voreinstellungen!C29="XTRA",COUNTIF(Q5:Q35,Voreinstellungen!B29),COUNTIF(Q5:Q35,Voreinstellungen!B29)*IF(Voreinstellungen!C29=0,1,Voreinstellungen!C29)))))</f>
        <v>0</v>
      </c>
      <c r="P45" s="595"/>
      <c r="Q45" s="699" t="str">
        <f>IF(Voreinstellungen!A29="","",REPT(Voreinstellungen!A29,1) &amp; " (" &amp; REPT(Voreinstellungen!B29,1) &amp; ")")</f>
        <v>Eigener Code 1 (E1)</v>
      </c>
      <c r="R45" s="699"/>
      <c r="S45" s="699"/>
      <c r="T45" s="699"/>
      <c r="U45" s="699"/>
      <c r="V45" s="699"/>
      <c r="W45" s="699"/>
      <c r="X45" s="699"/>
      <c r="Y45" s="699"/>
      <c r="Z45" s="699"/>
      <c r="AA45" s="699"/>
      <c r="AB45" s="699"/>
      <c r="AC45" s="699"/>
      <c r="AD45" s="699"/>
      <c r="AE45" s="699"/>
      <c r="AF45" s="699"/>
      <c r="AG45" s="699"/>
      <c r="AH45" s="699"/>
      <c r="AI45" s="699"/>
      <c r="AJ45" s="699"/>
      <c r="AK45" s="699"/>
      <c r="AL45" s="699"/>
      <c r="AM45" s="699"/>
      <c r="AN45" s="598">
        <f>IF(ISBLANK(Voreinstellungen!C29),"",IF(Voreinstellungen!C29="REST",SUMIF(Q5:Q35,Voreinstellungen!B29,V5:V35)-SUMIF(Q5:Q35,Voreinstellungen!B29,R5:R35),IF(ISTEXT(Voreinstellungen!C29),SUMIF(Q5:Q35,Voreinstellungen!B29,R5:R35),"")))</f>
        <v>0</v>
      </c>
      <c r="AP45" s="531"/>
      <c r="AQ45" s="629"/>
      <c r="AR45" s="466"/>
      <c r="AS45" s="466"/>
      <c r="AT45" s="467"/>
    </row>
    <row r="46" spans="1:47" ht="12.75" customHeight="1" x14ac:dyDescent="0.2">
      <c r="A46" s="609" t="s">
        <v>46</v>
      </c>
      <c r="B46" s="609"/>
      <c r="C46" s="609"/>
      <c r="D46" s="277"/>
      <c r="E46" s="277"/>
      <c r="F46" s="277"/>
      <c r="G46" s="277"/>
      <c r="H46" s="277" t="s">
        <v>87</v>
      </c>
      <c r="O46" s="600">
        <f>IF(Voreinstellungen!C30="","",IF(Voreinstellungen!C30="REST",IFERROR(SUMIF(Q5:Q35,Voreinstellungen!B30,R5:R35)/SUMIF(Q5:Q35,Voreinstellungen!B30,V5:V35),0),IF(Voreinstellungen!C30="NONE",COUNTIF(Q5:Q35,Voreinstellungen!B30),IF(Voreinstellungen!C30="XTRA",COUNTIF(Q5:Q35,Voreinstellungen!B30),COUNTIF(Q5:Q35,Voreinstellungen!B30)*IF(Voreinstellungen!C30=0,1,Voreinstellungen!C30)))))</f>
        <v>0</v>
      </c>
      <c r="P46" s="595"/>
      <c r="Q46" s="699" t="str">
        <f>IF(Voreinstellungen!A30="","",REPT(Voreinstellungen!A30,1) &amp; " (" &amp; REPT(Voreinstellungen!B30,1) &amp; ")")</f>
        <v>Eigener Code 2 (E2)</v>
      </c>
      <c r="R46" s="699"/>
      <c r="S46" s="699"/>
      <c r="T46" s="699"/>
      <c r="U46" s="699"/>
      <c r="V46" s="699"/>
      <c r="W46" s="699"/>
      <c r="X46" s="699"/>
      <c r="Y46" s="699"/>
      <c r="Z46" s="699"/>
      <c r="AA46" s="699"/>
      <c r="AB46" s="699"/>
      <c r="AC46" s="699"/>
      <c r="AD46" s="699"/>
      <c r="AE46" s="699"/>
      <c r="AF46" s="699"/>
      <c r="AG46" s="699"/>
      <c r="AH46" s="699"/>
      <c r="AI46" s="699"/>
      <c r="AJ46" s="699"/>
      <c r="AK46" s="699"/>
      <c r="AL46" s="699"/>
      <c r="AM46" s="699"/>
      <c r="AN46" s="598" t="str">
        <f>IF(ISBLANK(Voreinstellungen!C30),"",IF(Voreinstellungen!C30="REST",SUMIF(Q5:Q35,Voreinstellungen!B30,V5:V35)-SUMIF(Q5:Q35,Voreinstellungen!B30,R5:R35),IF(ISTEXT(Voreinstellungen!C30),SUMIF(Q5:Q35,Voreinstellungen!B30,R5:R35),"")))</f>
        <v/>
      </c>
      <c r="AP46" s="531"/>
      <c r="AQ46" s="629"/>
      <c r="AR46" s="466"/>
      <c r="AS46" s="466"/>
      <c r="AT46" s="467"/>
    </row>
    <row r="47" spans="1:47" ht="12.75" customHeight="1" x14ac:dyDescent="0.2">
      <c r="A47" s="609"/>
      <c r="B47" s="609"/>
      <c r="C47" s="609"/>
      <c r="D47" s="277"/>
      <c r="E47" s="277"/>
      <c r="F47" s="277"/>
      <c r="G47" s="277"/>
      <c r="H47" s="277"/>
      <c r="O47" s="600">
        <f>IF(Voreinstellungen!C31="","",IF(Voreinstellungen!C31="REST",IFERROR(SUMIF(Q5:Q35,Voreinstellungen!B31,R5:R35)/SUMIF(Q5:Q35,Voreinstellungen!B31,V5:V35),0),IF(Voreinstellungen!C31="NONE",COUNTIF(Q5:Q35,Voreinstellungen!B31),IF(Voreinstellungen!C31="XTRA",COUNTIF(Q5:Q35,Voreinstellungen!B31),COUNTIF(Q5:Q35,Voreinstellungen!B31)*IF(Voreinstellungen!C31=0,1,Voreinstellungen!C31)))))</f>
        <v>0</v>
      </c>
      <c r="P47" s="595"/>
      <c r="Q47" s="699" t="str">
        <f>IF(Voreinstellungen!A31="","",REPT(Voreinstellungen!A31,1) &amp; " (" &amp; REPT(Voreinstellungen!B31,1) &amp; ")")</f>
        <v>Eigener Code 3 (E3)</v>
      </c>
      <c r="R47" s="699"/>
      <c r="S47" s="699"/>
      <c r="T47" s="699"/>
      <c r="U47" s="699"/>
      <c r="V47" s="699"/>
      <c r="W47" s="699"/>
      <c r="X47" s="699"/>
      <c r="Y47" s="699"/>
      <c r="Z47" s="699"/>
      <c r="AA47" s="699"/>
      <c r="AB47" s="699"/>
      <c r="AC47" s="699"/>
      <c r="AD47" s="699"/>
      <c r="AE47" s="699"/>
      <c r="AF47" s="699"/>
      <c r="AG47" s="699"/>
      <c r="AH47" s="699"/>
      <c r="AI47" s="699"/>
      <c r="AJ47" s="699"/>
      <c r="AK47" s="699"/>
      <c r="AL47" s="699"/>
      <c r="AM47" s="699"/>
      <c r="AN47" s="598" t="str">
        <f>IF(ISBLANK(Voreinstellungen!C31),"",IF(Voreinstellungen!C31="REST",SUMIF(Q5:Q35,Voreinstellungen!B31,V5:V35)-SUMIF(Q5:Q35,Voreinstellungen!B31,R5:R35),IF(ISTEXT(Voreinstellungen!C31),SUMIF(Q5:Q35,Voreinstellungen!B31,R5:R35),"")))</f>
        <v/>
      </c>
      <c r="AP47" s="531"/>
      <c r="AQ47" s="629"/>
      <c r="AR47" s="466"/>
      <c r="AS47" s="466"/>
      <c r="AT47" s="467"/>
    </row>
    <row r="48" spans="1:47" ht="12.75" customHeight="1" x14ac:dyDescent="0.2">
      <c r="A48" s="610"/>
      <c r="B48" s="610"/>
      <c r="C48" s="610"/>
      <c r="D48" s="278"/>
      <c r="E48" s="278"/>
      <c r="F48" s="278"/>
      <c r="G48" s="278"/>
      <c r="H48" s="278"/>
      <c r="O48" s="600">
        <f>IF(Voreinstellungen!C32="","",IF(Voreinstellungen!C32="REST",IFERROR(SUMIF(Q5:Q35,Voreinstellungen!B32,R5:R35)/SUMIF(Q5:Q35,Voreinstellungen!B32,V5:V35),0),IF(Voreinstellungen!C32="NONE",COUNTIF(Q5:Q35,Voreinstellungen!B32),IF(Voreinstellungen!C32="XTRA",COUNTIF(Q5:Q35,Voreinstellungen!B32),COUNTIF(Q5:Q35,Voreinstellungen!B32)*IF(Voreinstellungen!C32=0,1,Voreinstellungen!C32)))))</f>
        <v>0</v>
      </c>
      <c r="P48" s="595"/>
      <c r="Q48" s="699" t="str">
        <f>IF(Voreinstellungen!A32="","",REPT(Voreinstellungen!A32,1) &amp; " (" &amp; REPT(Voreinstellungen!B32,1) &amp; ")")</f>
        <v>Eigener Code 4 (E4)</v>
      </c>
      <c r="R48" s="699"/>
      <c r="S48" s="699"/>
      <c r="T48" s="699"/>
      <c r="U48" s="699"/>
      <c r="V48" s="699"/>
      <c r="W48" s="699"/>
      <c r="X48" s="699"/>
      <c r="Y48" s="699"/>
      <c r="Z48" s="699"/>
      <c r="AA48" s="699"/>
      <c r="AB48" s="699"/>
      <c r="AC48" s="699"/>
      <c r="AD48" s="699"/>
      <c r="AE48" s="699"/>
      <c r="AF48" s="699"/>
      <c r="AG48" s="699"/>
      <c r="AH48" s="699"/>
      <c r="AI48" s="699"/>
      <c r="AJ48" s="699"/>
      <c r="AK48" s="699"/>
      <c r="AL48" s="699"/>
      <c r="AM48" s="699"/>
      <c r="AN48" s="598" t="str">
        <f>IF(ISBLANK(Voreinstellungen!C32),"",IF(Voreinstellungen!C32="REST",SUMIF(Q5:Q35,Voreinstellungen!B32,V5:V35)-SUMIF(Q5:Q35,Voreinstellungen!B32,R5:R35),IF(ISTEXT(Voreinstellungen!C32),SUMIF(Q5:Q35,Voreinstellungen!B32,R5:R35),"")))</f>
        <v/>
      </c>
      <c r="AP48" s="531"/>
      <c r="AQ48" s="629"/>
      <c r="AR48" s="466"/>
      <c r="AS48" s="466"/>
      <c r="AT48" s="467"/>
    </row>
    <row r="49" spans="1:46" ht="12.75" customHeight="1" x14ac:dyDescent="0.2">
      <c r="A49" s="609" t="s">
        <v>46</v>
      </c>
      <c r="B49" s="609"/>
      <c r="C49" s="609"/>
      <c r="D49" s="277"/>
      <c r="E49" s="277"/>
      <c r="F49" s="277"/>
      <c r="G49" s="277"/>
      <c r="H49" s="277" t="s">
        <v>88</v>
      </c>
      <c r="O49" s="601">
        <f>IF(Voreinstellungen!C33="","",IF(Voreinstellungen!C33="REST",IFERROR(SUMIF(Q5:Q35,Voreinstellungen!B33,R5:R35)/SUMIF(Q5:Q35,Voreinstellungen!B33,V5:V35),0),IF(Voreinstellungen!C33="NONE",COUNTIF(Q5:Q35,Voreinstellungen!B33),IF(Voreinstellungen!C33="XTRA",COUNTIF(Q5:Q35,Voreinstellungen!B33),COUNTIF(Q5:Q35,Voreinstellungen!B33)*IF(Voreinstellungen!C33=0,1,Voreinstellungen!C33)))))</f>
        <v>0</v>
      </c>
      <c r="P49" s="602"/>
      <c r="Q49" s="694" t="str">
        <f>IF(Voreinstellungen!A33="","",REPT(Voreinstellungen!A33,1) &amp; " (" &amp; REPT(Voreinstellungen!B33,1) &amp; ")")</f>
        <v>Eigener Code 5 (E5)</v>
      </c>
      <c r="R49" s="694"/>
      <c r="S49" s="694"/>
      <c r="T49" s="694"/>
      <c r="U49" s="694"/>
      <c r="V49" s="694"/>
      <c r="W49" s="694"/>
      <c r="X49" s="694"/>
      <c r="Y49" s="694"/>
      <c r="Z49" s="694"/>
      <c r="AA49" s="694"/>
      <c r="AB49" s="694"/>
      <c r="AC49" s="694"/>
      <c r="AD49" s="694"/>
      <c r="AE49" s="694"/>
      <c r="AF49" s="694"/>
      <c r="AG49" s="694"/>
      <c r="AH49" s="694"/>
      <c r="AI49" s="694"/>
      <c r="AJ49" s="694"/>
      <c r="AK49" s="694"/>
      <c r="AL49" s="694"/>
      <c r="AM49" s="694"/>
      <c r="AN49" s="603" t="str">
        <f>IF(ISBLANK(Voreinstellungen!C33),"",IF(Voreinstellungen!C33="REST",SUMIF(Q5:Q35,Voreinstellungen!B33,V5:V35)-SUMIF(Q5:Q35,Voreinstellungen!B33,R5:R35),IF(ISTEXT(Voreinstellungen!C33),SUMIF(Q5:Q35,Voreinstellungen!B33,R5:R35),"")))</f>
        <v/>
      </c>
      <c r="AP49" s="531"/>
      <c r="AQ49" s="629"/>
      <c r="AR49" s="466"/>
      <c r="AS49" s="466"/>
      <c r="AT49" s="467"/>
    </row>
    <row r="50" spans="1:46" x14ac:dyDescent="0.2">
      <c r="Q50" s="334"/>
      <c r="S50" s="586"/>
      <c r="T50" s="586"/>
      <c r="U50" s="586"/>
      <c r="V50" s="586"/>
      <c r="W50" s="586"/>
      <c r="X50" s="586"/>
      <c r="Y50" s="586"/>
      <c r="Z50" s="586"/>
      <c r="AA50" s="586"/>
      <c r="AB50" s="586"/>
      <c r="AC50" s="586"/>
      <c r="AD50" s="586"/>
      <c r="AE50" s="586"/>
      <c r="AF50" s="586"/>
      <c r="AG50" s="586"/>
      <c r="AH50" s="586"/>
      <c r="AI50" s="586"/>
      <c r="AJ50" s="586"/>
      <c r="AK50" s="586"/>
      <c r="AL50" s="586"/>
      <c r="AM50" s="464"/>
      <c r="AN50" s="590"/>
      <c r="AO50" s="338"/>
      <c r="AP50" s="531"/>
      <c r="AQ50" s="629"/>
      <c r="AR50" s="466"/>
      <c r="AS50" s="466"/>
      <c r="AT50" s="467"/>
    </row>
    <row r="51" spans="1:46" x14ac:dyDescent="0.2">
      <c r="R51" s="339"/>
      <c r="S51" s="340"/>
      <c r="T51" s="340"/>
      <c r="U51" s="340"/>
      <c r="V51" s="339"/>
      <c r="W51" s="339"/>
      <c r="X51" s="339"/>
      <c r="Y51" s="339"/>
      <c r="Z51" s="339"/>
      <c r="AA51" s="339"/>
      <c r="AB51" s="339"/>
      <c r="AC51" s="339"/>
      <c r="AD51" s="339"/>
      <c r="AE51" s="339"/>
      <c r="AF51" s="339"/>
      <c r="AG51" s="339"/>
      <c r="AH51" s="339"/>
      <c r="AI51" s="339"/>
      <c r="AJ51" s="339"/>
      <c r="AK51" s="339"/>
      <c r="AL51" s="339"/>
      <c r="AM51" s="339"/>
      <c r="AP51" s="531"/>
      <c r="AQ51" s="629"/>
      <c r="AR51" s="466"/>
      <c r="AS51" s="466"/>
      <c r="AT51" s="467"/>
    </row>
    <row r="53" spans="1:46" x14ac:dyDescent="0.2">
      <c r="AP53" s="463"/>
      <c r="AQ53" s="628"/>
      <c r="AR53" s="394"/>
      <c r="AS53" s="394"/>
      <c r="AT53" s="395"/>
    </row>
    <row r="54" spans="1:46" x14ac:dyDescent="0.2">
      <c r="AP54" s="532"/>
      <c r="AQ54" s="630"/>
      <c r="AR54" s="529"/>
      <c r="AS54" s="529"/>
      <c r="AT54" s="339"/>
    </row>
  </sheetData>
  <sheetProtection selectLockedCells="1"/>
  <mergeCells count="23">
    <mergeCell ref="Q49:AM49"/>
    <mergeCell ref="Q38:AM38"/>
    <mergeCell ref="A4:B4"/>
    <mergeCell ref="L3:M3"/>
    <mergeCell ref="N3:O3"/>
    <mergeCell ref="R3:U3"/>
    <mergeCell ref="Q44:AM44"/>
    <mergeCell ref="Q45:AM45"/>
    <mergeCell ref="Q46:AM46"/>
    <mergeCell ref="Q47:AM47"/>
    <mergeCell ref="Q48:AM48"/>
    <mergeCell ref="Q39:AM39"/>
    <mergeCell ref="Q40:AM40"/>
    <mergeCell ref="Q41:AM41"/>
    <mergeCell ref="Q42:AM42"/>
    <mergeCell ref="Q43:AM43"/>
    <mergeCell ref="A1:C2"/>
    <mergeCell ref="Q3:Q4"/>
    <mergeCell ref="AM1:AN1"/>
    <mergeCell ref="AM2:AN2"/>
    <mergeCell ref="H3:I3"/>
    <mergeCell ref="J3:K3"/>
    <mergeCell ref="D3:G3"/>
  </mergeCells>
  <conditionalFormatting sqref="R5:AN35 A5:P35">
    <cfRule type="expression" dxfId="445" priority="995">
      <formula>WEEKDAY($A5,2)=6</formula>
    </cfRule>
    <cfRule type="expression" dxfId="444" priority="996">
      <formula>OR(WEEKDAY($A5,2)=7,$C5&lt;&gt;"")</formula>
    </cfRule>
  </conditionalFormatting>
  <conditionalFormatting sqref="D5:D35">
    <cfRule type="expression" dxfId="443" priority="21">
      <formula>ISTEXT($D5)</formula>
    </cfRule>
  </conditionalFormatting>
  <conditionalFormatting sqref="E5:G35">
    <cfRule type="expression" dxfId="442" priority="20">
      <formula>ISTEXT($E5)</formula>
    </cfRule>
  </conditionalFormatting>
  <conditionalFormatting sqref="H5:H35">
    <cfRule type="expression" dxfId="441" priority="19">
      <formula>ISTEXT($H5)</formula>
    </cfRule>
  </conditionalFormatting>
  <conditionalFormatting sqref="I5:I35">
    <cfRule type="expression" dxfId="440" priority="18">
      <formula>ISTEXT($I5)</formula>
    </cfRule>
  </conditionalFormatting>
  <conditionalFormatting sqref="L6:P35">
    <cfRule type="expression" dxfId="439" priority="4">
      <formula>ISTEXT($E6)</formula>
    </cfRule>
  </conditionalFormatting>
  <conditionalFormatting sqref="Q5:Q35">
    <cfRule type="expression" dxfId="438" priority="1025">
      <formula>WEEKDAY($A5,2)=6</formula>
    </cfRule>
    <cfRule type="expression" dxfId="437" priority="1026">
      <formula>OR(WEEKDAY($A5,2)=7,$C5&lt;&gt;"")</formula>
    </cfRule>
  </conditionalFormatting>
  <conditionalFormatting sqref="O5:O35">
    <cfRule type="expression" dxfId="436" priority="3">
      <formula>ISTEXT($E5)</formula>
    </cfRule>
  </conditionalFormatting>
  <conditionalFormatting sqref="O38:O49">
    <cfRule type="expression" dxfId="435" priority="2">
      <formula>MOD(O38,1)=0</formula>
    </cfRule>
  </conditionalFormatting>
  <conditionalFormatting sqref="R35">
    <cfRule type="expression" dxfId="434" priority="1">
      <formula>ISTEXT($E35)</formula>
    </cfRule>
  </conditionalFormatting>
  <dataValidations count="1">
    <dataValidation type="list" showErrorMessage="1" sqref="Q5:Q35" xr:uid="{00000000-0002-0000-0200-000000000000}">
      <formula1>CodeList</formula1>
    </dataValidation>
  </dataValidations>
  <printOptions horizontalCentered="1" verticalCentered="1"/>
  <pageMargins left="0.23622047244094491" right="0.23622047244094491" top="0.23622047244094491" bottom="0.23622047244094491" header="0.11811023622047245" footer="0.11811023622047245"/>
  <pageSetup paperSize="9" scale="79" firstPageNumber="0" orientation="landscape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987" id="{00000000-000E-0000-0200-000002000000}">
            <xm:f>$Q5=Voreinstellungen!$B$25</xm:f>
            <x14:dxf>
              <fill>
                <patternFill>
                  <bgColor rgb="FF0070C0"/>
                </patternFill>
              </fill>
            </x14:dxf>
          </x14:cfRule>
          <x14:cfRule type="expression" priority="988" id="{00000000-000E-0000-0200-000003000000}">
            <xm:f>$Q5=Voreinstellungen!$B$26</xm:f>
            <x14:dxf>
              <fill>
                <patternFill>
                  <bgColor rgb="FF00B0F0"/>
                </patternFill>
              </fill>
            </x14:dxf>
          </x14:cfRule>
          <x14:cfRule type="expression" priority="989" id="{00000000-000E-0000-0200-000004000000}">
            <xm:f>$Q5=Voreinstellungen!$B$20</xm:f>
            <x14:dxf>
              <fill>
                <patternFill>
                  <bgColor theme="4" tint="0.59996337778862885"/>
                </patternFill>
              </fill>
            </x14:dxf>
          </x14:cfRule>
          <x14:cfRule type="expression" priority="990" id="{00000000-000E-0000-0200-000005000000}">
            <xm:f>$Q5=Voreinstellungen!$B$21</xm:f>
            <x14:dxf>
              <fill>
                <patternFill>
                  <bgColor indexed="13"/>
                </patternFill>
              </fill>
            </x14:dxf>
          </x14:cfRule>
          <x14:cfRule type="expression" priority="991" id="{00000000-000E-0000-0200-000006000000}">
            <xm:f>$Q5=Voreinstellungen!$B$22</xm:f>
            <x14:dxf>
              <fill>
                <patternFill>
                  <bgColor rgb="FFFFFF66"/>
                </patternFill>
              </fill>
            </x14:dxf>
          </x14:cfRule>
          <x14:cfRule type="expression" priority="992" id="{894571E0-A0D5-438B-BC30-2973F785E958}">
            <xm:f>$Q5=Voreinstellungen!$B$31</xm:f>
            <x14:dxf>
              <fill>
                <patternFill>
                  <bgColor theme="3" tint="0.59996337778862885"/>
                </patternFill>
              </fill>
            </x14:dxf>
          </x14:cfRule>
          <x14:cfRule type="expression" priority="993" id="{18331937-7FE2-4FFA-92EA-234922708614}">
            <xm:f>$Q5=Voreinstellungen!$B$32</xm:f>
            <x14:dxf>
              <fill>
                <patternFill>
                  <bgColor rgb="FF92D050"/>
                </patternFill>
              </fill>
            </x14:dxf>
          </x14:cfRule>
          <x14:cfRule type="expression" priority="994" id="{C44C5AD5-7DA4-4903-815C-506EC3CC2DEE}">
            <xm:f>$Q5=Voreinstellungen!$B$33</xm:f>
            <x14:dxf>
              <fill>
                <patternFill>
                  <bgColor theme="9" tint="0.39994506668294322"/>
                </patternFill>
              </fill>
            </x14:dxf>
          </x14:cfRule>
          <xm:sqref>R5:AN35 A5:P35</xm:sqref>
        </x14:conditionalFormatting>
        <x14:conditionalFormatting xmlns:xm="http://schemas.microsoft.com/office/excel/2006/main">
          <x14:cfRule type="expression" priority="1017" id="{DDFDA442-AB79-4EB8-B5AD-E9DBF0D79DC0}">
            <xm:f>$J5=Voreinstellungen!$B$25</xm:f>
            <x14:dxf>
              <fill>
                <patternFill>
                  <bgColor rgb="FF0070C0"/>
                </patternFill>
              </fill>
            </x14:dxf>
          </x14:cfRule>
          <x14:cfRule type="expression" priority="1018" id="{6C994187-5641-4E40-B9FB-551D4BB09F0B}">
            <xm:f>$J5=Voreinstellungen!$B$26</xm:f>
            <x14:dxf>
              <fill>
                <patternFill>
                  <bgColor rgb="FF00B0F0"/>
                </patternFill>
              </fill>
            </x14:dxf>
          </x14:cfRule>
          <x14:cfRule type="expression" priority="1019" id="{BAC9D0C8-3D38-4A0F-8B8F-71394B3428AE}">
            <xm:f>$J5=Voreinstellungen!$B$20</xm:f>
            <x14:dxf>
              <fill>
                <patternFill>
                  <bgColor theme="4" tint="0.59996337778862885"/>
                </patternFill>
              </fill>
            </x14:dxf>
          </x14:cfRule>
          <x14:cfRule type="expression" priority="1020" id="{53DF7AD1-2BC1-43AA-A7B3-0076C5B5C4DF}">
            <xm:f>$J5=Voreinstellungen!$B$21</xm:f>
            <x14:dxf>
              <fill>
                <patternFill>
                  <bgColor indexed="13"/>
                </patternFill>
              </fill>
            </x14:dxf>
          </x14:cfRule>
          <x14:cfRule type="expression" priority="1021" id="{65CED63B-3FE8-45F3-8459-55A4ACA154EF}">
            <xm:f>$J5=Voreinstellungen!$B$22</xm:f>
            <x14:dxf>
              <fill>
                <patternFill>
                  <bgColor rgb="FFFFFF66"/>
                </patternFill>
              </fill>
            </x14:dxf>
          </x14:cfRule>
          <x14:cfRule type="expression" priority="1022" id="{83DC44CD-986E-4CB6-B861-D0C7D838A1AF}">
            <xm:f>$J5=Voreinstellungen!$B$31</xm:f>
            <x14:dxf>
              <fill>
                <patternFill>
                  <bgColor theme="3" tint="0.59996337778862885"/>
                </patternFill>
              </fill>
            </x14:dxf>
          </x14:cfRule>
          <x14:cfRule type="expression" priority="1023" id="{6DE1DA4F-0A9E-4130-A661-252630A54488}">
            <xm:f>$J5=Voreinstellungen!$B$32</xm:f>
            <x14:dxf>
              <fill>
                <patternFill>
                  <bgColor rgb="FF92D050"/>
                </patternFill>
              </fill>
            </x14:dxf>
          </x14:cfRule>
          <x14:cfRule type="expression" priority="1024" id="{8FE5C7F6-14DC-40B9-BF76-AF22CACD1A88}">
            <xm:f>$J5=Voreinstellungen!$B$33</xm:f>
            <x14:dxf>
              <fill>
                <patternFill>
                  <bgColor theme="9" tint="0.39994506668294322"/>
                </patternFill>
              </fill>
            </x14:dxf>
          </x14:cfRule>
          <xm:sqref>Q5:Q35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BD51E4-C722-4C1D-BFC8-B2CA86677944}">
  <sheetPr codeName="Tabelle1">
    <tabColor theme="2" tint="-0.249977111117893"/>
    <pageSetUpPr fitToPage="1"/>
  </sheetPr>
  <dimension ref="A1:AV54"/>
  <sheetViews>
    <sheetView showGridLines="0" showZeros="0" zoomScale="80" zoomScaleNormal="80" workbookViewId="0">
      <pane ySplit="4" topLeftCell="A5" activePane="bottomLeft" state="frozen"/>
      <selection activeCell="T6" sqref="T6"/>
      <selection pane="bottomLeft" activeCell="C11" sqref="C11"/>
    </sheetView>
  </sheetViews>
  <sheetFormatPr baseColWidth="10" defaultColWidth="11.5703125" defaultRowHeight="12.75" outlineLevelCol="1" x14ac:dyDescent="0.2"/>
  <cols>
    <col min="1" max="1" width="9.28515625" style="45" customWidth="1"/>
    <col min="2" max="2" width="5.7109375" style="45" customWidth="1"/>
    <col min="3" max="3" width="18.7109375" style="45" customWidth="1"/>
    <col min="4" max="4" width="6.7109375" style="301" customWidth="1"/>
    <col min="5" max="9" width="6.7109375" style="276" customWidth="1"/>
    <col min="10" max="15" width="6.7109375" style="287" customWidth="1"/>
    <col min="16" max="16" width="8.140625" style="287" customWidth="1" outlineLevel="1"/>
    <col min="17" max="17" width="3.7109375" style="287" customWidth="1"/>
    <col min="18" max="18" width="8.7109375" style="45" customWidth="1"/>
    <col min="19" max="20" width="8.7109375" style="46" customWidth="1" outlineLevel="1"/>
    <col min="21" max="21" width="8.7109375" style="46" customWidth="1"/>
    <col min="22" max="32" width="8.7109375" style="45" customWidth="1" outlineLevel="1"/>
    <col min="33" max="36" width="9.28515625" style="45" customWidth="1" outlineLevel="1"/>
    <col min="37" max="37" width="8.7109375" style="45" customWidth="1" outlineLevel="1"/>
    <col min="38" max="38" width="20.7109375" style="45" customWidth="1"/>
    <col min="39" max="39" width="7.7109375" style="45" customWidth="1"/>
    <col min="40" max="40" width="0.7109375" style="45" customWidth="1"/>
    <col min="41" max="41" width="18" style="530" customWidth="1" outlineLevel="1"/>
    <col min="42" max="42" width="15.28515625" style="623" customWidth="1" outlineLevel="1"/>
    <col min="43" max="44" width="5.7109375" style="276" customWidth="1" outlineLevel="1"/>
    <col min="45" max="45" width="5.7109375" style="45" customWidth="1" outlineLevel="1"/>
    <col min="46" max="46" width="0.7109375" style="45" customWidth="1" outlineLevel="1"/>
    <col min="47" max="16384" width="11.5703125" style="45"/>
  </cols>
  <sheetData>
    <row r="1" spans="1:48" ht="15" customHeight="1" x14ac:dyDescent="0.2">
      <c r="A1" s="678">
        <f>DATE(Jahr,2,1)</f>
        <v>44227</v>
      </c>
      <c r="B1" s="679"/>
      <c r="C1" s="679"/>
      <c r="D1" s="469" t="str">
        <f>"Nettoarbeitstage: "&amp;NETWORKDAYS(A1,EOMONTH(A1,0),Feiertage!A4:A39)</f>
        <v>Nettoarbeitstage: 20</v>
      </c>
      <c r="E1" s="607"/>
      <c r="F1" s="513"/>
      <c r="G1" s="513"/>
      <c r="H1" s="471"/>
      <c r="I1" s="470"/>
      <c r="J1" s="285"/>
      <c r="K1" s="468"/>
      <c r="L1" s="285"/>
      <c r="M1" s="468"/>
      <c r="N1" s="468"/>
      <c r="O1" s="285"/>
      <c r="P1" s="285"/>
      <c r="Q1" s="288"/>
      <c r="R1" s="507"/>
      <c r="S1" s="503"/>
      <c r="T1" s="503"/>
      <c r="U1" s="511"/>
      <c r="V1" s="510"/>
      <c r="W1" s="511"/>
      <c r="X1" s="509"/>
      <c r="Y1" s="509"/>
      <c r="Z1" s="533"/>
      <c r="AA1" s="533"/>
      <c r="AB1" s="533"/>
      <c r="AC1" s="533"/>
      <c r="AD1" s="533"/>
      <c r="AE1" s="533"/>
      <c r="AF1" s="500"/>
      <c r="AG1" s="500"/>
      <c r="AH1" s="500"/>
      <c r="AI1" s="500"/>
      <c r="AJ1" s="500"/>
      <c r="AK1" s="500"/>
      <c r="AL1" s="684" t="str">
        <f>Voreinstellungen!C3</f>
        <v>Vivien Günther</v>
      </c>
      <c r="AM1" s="685"/>
    </row>
    <row r="2" spans="1:48" ht="15" customHeight="1" x14ac:dyDescent="0.2">
      <c r="A2" s="680"/>
      <c r="B2" s="681"/>
      <c r="C2" s="681"/>
      <c r="D2" s="608"/>
      <c r="E2" s="608"/>
      <c r="F2" s="608"/>
      <c r="G2" s="608"/>
      <c r="H2" s="608"/>
      <c r="I2" s="608"/>
      <c r="J2" s="286"/>
      <c r="K2" s="286"/>
      <c r="L2" s="286"/>
      <c r="M2" s="286"/>
      <c r="N2" s="286"/>
      <c r="O2" s="286"/>
      <c r="P2" s="286"/>
      <c r="Q2" s="289"/>
      <c r="R2" s="259"/>
      <c r="S2" s="259"/>
      <c r="T2" s="259"/>
      <c r="U2" s="259"/>
      <c r="V2" s="259"/>
      <c r="W2" s="501"/>
      <c r="X2" s="501"/>
      <c r="Y2" s="501"/>
      <c r="Z2" s="501"/>
      <c r="AA2" s="501"/>
      <c r="AB2" s="501"/>
      <c r="AC2" s="501"/>
      <c r="AD2" s="501"/>
      <c r="AE2" s="501"/>
      <c r="AF2" s="501"/>
      <c r="AG2" s="501"/>
      <c r="AH2" s="501"/>
      <c r="AI2" s="502"/>
      <c r="AJ2" s="501"/>
      <c r="AK2" s="501"/>
      <c r="AL2" s="686" t="str">
        <f>IF(ISBLANK(Voreinstellungen!C4),"","Personal-Nr.: "&amp;Voreinstellungen!C4)</f>
        <v>Personal-Nr.: 60161</v>
      </c>
      <c r="AM2" s="687"/>
    </row>
    <row r="3" spans="1:48" ht="15" customHeight="1" x14ac:dyDescent="0.2">
      <c r="A3" s="485"/>
      <c r="B3" s="486"/>
      <c r="C3" s="487"/>
      <c r="D3" s="691" t="s">
        <v>179</v>
      </c>
      <c r="E3" s="692"/>
      <c r="F3" s="692"/>
      <c r="G3" s="693"/>
      <c r="H3" s="688" t="s">
        <v>191</v>
      </c>
      <c r="I3" s="688"/>
      <c r="J3" s="689" t="s">
        <v>178</v>
      </c>
      <c r="K3" s="690"/>
      <c r="L3" s="689" t="s">
        <v>184</v>
      </c>
      <c r="M3" s="690"/>
      <c r="N3" s="689" t="s">
        <v>185</v>
      </c>
      <c r="O3" s="690"/>
      <c r="P3" s="492"/>
      <c r="Q3" s="682" t="s">
        <v>24</v>
      </c>
      <c r="R3" s="698" t="s">
        <v>181</v>
      </c>
      <c r="S3" s="698"/>
      <c r="T3" s="698"/>
      <c r="U3" s="698"/>
      <c r="V3" s="472"/>
      <c r="W3" s="472"/>
      <c r="X3" s="472"/>
      <c r="Y3" s="472"/>
      <c r="Z3" s="472"/>
      <c r="AA3" s="472"/>
      <c r="AB3" s="472"/>
      <c r="AC3" s="472"/>
      <c r="AD3" s="472"/>
      <c r="AE3" s="472"/>
      <c r="AF3" s="472"/>
      <c r="AG3" s="472"/>
      <c r="AH3" s="472"/>
      <c r="AI3" s="472"/>
      <c r="AJ3" s="472"/>
      <c r="AK3" s="472"/>
      <c r="AL3" s="473"/>
      <c r="AM3" s="474"/>
    </row>
    <row r="4" spans="1:48" s="47" customFormat="1" ht="24" customHeight="1" x14ac:dyDescent="0.25">
      <c r="A4" s="696" t="s">
        <v>73</v>
      </c>
      <c r="B4" s="697"/>
      <c r="C4" s="484" t="s">
        <v>26</v>
      </c>
      <c r="D4" s="488" t="s">
        <v>180</v>
      </c>
      <c r="E4" s="483" t="s">
        <v>132</v>
      </c>
      <c r="F4" s="488" t="s">
        <v>180</v>
      </c>
      <c r="G4" s="483" t="s">
        <v>132</v>
      </c>
      <c r="H4" s="481" t="s">
        <v>180</v>
      </c>
      <c r="I4" s="482" t="s">
        <v>132</v>
      </c>
      <c r="J4" s="489" t="s">
        <v>180</v>
      </c>
      <c r="K4" s="490" t="s">
        <v>132</v>
      </c>
      <c r="L4" s="489" t="s">
        <v>180</v>
      </c>
      <c r="M4" s="490" t="s">
        <v>132</v>
      </c>
      <c r="N4" s="489" t="s">
        <v>180</v>
      </c>
      <c r="O4" s="491" t="s">
        <v>132</v>
      </c>
      <c r="P4" s="493" t="s">
        <v>144</v>
      </c>
      <c r="Q4" s="683"/>
      <c r="R4" s="475" t="s">
        <v>183</v>
      </c>
      <c r="S4" s="475" t="s">
        <v>182</v>
      </c>
      <c r="T4" s="475" t="s">
        <v>186</v>
      </c>
      <c r="U4" s="476" t="s">
        <v>80</v>
      </c>
      <c r="V4" s="477" t="s">
        <v>81</v>
      </c>
      <c r="W4" s="494" t="s">
        <v>188</v>
      </c>
      <c r="X4" s="477" t="s">
        <v>189</v>
      </c>
      <c r="Y4" s="508" t="s">
        <v>195</v>
      </c>
      <c r="Z4" s="479" t="s">
        <v>194</v>
      </c>
      <c r="AA4" s="479" t="s">
        <v>205</v>
      </c>
      <c r="AB4" s="508" t="s">
        <v>201</v>
      </c>
      <c r="AC4" s="508" t="s">
        <v>202</v>
      </c>
      <c r="AD4" s="508" t="s">
        <v>203</v>
      </c>
      <c r="AE4" s="508" t="s">
        <v>204</v>
      </c>
      <c r="AF4" s="508" t="s">
        <v>190</v>
      </c>
      <c r="AG4" s="589" t="s">
        <v>193</v>
      </c>
      <c r="AH4" s="505">
        <v>0.2</v>
      </c>
      <c r="AI4" s="478">
        <v>0.25</v>
      </c>
      <c r="AJ4" s="505">
        <v>0.45</v>
      </c>
      <c r="AK4" s="618" t="s">
        <v>206</v>
      </c>
      <c r="AL4" s="480" t="s">
        <v>82</v>
      </c>
      <c r="AM4" s="475" t="s">
        <v>83</v>
      </c>
      <c r="AN4" s="306"/>
      <c r="AO4" s="588">
        <f>PauseKWert</f>
        <v>2.0833333333333332E-2</v>
      </c>
      <c r="AP4" s="624"/>
      <c r="AQ4" s="588">
        <f>PauseGWert</f>
        <v>3.125E-2</v>
      </c>
    </row>
    <row r="5" spans="1:48" s="19" customFormat="1" ht="12" x14ac:dyDescent="0.2">
      <c r="A5" s="535">
        <f>A1</f>
        <v>44227</v>
      </c>
      <c r="B5" s="536">
        <f t="shared" ref="B5:B35" si="0">A5</f>
        <v>44227</v>
      </c>
      <c r="C5" s="537" t="str">
        <f t="shared" ref="C5:C32" si="1">IF(ISERROR(VLOOKUP(B5,Feiertage,2,FALSE)),"",(VLOOKUP(B5,Feiertage,2,FALSE)))</f>
        <v/>
      </c>
      <c r="D5" s="457"/>
      <c r="E5" s="254"/>
      <c r="F5" s="520"/>
      <c r="G5" s="516"/>
      <c r="H5" s="567"/>
      <c r="I5" s="568"/>
      <c r="J5" s="569"/>
      <c r="K5" s="570"/>
      <c r="L5" s="571"/>
      <c r="M5" s="572"/>
      <c r="N5" s="572"/>
      <c r="O5" s="572"/>
      <c r="P5" s="619">
        <f>IF(T5&gt;PauseGTime,PauseGWert,IF(T5&gt;PauseKTime,PauseKWert,IF(T5&lt;=PauseKTime,0,WENN)))</f>
        <v>0</v>
      </c>
      <c r="Q5" s="363"/>
      <c r="R5" s="544">
        <f>T5-P5</f>
        <v>0</v>
      </c>
      <c r="S5" s="546">
        <f t="shared" ref="S5:S35" ca="1" si="2">IF(AND(C5&lt;&gt;"",Q5=""),IF(ISERROR(VLOOKUP(B5,Feiertage,2,FALSE)),0,VLOOKUP(B5,Feiertage,3,FALSE)*V5),IF(A5="",0,IF(Q5&lt;&gt;"",IF(UPPER(Q5)=VLOOKUP(UPPER(Q5),Code,1,FALSE),IF(OR(VLOOKUP(Q5,Code,2,FALSE)="NONE",VLOOKUP(Q5,Code,2,FALSE)="XTRA",VLOOKUP(Q5,Code,2,FALSE)="REST"),R5,IF(ISERROR(VLOOKUP(B5,Feiertage,2,FALSE)),VLOOKUP(Q5,Code,2,FALSE)*V5,IF(VLOOKUP(B5,Feiertage,3,FALSE)=0.5,IF(OR(UPPER(Q5)="G",UPPER(Q5)="H"),VLOOKUP(B5,Feiertage,3,FALSE)*VLOOKUP(Q5,Code,2,FALSE)*V5,0),VLOOKUP(B5,Feiertage,3,FALSE)*VLOOKUP(Q5,Code,2,FALSE)*V5))),V5),V5)))</f>
        <v>0</v>
      </c>
      <c r="T5" s="546">
        <f>IF(A5="",0,IF(IF(D5&lt;E5,E5-D5,IF(E5="",0,E5-D5+1))&gt;0,IF(D5&lt;E5,E5-D5,IF(E5="",0,E5-D5+1)),0))+(IF(IF(F5&lt;G5,G5-F5,IF(G5="",0,G5-F5+1))&gt;0,IF(F5&lt;G5,G5-F5,IF(G5="",0,G5-F5+1)),0)+W5+X5)</f>
        <v>0</v>
      </c>
      <c r="U5" s="547">
        <f t="shared" ref="U5:U35" ca="1" si="3">IF(A5="",0,ROUND(R5-S5,14))</f>
        <v>0</v>
      </c>
      <c r="V5" s="548">
        <f t="shared" ref="V5:V35" ca="1" si="4">IF(A5="",0,INDIRECT(ADDRESS(MATCH(A5,SOLL_AZ_Ab,1)+11,WEEKDAY(A5,2)+3,,,"Voreinstellungen"),TRUE))</f>
        <v>0</v>
      </c>
      <c r="W5" s="549">
        <f>IF(A5="",0,IF(IF(H5&lt;I5,I5-H5,IF(I5="",0,I5-H5+1))&gt;0,IF(H5&lt;I5,I5-H5,IF(I5="",0,I5-H5+1)),0))*Voreinstellungen!$E$23</f>
        <v>0</v>
      </c>
      <c r="X5" s="549">
        <f>IF(A5="",0,IF(IF(J5&lt;K5,K5-J5,IF(K5="",0,K5-J5+1))&gt;0,IF(J5&lt;K5,K5-J5,IF(K5="",0,K5-J5+1)),0))+(IF(IF(L5&lt;M5,M5-L5,IF(M5="",0,M5-L5+1))&gt;0,IF(L5&lt;M5,M5-L5,IF(M5="",0,M5-L5+1)),0))+(IF(IF(N5&lt;O5,O5-N5,IF(O5="",0,O5-N5+1))&gt;0,IF(N5&lt;O5,O5-N5,IF(O5="",0,O5-N5+1)),0))</f>
        <v>0</v>
      </c>
      <c r="Y5" s="550">
        <f>IF(WEEKDAY($A5,2)&lt;7,((W5+X5)*Voreinstellungen!$C$45))</f>
        <v>0</v>
      </c>
      <c r="Z5" s="550">
        <f>((R5)*Voreinstellungen!$C$45)</f>
        <v>0</v>
      </c>
      <c r="AA5" s="611">
        <f t="shared" ref="AA5:AA35" si="5">IFERROR(IF(OR(WEEKDAY(A5,2)&gt;6,NOT(ISERROR(VLOOKUP(A5,Feiertage,3,0)))),"",Z5),"")</f>
        <v>0</v>
      </c>
      <c r="AB5" s="611" t="str">
        <f t="shared" ref="AB5:AB32" si="6">IFERROR(IF(WEEKDAY($A5,2)&gt;6,Z5,""),"")</f>
        <v/>
      </c>
      <c r="AC5" s="611" t="str">
        <f t="shared" ref="AC5:AC32" si="7">IF(ISERROR(VLOOKUP(B5,Feiertage,2,FALSE)),"",(Z5))</f>
        <v/>
      </c>
      <c r="AD5" s="611" t="str">
        <f t="shared" ref="AD5:AD32" si="8">IFERROR(IF(WEEKDAY($A5,2)&gt;6,Y5,""),"")</f>
        <v/>
      </c>
      <c r="AE5" s="611" t="str">
        <f t="shared" ref="AE5:AE32" si="9">IF(ISERROR(VLOOKUP(B5,Feiertage,2,FALSE)),"",(Y5))</f>
        <v/>
      </c>
      <c r="AF5" s="550">
        <f t="shared" ref="AF5:AF35" si="10">((R5+W5+X5)*24)</f>
        <v>0</v>
      </c>
      <c r="AG5" s="632">
        <f>IFERROR((AF5)*Voreinstellungen!$E$19,"")</f>
        <v>0</v>
      </c>
      <c r="AH5" s="632">
        <f>IF(ISERROR(AA5*Voreinstellungen!$E$19*Voreinstellungen!$E$20),"",(AA5*Voreinstellungen!$E$19*Voreinstellungen!$E$20))</f>
        <v>0</v>
      </c>
      <c r="AI5" s="632" t="str">
        <f>IF(ISERROR((AB5&amp;AC5)*Voreinstellungen!$E$19*Voreinstellungen!$E$21),"",((AB5&amp;AC5)*Voreinstellungen!$E$19*Voreinstellungen!$E$21))</f>
        <v/>
      </c>
      <c r="AJ5" s="632" t="str">
        <f>IF(ISERROR((AD5&amp;AE5)*Voreinstellungen!$E$19*Voreinstellungen!$E$22),"",((AD5&amp;AE5)*Voreinstellungen!$E$19*Voreinstellungen!$E$22))</f>
        <v/>
      </c>
      <c r="AK5" s="616">
        <f>SUM(AG5:AJ5)</f>
        <v>0</v>
      </c>
      <c r="AL5" s="212"/>
      <c r="AM5" s="562">
        <f ca="1">IF(A5="","",IF(U5&lt;&gt;"",ROUND(F38+U5,14),F38))</f>
        <v>0</v>
      </c>
      <c r="AO5" s="617"/>
      <c r="AP5" s="625"/>
      <c r="AQ5" s="566"/>
      <c r="AR5" s="565"/>
      <c r="AS5" s="344">
        <f t="shared" ref="AS5:AS35" si="11">MOD(E5-D5,1)*24</f>
        <v>0</v>
      </c>
      <c r="AT5" s="344">
        <f t="shared" ref="AT5:AT35" si="12">MOD(I5-H5,1)*24</f>
        <v>0</v>
      </c>
      <c r="AU5" s="19">
        <f>IF(AND(A5&lt;&gt;""),IF(ISERROR(VLOOKUP(A5,Feiertage,3,FALSE)),AF5,""))</f>
        <v>0</v>
      </c>
      <c r="AV5" s="499"/>
    </row>
    <row r="6" spans="1:48" s="19" customFormat="1" ht="12" x14ac:dyDescent="0.2">
      <c r="A6" s="538">
        <f t="shared" ref="A6:A32" si="13">A5+1</f>
        <v>44228</v>
      </c>
      <c r="B6" s="539">
        <f t="shared" si="0"/>
        <v>44228</v>
      </c>
      <c r="C6" s="540" t="str">
        <f t="shared" si="1"/>
        <v/>
      </c>
      <c r="D6" s="458"/>
      <c r="E6" s="255"/>
      <c r="F6" s="521"/>
      <c r="G6" s="517"/>
      <c r="H6" s="573"/>
      <c r="I6" s="574"/>
      <c r="J6" s="580"/>
      <c r="K6" s="575"/>
      <c r="L6" s="581"/>
      <c r="M6" s="581"/>
      <c r="N6" s="581"/>
      <c r="O6" s="581"/>
      <c r="P6" s="620">
        <f>IF(T6&gt;PauseGTime,PauseGWert,IF(T6&gt;PauseKTime,PauseKWert,IF(T6&lt;=PauseKTime,0,WENN)))</f>
        <v>0</v>
      </c>
      <c r="Q6" s="364"/>
      <c r="R6" s="545">
        <f>T6-P6</f>
        <v>0</v>
      </c>
      <c r="S6" s="551">
        <f t="shared" ca="1" si="2"/>
        <v>0</v>
      </c>
      <c r="T6" s="551">
        <f t="shared" ref="T6:T35" si="14">IF(A6="",0,IF(IF(D6&lt;E6,E6-D6,IF(E6="",0,E6-D6+1))&gt;0,IF(D6&lt;E6,E6-D6,IF(E6="",0,E6-D6+1)),0))+(IF(IF(F6&lt;G6,G6-F6,IF(G6="",0,G6-F6+1))&gt;0,IF(F6&lt;G6,G6-F6,IF(G6="",0,G6-F6+1)),0)+W6+X6)</f>
        <v>0</v>
      </c>
      <c r="U6" s="552">
        <f t="shared" ca="1" si="3"/>
        <v>0</v>
      </c>
      <c r="V6" s="553">
        <f t="shared" ca="1" si="4"/>
        <v>0</v>
      </c>
      <c r="W6" s="554">
        <f>IF(A6="",0,IF(IF(H6&lt;I6,I6-H6,IF(I6="",0,I6-H6+1))&gt;0,IF(H6&lt;I6,I6-H6,IF(I6="",0,I6-H6+1)),0))*Voreinstellungen!$E$23</f>
        <v>0</v>
      </c>
      <c r="X6" s="554">
        <f t="shared" ref="X6:X35" si="15">IF(A6="",0,IF(IF(J6&lt;K6,K6-J6,IF(K6="",0,K6-J6+1))&gt;0,IF(J6&lt;K6,K6-J6,IF(K6="",0,K6-J6+1)),0))+(IF(IF(L6&lt;M6,M6-L6,IF(M6="",0,M6-L6+1))&gt;0,IF(L6&lt;M6,M6-L6,IF(M6="",0,M6-L6+1)),0))+(IF(IF(N6&lt;O6,O6-N6,IF(O6="",0,O6-N6+1))&gt;0,IF(N6&lt;O6,O6-N6,IF(O6="",0,O6-N6+1)),0))</f>
        <v>0</v>
      </c>
      <c r="Y6" s="555">
        <f>((W6+X6)*Voreinstellungen!$C$45)</f>
        <v>0</v>
      </c>
      <c r="Z6" s="555">
        <f>((R6)*Voreinstellungen!$C$45)</f>
        <v>0</v>
      </c>
      <c r="AA6" s="612" t="str">
        <f t="shared" si="5"/>
        <v/>
      </c>
      <c r="AB6" s="612">
        <f t="shared" si="6"/>
        <v>0</v>
      </c>
      <c r="AC6" s="612" t="str">
        <f t="shared" si="7"/>
        <v/>
      </c>
      <c r="AD6" s="612">
        <f t="shared" si="8"/>
        <v>0</v>
      </c>
      <c r="AE6" s="612" t="str">
        <f t="shared" si="9"/>
        <v/>
      </c>
      <c r="AF6" s="555">
        <f t="shared" si="10"/>
        <v>0</v>
      </c>
      <c r="AG6" s="633">
        <f>IFERROR((AF6)*Voreinstellungen!$E$19,"")</f>
        <v>0</v>
      </c>
      <c r="AH6" s="633" t="str">
        <f>IF(ISERROR(AA6*Voreinstellungen!$E$19*Voreinstellungen!$E$20),"",(AA6*Voreinstellungen!$E$19*Voreinstellungen!$E$20))</f>
        <v/>
      </c>
      <c r="AI6" s="633">
        <f>IF(ISERROR((AB6&amp;AC6)*Voreinstellungen!$E$19*Voreinstellungen!$E$21),"",((AB6&amp;AC6)*Voreinstellungen!$E$19*Voreinstellungen!$E$21))</f>
        <v>0</v>
      </c>
      <c r="AJ6" s="633">
        <f>IF(ISERROR((AD6&amp;AE6)*Voreinstellungen!$E$19*Voreinstellungen!$E$22),"",((AD6&amp;AE6)*Voreinstellungen!$E$19*Voreinstellungen!$E$22))</f>
        <v>0</v>
      </c>
      <c r="AK6" s="556">
        <f t="shared" ref="AK6:AK35" si="16">SUM(AG6:AJ6)</f>
        <v>0</v>
      </c>
      <c r="AL6" s="131"/>
      <c r="AM6" s="563">
        <f t="shared" ref="AM6:AM35" ca="1" si="17">IF(A6="","",IF(U6&lt;&gt;"",ROUND(AM5+U6,14),AM5))</f>
        <v>0</v>
      </c>
      <c r="AO6" s="587"/>
      <c r="AP6" s="625"/>
      <c r="AQ6" s="566"/>
      <c r="AR6" s="565"/>
      <c r="AS6" s="345">
        <f t="shared" si="11"/>
        <v>0</v>
      </c>
      <c r="AT6" s="345">
        <f t="shared" si="12"/>
        <v>0</v>
      </c>
      <c r="AV6" s="499"/>
    </row>
    <row r="7" spans="1:48" s="19" customFormat="1" ht="12" x14ac:dyDescent="0.2">
      <c r="A7" s="538">
        <f t="shared" si="13"/>
        <v>44229</v>
      </c>
      <c r="B7" s="539">
        <f t="shared" si="0"/>
        <v>44229</v>
      </c>
      <c r="C7" s="540" t="str">
        <f t="shared" si="1"/>
        <v/>
      </c>
      <c r="D7" s="458"/>
      <c r="E7" s="255"/>
      <c r="F7" s="521"/>
      <c r="G7" s="517"/>
      <c r="H7" s="573"/>
      <c r="I7" s="574"/>
      <c r="J7" s="582"/>
      <c r="K7" s="576"/>
      <c r="L7" s="583"/>
      <c r="M7" s="583"/>
      <c r="N7" s="583"/>
      <c r="O7" s="581"/>
      <c r="P7" s="620">
        <f>IF(T7&gt;PauseGTime,PauseGWert,IF(T7&gt;PauseKTime,PauseKWert,IF(T7&lt;=PauseKTime,0,WENN)))</f>
        <v>0</v>
      </c>
      <c r="Q7" s="364"/>
      <c r="R7" s="545">
        <f t="shared" ref="R7:R35" si="18">T7-P7</f>
        <v>0</v>
      </c>
      <c r="S7" s="551">
        <f t="shared" ca="1" si="2"/>
        <v>0.29166666666666669</v>
      </c>
      <c r="T7" s="551">
        <f t="shared" si="14"/>
        <v>0</v>
      </c>
      <c r="U7" s="552">
        <f t="shared" ca="1" si="3"/>
        <v>-0.29166666666667002</v>
      </c>
      <c r="V7" s="553">
        <f t="shared" ca="1" si="4"/>
        <v>0.29166666666666669</v>
      </c>
      <c r="W7" s="554">
        <f>IF(A7="",0,IF(IF(H7&lt;I7,I7-H7,IF(I7="",0,I7-H7+1))&gt;0,IF(H7&lt;I7,I7-H7,IF(I7="",0,I7-H7+1)),0))*Voreinstellungen!$E$23</f>
        <v>0</v>
      </c>
      <c r="X7" s="554">
        <f t="shared" si="15"/>
        <v>0</v>
      </c>
      <c r="Y7" s="555">
        <f>((W7+X7)*Voreinstellungen!$C$45)</f>
        <v>0</v>
      </c>
      <c r="Z7" s="555">
        <f>((R7)*Voreinstellungen!$C$45)</f>
        <v>0</v>
      </c>
      <c r="AA7" s="612">
        <f t="shared" si="5"/>
        <v>0</v>
      </c>
      <c r="AB7" s="612" t="str">
        <f t="shared" si="6"/>
        <v/>
      </c>
      <c r="AC7" s="612" t="str">
        <f t="shared" si="7"/>
        <v/>
      </c>
      <c r="AD7" s="612" t="str">
        <f t="shared" si="8"/>
        <v/>
      </c>
      <c r="AE7" s="612" t="str">
        <f t="shared" si="9"/>
        <v/>
      </c>
      <c r="AF7" s="555">
        <f t="shared" si="10"/>
        <v>0</v>
      </c>
      <c r="AG7" s="633">
        <f>IFERROR((AF7)*Voreinstellungen!$E$19,"")</f>
        <v>0</v>
      </c>
      <c r="AH7" s="633">
        <f>IF(ISERROR(AA7*Voreinstellungen!$E$19*Voreinstellungen!$E$20),"",(AA7*Voreinstellungen!$E$19*Voreinstellungen!$E$20))</f>
        <v>0</v>
      </c>
      <c r="AI7" s="633" t="str">
        <f>IF(ISERROR((AB7&amp;AC7)*Voreinstellungen!$E$19*Voreinstellungen!$E$21),"",((AB7&amp;AC7)*Voreinstellungen!$E$19*Voreinstellungen!$E$21))</f>
        <v/>
      </c>
      <c r="AJ7" s="633" t="str">
        <f>IF(ISERROR((AD7&amp;AE7)*Voreinstellungen!$E$19*Voreinstellungen!$E$22),"",((AD7&amp;AE7)*Voreinstellungen!$E$19*Voreinstellungen!$E$22))</f>
        <v/>
      </c>
      <c r="AK7" s="556">
        <f t="shared" si="16"/>
        <v>0</v>
      </c>
      <c r="AL7" s="131"/>
      <c r="AM7" s="563">
        <f t="shared" ca="1" si="17"/>
        <v>-0.29166666666667002</v>
      </c>
      <c r="AO7" s="587"/>
      <c r="AP7" s="625"/>
      <c r="AQ7" s="566"/>
      <c r="AR7" s="565"/>
      <c r="AS7" s="345">
        <f t="shared" si="11"/>
        <v>0</v>
      </c>
      <c r="AT7" s="345">
        <f t="shared" si="12"/>
        <v>0</v>
      </c>
    </row>
    <row r="8" spans="1:48" s="19" customFormat="1" ht="12" x14ac:dyDescent="0.2">
      <c r="A8" s="538">
        <f t="shared" si="13"/>
        <v>44230</v>
      </c>
      <c r="B8" s="539">
        <f t="shared" si="0"/>
        <v>44230</v>
      </c>
      <c r="C8" s="540" t="str">
        <f t="shared" si="1"/>
        <v/>
      </c>
      <c r="D8" s="458"/>
      <c r="E8" s="255"/>
      <c r="F8" s="521"/>
      <c r="G8" s="517"/>
      <c r="H8" s="573"/>
      <c r="I8" s="574"/>
      <c r="J8" s="582"/>
      <c r="K8" s="576"/>
      <c r="L8" s="583"/>
      <c r="M8" s="583"/>
      <c r="N8" s="583"/>
      <c r="O8" s="581"/>
      <c r="P8" s="620">
        <f>IF(T8&gt;PauseGTime,PauseGWert,IF(T8&gt;PauseKTime,PauseKWert,IF(T8&lt;=PauseKTime,0,WENN)))</f>
        <v>0</v>
      </c>
      <c r="Q8" s="364"/>
      <c r="R8" s="545">
        <f t="shared" si="18"/>
        <v>0</v>
      </c>
      <c r="S8" s="551">
        <f t="shared" ca="1" si="2"/>
        <v>0.29166666666666669</v>
      </c>
      <c r="T8" s="551">
        <f t="shared" si="14"/>
        <v>0</v>
      </c>
      <c r="U8" s="552">
        <f t="shared" ca="1" si="3"/>
        <v>-0.29166666666667002</v>
      </c>
      <c r="V8" s="553">
        <f t="shared" ca="1" si="4"/>
        <v>0.29166666666666669</v>
      </c>
      <c r="W8" s="554">
        <f>IF(A8="",0,IF(IF(H8&lt;I8,I8-H8,IF(I8="",0,I8-H8+1))&gt;0,IF(H8&lt;I8,I8-H8,IF(I8="",0,I8-H8+1)),0))*Voreinstellungen!$E$23</f>
        <v>0</v>
      </c>
      <c r="X8" s="554">
        <f t="shared" si="15"/>
        <v>0</v>
      </c>
      <c r="Y8" s="555">
        <f>((W8+X8)*Voreinstellungen!$C$45)</f>
        <v>0</v>
      </c>
      <c r="Z8" s="555">
        <f>((R8)*Voreinstellungen!$C$45)</f>
        <v>0</v>
      </c>
      <c r="AA8" s="612">
        <f t="shared" si="5"/>
        <v>0</v>
      </c>
      <c r="AB8" s="612" t="str">
        <f t="shared" si="6"/>
        <v/>
      </c>
      <c r="AC8" s="612" t="str">
        <f t="shared" si="7"/>
        <v/>
      </c>
      <c r="AD8" s="612" t="str">
        <f t="shared" si="8"/>
        <v/>
      </c>
      <c r="AE8" s="612" t="str">
        <f t="shared" si="9"/>
        <v/>
      </c>
      <c r="AF8" s="555">
        <f t="shared" si="10"/>
        <v>0</v>
      </c>
      <c r="AG8" s="633">
        <f>IFERROR((AF8)*Voreinstellungen!$E$19,"")</f>
        <v>0</v>
      </c>
      <c r="AH8" s="633">
        <f>IF(ISERROR(AA8*Voreinstellungen!$E$19*Voreinstellungen!$E$20),"",(AA8*Voreinstellungen!$E$19*Voreinstellungen!$E$20))</f>
        <v>0</v>
      </c>
      <c r="AI8" s="633" t="str">
        <f>IF(ISERROR((AB8&amp;AC8)*Voreinstellungen!$E$19*Voreinstellungen!$E$21),"",((AB8&amp;AC8)*Voreinstellungen!$E$19*Voreinstellungen!$E$21))</f>
        <v/>
      </c>
      <c r="AJ8" s="633" t="str">
        <f>IF(ISERROR((AD8&amp;AE8)*Voreinstellungen!$E$19*Voreinstellungen!$E$22),"",((AD8&amp;AE8)*Voreinstellungen!$E$19*Voreinstellungen!$E$22))</f>
        <v/>
      </c>
      <c r="AK8" s="556">
        <f t="shared" si="16"/>
        <v>0</v>
      </c>
      <c r="AL8" s="131"/>
      <c r="AM8" s="563">
        <f t="shared" ca="1" si="17"/>
        <v>-0.58333333333334003</v>
      </c>
      <c r="AO8" s="587"/>
      <c r="AP8" s="625"/>
      <c r="AQ8" s="566"/>
      <c r="AR8" s="565"/>
      <c r="AS8" s="345">
        <f t="shared" si="11"/>
        <v>0</v>
      </c>
      <c r="AT8" s="345">
        <f t="shared" si="12"/>
        <v>0</v>
      </c>
    </row>
    <row r="9" spans="1:48" s="19" customFormat="1" ht="12" x14ac:dyDescent="0.2">
      <c r="A9" s="538">
        <f t="shared" si="13"/>
        <v>44231</v>
      </c>
      <c r="B9" s="539">
        <f t="shared" si="0"/>
        <v>44231</v>
      </c>
      <c r="C9" s="540" t="str">
        <f t="shared" si="1"/>
        <v/>
      </c>
      <c r="D9" s="458"/>
      <c r="E9" s="255"/>
      <c r="F9" s="521"/>
      <c r="G9" s="517"/>
      <c r="H9" s="573"/>
      <c r="I9" s="574"/>
      <c r="J9" s="582"/>
      <c r="K9" s="576"/>
      <c r="L9" s="583"/>
      <c r="M9" s="583"/>
      <c r="N9" s="583"/>
      <c r="O9" s="581"/>
      <c r="P9" s="620">
        <f>IF(T9&gt;PauseGTime,PauseGWert,IF(T9&gt;PauseKTime,PauseKWert,IF(T9&lt;=PauseKTime,0,WENN)))</f>
        <v>0</v>
      </c>
      <c r="Q9" s="364"/>
      <c r="R9" s="545">
        <f t="shared" si="18"/>
        <v>0</v>
      </c>
      <c r="S9" s="551">
        <f t="shared" ca="1" si="2"/>
        <v>0.29166666666666669</v>
      </c>
      <c r="T9" s="551">
        <f t="shared" si="14"/>
        <v>0</v>
      </c>
      <c r="U9" s="552">
        <f t="shared" ca="1" si="3"/>
        <v>-0.29166666666667002</v>
      </c>
      <c r="V9" s="553">
        <f t="shared" ca="1" si="4"/>
        <v>0.29166666666666669</v>
      </c>
      <c r="W9" s="554">
        <f>IF(A9="",0,IF(IF(H9&lt;I9,I9-H9,IF(I9="",0,I9-H9+1))&gt;0,IF(H9&lt;I9,I9-H9,IF(I9="",0,I9-H9+1)),0))*Voreinstellungen!$E$23</f>
        <v>0</v>
      </c>
      <c r="X9" s="554">
        <f t="shared" si="15"/>
        <v>0</v>
      </c>
      <c r="Y9" s="555">
        <f>((W9+X9)*Voreinstellungen!$C$45)</f>
        <v>0</v>
      </c>
      <c r="Z9" s="555">
        <f>((R9)*Voreinstellungen!$C$45)</f>
        <v>0</v>
      </c>
      <c r="AA9" s="612">
        <f t="shared" si="5"/>
        <v>0</v>
      </c>
      <c r="AB9" s="612" t="str">
        <f t="shared" si="6"/>
        <v/>
      </c>
      <c r="AC9" s="612" t="str">
        <f t="shared" si="7"/>
        <v/>
      </c>
      <c r="AD9" s="612" t="str">
        <f t="shared" si="8"/>
        <v/>
      </c>
      <c r="AE9" s="612" t="str">
        <f t="shared" si="9"/>
        <v/>
      </c>
      <c r="AF9" s="555">
        <f t="shared" si="10"/>
        <v>0</v>
      </c>
      <c r="AG9" s="633">
        <f>IFERROR((AF9)*Voreinstellungen!$E$19,"")</f>
        <v>0</v>
      </c>
      <c r="AH9" s="633">
        <f>IF(ISERROR(AA9*Voreinstellungen!$E$19*Voreinstellungen!$E$20),"",(AA9*Voreinstellungen!$E$19*Voreinstellungen!$E$20))</f>
        <v>0</v>
      </c>
      <c r="AI9" s="633" t="str">
        <f>IF(ISERROR((AB9&amp;AC9)*Voreinstellungen!$E$19*Voreinstellungen!$E$21),"",((AB9&amp;AC9)*Voreinstellungen!$E$19*Voreinstellungen!$E$21))</f>
        <v/>
      </c>
      <c r="AJ9" s="633" t="str">
        <f>IF(ISERROR((AD9&amp;AE9)*Voreinstellungen!$E$19*Voreinstellungen!$E$22),"",((AD9&amp;AE9)*Voreinstellungen!$E$19*Voreinstellungen!$E$22))</f>
        <v/>
      </c>
      <c r="AK9" s="556">
        <f t="shared" si="16"/>
        <v>0</v>
      </c>
      <c r="AL9" s="131"/>
      <c r="AM9" s="563">
        <f t="shared" ca="1" si="17"/>
        <v>-0.87500000000000999</v>
      </c>
      <c r="AO9" s="587"/>
      <c r="AP9" s="625"/>
      <c r="AQ9" s="566"/>
      <c r="AR9" s="565"/>
      <c r="AS9" s="345">
        <f t="shared" si="11"/>
        <v>0</v>
      </c>
      <c r="AT9" s="345">
        <f t="shared" si="12"/>
        <v>0</v>
      </c>
    </row>
    <row r="10" spans="1:48" s="19" customFormat="1" ht="12" x14ac:dyDescent="0.2">
      <c r="A10" s="538">
        <f t="shared" si="13"/>
        <v>44232</v>
      </c>
      <c r="B10" s="539">
        <f t="shared" si="0"/>
        <v>44232</v>
      </c>
      <c r="C10" s="540" t="str">
        <f t="shared" si="1"/>
        <v/>
      </c>
      <c r="D10" s="458"/>
      <c r="E10" s="255"/>
      <c r="F10" s="521"/>
      <c r="G10" s="517"/>
      <c r="H10" s="573"/>
      <c r="I10" s="574"/>
      <c r="J10" s="582"/>
      <c r="K10" s="576"/>
      <c r="L10" s="583"/>
      <c r="M10" s="583"/>
      <c r="N10" s="583"/>
      <c r="O10" s="583"/>
      <c r="P10" s="620">
        <f>IF(T10&gt;PauseGTime,PauseGWert,IF(T10&gt;PauseKTime,PauseKWert,IF(T10&lt;=PauseKTime,0,WENN)))</f>
        <v>0</v>
      </c>
      <c r="Q10" s="364"/>
      <c r="R10" s="545">
        <f t="shared" si="18"/>
        <v>0</v>
      </c>
      <c r="S10" s="551">
        <f t="shared" ca="1" si="2"/>
        <v>0.29166666666666669</v>
      </c>
      <c r="T10" s="551">
        <f t="shared" si="14"/>
        <v>0</v>
      </c>
      <c r="U10" s="552">
        <f t="shared" ca="1" si="3"/>
        <v>-0.29166666666667002</v>
      </c>
      <c r="V10" s="553">
        <f t="shared" ca="1" si="4"/>
        <v>0.29166666666666669</v>
      </c>
      <c r="W10" s="554">
        <f>IF(A10="",0,IF(IF(H10&lt;I10,I10-H10,IF(I10="",0,I10-H10+1))&gt;0,IF(H10&lt;I10,I10-H10,IF(I10="",0,I10-H10+1)),0))*Voreinstellungen!$E$23</f>
        <v>0</v>
      </c>
      <c r="X10" s="554">
        <f t="shared" si="15"/>
        <v>0</v>
      </c>
      <c r="Y10" s="555">
        <f>((W10+X10)*Voreinstellungen!$C$45)</f>
        <v>0</v>
      </c>
      <c r="Z10" s="555">
        <f>((R10)*Voreinstellungen!$C$45)</f>
        <v>0</v>
      </c>
      <c r="AA10" s="612">
        <f t="shared" si="5"/>
        <v>0</v>
      </c>
      <c r="AB10" s="612" t="str">
        <f t="shared" si="6"/>
        <v/>
      </c>
      <c r="AC10" s="612" t="str">
        <f t="shared" si="7"/>
        <v/>
      </c>
      <c r="AD10" s="612" t="str">
        <f t="shared" si="8"/>
        <v/>
      </c>
      <c r="AE10" s="612" t="str">
        <f t="shared" si="9"/>
        <v/>
      </c>
      <c r="AF10" s="555">
        <f t="shared" si="10"/>
        <v>0</v>
      </c>
      <c r="AG10" s="633">
        <f>IFERROR((AF10)*Voreinstellungen!$E$19,"")</f>
        <v>0</v>
      </c>
      <c r="AH10" s="633">
        <f>IF(ISERROR(AA10*Voreinstellungen!$E$19*Voreinstellungen!$E$20),"",(AA10*Voreinstellungen!$E$19*Voreinstellungen!$E$20))</f>
        <v>0</v>
      </c>
      <c r="AI10" s="633" t="str">
        <f>IF(ISERROR((AB10&amp;AC10)*Voreinstellungen!$E$19*Voreinstellungen!$E$21),"",((AB10&amp;AC10)*Voreinstellungen!$E$19*Voreinstellungen!$E$21))</f>
        <v/>
      </c>
      <c r="AJ10" s="633" t="str">
        <f>IF(ISERROR((AD10&amp;AE10)*Voreinstellungen!$E$19*Voreinstellungen!$E$22),"",((AD10&amp;AE10)*Voreinstellungen!$E$19*Voreinstellungen!$E$22))</f>
        <v/>
      </c>
      <c r="AK10" s="556">
        <f t="shared" si="16"/>
        <v>0</v>
      </c>
      <c r="AL10" s="131"/>
      <c r="AM10" s="563">
        <f t="shared" ca="1" si="17"/>
        <v>-1.1666666666666801</v>
      </c>
      <c r="AO10" s="587"/>
      <c r="AP10" s="625"/>
      <c r="AQ10" s="566"/>
      <c r="AR10" s="565"/>
      <c r="AS10" s="345">
        <f t="shared" si="11"/>
        <v>0</v>
      </c>
      <c r="AT10" s="345">
        <f t="shared" si="12"/>
        <v>0</v>
      </c>
    </row>
    <row r="11" spans="1:48" s="19" customFormat="1" ht="12" x14ac:dyDescent="0.2">
      <c r="A11" s="538">
        <f t="shared" si="13"/>
        <v>44233</v>
      </c>
      <c r="B11" s="539">
        <f t="shared" si="0"/>
        <v>44233</v>
      </c>
      <c r="C11" s="540" t="str">
        <f t="shared" si="1"/>
        <v/>
      </c>
      <c r="D11" s="458"/>
      <c r="E11" s="255"/>
      <c r="F11" s="521"/>
      <c r="G11" s="517"/>
      <c r="H11" s="573"/>
      <c r="I11" s="574"/>
      <c r="J11" s="582"/>
      <c r="K11" s="576"/>
      <c r="L11" s="583"/>
      <c r="M11" s="583"/>
      <c r="N11" s="583"/>
      <c r="O11" s="583"/>
      <c r="P11" s="620">
        <f>IF(T11&gt;PauseGTime,PauseGWert,IF(T11&gt;PauseKTime,PauseKWert,IF(T11&lt;=PauseKTime,0,WENN)))</f>
        <v>0</v>
      </c>
      <c r="Q11" s="364"/>
      <c r="R11" s="545">
        <f t="shared" si="18"/>
        <v>0</v>
      </c>
      <c r="S11" s="551">
        <f t="shared" ca="1" si="2"/>
        <v>0.29166666666666669</v>
      </c>
      <c r="T11" s="551">
        <f t="shared" si="14"/>
        <v>0</v>
      </c>
      <c r="U11" s="552">
        <f t="shared" ca="1" si="3"/>
        <v>-0.29166666666667002</v>
      </c>
      <c r="V11" s="553">
        <f t="shared" ca="1" si="4"/>
        <v>0.29166666666666669</v>
      </c>
      <c r="W11" s="554">
        <f>IF(A11="",0,IF(IF(H11&lt;I11,I11-H11,IF(I11="",0,I11-H11+1))&gt;0,IF(H11&lt;I11,I11-H11,IF(I11="",0,I11-H11+1)),0))*Voreinstellungen!$E$23</f>
        <v>0</v>
      </c>
      <c r="X11" s="554">
        <f t="shared" si="15"/>
        <v>0</v>
      </c>
      <c r="Y11" s="555">
        <f>((W11+X11)*Voreinstellungen!$C$45)</f>
        <v>0</v>
      </c>
      <c r="Z11" s="555">
        <f>((R11)*Voreinstellungen!$C$45)</f>
        <v>0</v>
      </c>
      <c r="AA11" s="612">
        <f t="shared" si="5"/>
        <v>0</v>
      </c>
      <c r="AB11" s="612" t="str">
        <f t="shared" si="6"/>
        <v/>
      </c>
      <c r="AC11" s="612" t="str">
        <f t="shared" si="7"/>
        <v/>
      </c>
      <c r="AD11" s="612" t="str">
        <f t="shared" si="8"/>
        <v/>
      </c>
      <c r="AE11" s="612" t="str">
        <f t="shared" si="9"/>
        <v/>
      </c>
      <c r="AF11" s="555">
        <f t="shared" si="10"/>
        <v>0</v>
      </c>
      <c r="AG11" s="633">
        <f>IFERROR((AF11)*Voreinstellungen!$E$19,"")</f>
        <v>0</v>
      </c>
      <c r="AH11" s="633">
        <f>IF(ISERROR(AA11*Voreinstellungen!$E$19*Voreinstellungen!$E$20),"",(AA11*Voreinstellungen!$E$19*Voreinstellungen!$E$20))</f>
        <v>0</v>
      </c>
      <c r="AI11" s="633" t="str">
        <f>IF(ISERROR((AB11&amp;AC11)*Voreinstellungen!$E$19*Voreinstellungen!$E$21),"",((AB11&amp;AC11)*Voreinstellungen!$E$19*Voreinstellungen!$E$21))</f>
        <v/>
      </c>
      <c r="AJ11" s="633" t="str">
        <f>IF(ISERROR((AD11&amp;AE11)*Voreinstellungen!$E$19*Voreinstellungen!$E$22),"",((AD11&amp;AE11)*Voreinstellungen!$E$19*Voreinstellungen!$E$22))</f>
        <v/>
      </c>
      <c r="AK11" s="556">
        <f t="shared" si="16"/>
        <v>0</v>
      </c>
      <c r="AL11" s="131"/>
      <c r="AM11" s="563">
        <f t="shared" ca="1" si="17"/>
        <v>-1.4583333333333499</v>
      </c>
      <c r="AO11" s="587"/>
      <c r="AP11" s="625"/>
      <c r="AQ11" s="566"/>
      <c r="AR11" s="565"/>
      <c r="AS11" s="345">
        <f t="shared" si="11"/>
        <v>0</v>
      </c>
      <c r="AT11" s="345">
        <f t="shared" si="12"/>
        <v>0</v>
      </c>
      <c r="AV11" s="498">
        <f>IF((MOD(B1-A1,1)-20/24+A1)&gt;0,MOD(B1-A1,1)-20/24+A1-MAX(0,(A1-20/24)),0)</f>
        <v>0</v>
      </c>
    </row>
    <row r="12" spans="1:48" s="19" customFormat="1" ht="12" x14ac:dyDescent="0.2">
      <c r="A12" s="538">
        <f t="shared" si="13"/>
        <v>44234</v>
      </c>
      <c r="B12" s="539">
        <f t="shared" si="0"/>
        <v>44234</v>
      </c>
      <c r="C12" s="540" t="str">
        <f t="shared" si="1"/>
        <v/>
      </c>
      <c r="D12" s="458"/>
      <c r="E12" s="255"/>
      <c r="F12" s="521"/>
      <c r="G12" s="517"/>
      <c r="H12" s="573"/>
      <c r="I12" s="574"/>
      <c r="J12" s="582"/>
      <c r="K12" s="576"/>
      <c r="L12" s="583"/>
      <c r="M12" s="583"/>
      <c r="N12" s="583"/>
      <c r="O12" s="581"/>
      <c r="P12" s="620">
        <f>IF(T12&gt;PauseGTime,PauseGWert,IF(T12&gt;PauseKTime,PauseKWert,IF(T12&lt;=PauseKTime,0,WENN)))</f>
        <v>0</v>
      </c>
      <c r="Q12" s="364"/>
      <c r="R12" s="545">
        <f t="shared" si="18"/>
        <v>0</v>
      </c>
      <c r="S12" s="551">
        <f t="shared" ca="1" si="2"/>
        <v>0</v>
      </c>
      <c r="T12" s="551">
        <f t="shared" si="14"/>
        <v>0</v>
      </c>
      <c r="U12" s="552">
        <f t="shared" ca="1" si="3"/>
        <v>0</v>
      </c>
      <c r="V12" s="553">
        <f t="shared" ca="1" si="4"/>
        <v>0</v>
      </c>
      <c r="W12" s="554">
        <f>IF(A12="",0,IF(IF(H12&lt;I12,I12-H12,IF(I12="",0,I12-H12+1))&gt;0,IF(H12&lt;I12,I12-H12,IF(I12="",0,I12-H12+1)),0))*Voreinstellungen!$E$23</f>
        <v>0</v>
      </c>
      <c r="X12" s="554">
        <f t="shared" si="15"/>
        <v>0</v>
      </c>
      <c r="Y12" s="555">
        <f>((W12+X12)*Voreinstellungen!$C$45)</f>
        <v>0</v>
      </c>
      <c r="Z12" s="555">
        <f>((R12)*Voreinstellungen!$C$45)</f>
        <v>0</v>
      </c>
      <c r="AA12" s="612">
        <f t="shared" si="5"/>
        <v>0</v>
      </c>
      <c r="AB12" s="612" t="str">
        <f t="shared" si="6"/>
        <v/>
      </c>
      <c r="AC12" s="612" t="str">
        <f t="shared" si="7"/>
        <v/>
      </c>
      <c r="AD12" s="612" t="str">
        <f t="shared" si="8"/>
        <v/>
      </c>
      <c r="AE12" s="612" t="str">
        <f t="shared" si="9"/>
        <v/>
      </c>
      <c r="AF12" s="555">
        <f t="shared" si="10"/>
        <v>0</v>
      </c>
      <c r="AG12" s="633">
        <f>IFERROR((AF12)*Voreinstellungen!$E$19,"")</f>
        <v>0</v>
      </c>
      <c r="AH12" s="633">
        <f>IF(ISERROR(AA12*Voreinstellungen!$E$19*Voreinstellungen!$E$20),"",(AA12*Voreinstellungen!$E$19*Voreinstellungen!$E$20))</f>
        <v>0</v>
      </c>
      <c r="AI12" s="633" t="str">
        <f>IF(ISERROR((AB12&amp;AC12)*Voreinstellungen!$E$19*Voreinstellungen!$E$21),"",((AB12&amp;AC12)*Voreinstellungen!$E$19*Voreinstellungen!$E$21))</f>
        <v/>
      </c>
      <c r="AJ12" s="633" t="str">
        <f>IF(ISERROR((AD12&amp;AE12)*Voreinstellungen!$E$19*Voreinstellungen!$E$22),"",((AD12&amp;AE12)*Voreinstellungen!$E$19*Voreinstellungen!$E$22))</f>
        <v/>
      </c>
      <c r="AK12" s="556">
        <f t="shared" si="16"/>
        <v>0</v>
      </c>
      <c r="AL12" s="131"/>
      <c r="AM12" s="563">
        <f t="shared" ca="1" si="17"/>
        <v>-1.4583333333333499</v>
      </c>
      <c r="AO12" s="587"/>
      <c r="AP12" s="625"/>
      <c r="AQ12" s="566"/>
      <c r="AR12" s="565"/>
      <c r="AS12" s="345">
        <f t="shared" si="11"/>
        <v>0</v>
      </c>
      <c r="AT12" s="345">
        <f t="shared" si="12"/>
        <v>0</v>
      </c>
    </row>
    <row r="13" spans="1:48" s="19" customFormat="1" ht="12" x14ac:dyDescent="0.2">
      <c r="A13" s="538">
        <f t="shared" si="13"/>
        <v>44235</v>
      </c>
      <c r="B13" s="539">
        <f t="shared" si="0"/>
        <v>44235</v>
      </c>
      <c r="C13" s="540" t="str">
        <f t="shared" si="1"/>
        <v/>
      </c>
      <c r="D13" s="458"/>
      <c r="E13" s="255"/>
      <c r="F13" s="521"/>
      <c r="G13" s="517"/>
      <c r="H13" s="573"/>
      <c r="I13" s="574"/>
      <c r="J13" s="582"/>
      <c r="K13" s="576"/>
      <c r="L13" s="583"/>
      <c r="M13" s="583"/>
      <c r="N13" s="583"/>
      <c r="O13" s="581"/>
      <c r="P13" s="620">
        <f>IF(T13&gt;PauseGTime,PauseGWert,IF(T13&gt;PauseKTime,PauseKWert,IF(T13&lt;=PauseKTime,0,WENN)))</f>
        <v>0</v>
      </c>
      <c r="Q13" s="364"/>
      <c r="R13" s="545">
        <f t="shared" si="18"/>
        <v>0</v>
      </c>
      <c r="S13" s="551">
        <f t="shared" ca="1" si="2"/>
        <v>0</v>
      </c>
      <c r="T13" s="551">
        <f t="shared" si="14"/>
        <v>0</v>
      </c>
      <c r="U13" s="552">
        <f t="shared" ca="1" si="3"/>
        <v>0</v>
      </c>
      <c r="V13" s="553">
        <f t="shared" ca="1" si="4"/>
        <v>0</v>
      </c>
      <c r="W13" s="554">
        <f>IF(A13="",0,IF(IF(H13&lt;I13,I13-H13,IF(I13="",0,I13-H13+1))&gt;0,IF(H13&lt;I13,I13-H13,IF(I13="",0,I13-H13+1)),0))*Voreinstellungen!$E$23</f>
        <v>0</v>
      </c>
      <c r="X13" s="554">
        <f t="shared" si="15"/>
        <v>0</v>
      </c>
      <c r="Y13" s="555">
        <f>((W13+X13)*Voreinstellungen!$C$45)</f>
        <v>0</v>
      </c>
      <c r="Z13" s="555">
        <f>((R13)*Voreinstellungen!$C$45)</f>
        <v>0</v>
      </c>
      <c r="AA13" s="612" t="str">
        <f t="shared" si="5"/>
        <v/>
      </c>
      <c r="AB13" s="612">
        <f t="shared" si="6"/>
        <v>0</v>
      </c>
      <c r="AC13" s="612" t="str">
        <f t="shared" si="7"/>
        <v/>
      </c>
      <c r="AD13" s="612">
        <f t="shared" si="8"/>
        <v>0</v>
      </c>
      <c r="AE13" s="612" t="str">
        <f t="shared" si="9"/>
        <v/>
      </c>
      <c r="AF13" s="555">
        <f t="shared" si="10"/>
        <v>0</v>
      </c>
      <c r="AG13" s="633">
        <f>IFERROR((AF13)*Voreinstellungen!$E$19,"")</f>
        <v>0</v>
      </c>
      <c r="AH13" s="633" t="str">
        <f>IF(ISERROR(AA13*Voreinstellungen!$E$19*Voreinstellungen!$E$20),"",(AA13*Voreinstellungen!$E$19*Voreinstellungen!$E$20))</f>
        <v/>
      </c>
      <c r="AI13" s="633">
        <f>IF(ISERROR((AB13&amp;AC13)*Voreinstellungen!$E$19*Voreinstellungen!$E$21),"",((AB13&amp;AC13)*Voreinstellungen!$E$19*Voreinstellungen!$E$21))</f>
        <v>0</v>
      </c>
      <c r="AJ13" s="633">
        <f>IF(ISERROR((AD13&amp;AE13)*Voreinstellungen!$E$19*Voreinstellungen!$E$22),"",((AD13&amp;AE13)*Voreinstellungen!$E$19*Voreinstellungen!$E$22))</f>
        <v>0</v>
      </c>
      <c r="AK13" s="556">
        <f t="shared" si="16"/>
        <v>0</v>
      </c>
      <c r="AL13" s="131"/>
      <c r="AM13" s="563">
        <f t="shared" ca="1" si="17"/>
        <v>-1.4583333333333499</v>
      </c>
      <c r="AO13" s="587"/>
      <c r="AP13" s="625"/>
      <c r="AQ13" s="566"/>
      <c r="AR13" s="565"/>
      <c r="AS13" s="345">
        <f t="shared" si="11"/>
        <v>0</v>
      </c>
      <c r="AT13" s="345">
        <f t="shared" si="12"/>
        <v>0</v>
      </c>
    </row>
    <row r="14" spans="1:48" s="19" customFormat="1" ht="12" x14ac:dyDescent="0.2">
      <c r="A14" s="538">
        <f t="shared" si="13"/>
        <v>44236</v>
      </c>
      <c r="B14" s="539">
        <f t="shared" si="0"/>
        <v>44236</v>
      </c>
      <c r="C14" s="540" t="str">
        <f t="shared" si="1"/>
        <v/>
      </c>
      <c r="D14" s="458"/>
      <c r="E14" s="255"/>
      <c r="F14" s="521"/>
      <c r="G14" s="517"/>
      <c r="H14" s="573"/>
      <c r="I14" s="574"/>
      <c r="J14" s="582"/>
      <c r="K14" s="576"/>
      <c r="L14" s="583"/>
      <c r="M14" s="583"/>
      <c r="N14" s="583"/>
      <c r="O14" s="581"/>
      <c r="P14" s="620">
        <f>IF(T14&gt;PauseGTime,PauseGWert,IF(T14&gt;PauseKTime,PauseKWert,IF(T14&lt;=PauseKTime,0,WENN)))</f>
        <v>0</v>
      </c>
      <c r="Q14" s="364"/>
      <c r="R14" s="545">
        <f t="shared" si="18"/>
        <v>0</v>
      </c>
      <c r="S14" s="551">
        <f t="shared" ca="1" si="2"/>
        <v>0.29166666666666669</v>
      </c>
      <c r="T14" s="551">
        <f t="shared" si="14"/>
        <v>0</v>
      </c>
      <c r="U14" s="552">
        <f t="shared" ca="1" si="3"/>
        <v>-0.29166666666667002</v>
      </c>
      <c r="V14" s="553">
        <f t="shared" ca="1" si="4"/>
        <v>0.29166666666666669</v>
      </c>
      <c r="W14" s="554">
        <f>IF(A14="",0,IF(IF(H14&lt;I14,I14-H14,IF(I14="",0,I14-H14+1))&gt;0,IF(H14&lt;I14,I14-H14,IF(I14="",0,I14-H14+1)),0))*Voreinstellungen!$E$23</f>
        <v>0</v>
      </c>
      <c r="X14" s="554">
        <f t="shared" si="15"/>
        <v>0</v>
      </c>
      <c r="Y14" s="555">
        <f>((W14+X14)*Voreinstellungen!$C$45)</f>
        <v>0</v>
      </c>
      <c r="Z14" s="555">
        <f>((R14)*Voreinstellungen!$C$45)</f>
        <v>0</v>
      </c>
      <c r="AA14" s="612">
        <f t="shared" si="5"/>
        <v>0</v>
      </c>
      <c r="AB14" s="612" t="str">
        <f t="shared" si="6"/>
        <v/>
      </c>
      <c r="AC14" s="612" t="str">
        <f t="shared" si="7"/>
        <v/>
      </c>
      <c r="AD14" s="612" t="str">
        <f t="shared" si="8"/>
        <v/>
      </c>
      <c r="AE14" s="612" t="str">
        <f t="shared" si="9"/>
        <v/>
      </c>
      <c r="AF14" s="555">
        <f t="shared" si="10"/>
        <v>0</v>
      </c>
      <c r="AG14" s="633">
        <f>IFERROR((AF14)*Voreinstellungen!$E$19,"")</f>
        <v>0</v>
      </c>
      <c r="AH14" s="633">
        <f>IF(ISERROR(AA14*Voreinstellungen!$E$19*Voreinstellungen!$E$20),"",(AA14*Voreinstellungen!$E$19*Voreinstellungen!$E$20))</f>
        <v>0</v>
      </c>
      <c r="AI14" s="633" t="str">
        <f>IF(ISERROR((AB14&amp;AC14)*Voreinstellungen!$E$19*Voreinstellungen!$E$21),"",((AB14&amp;AC14)*Voreinstellungen!$E$19*Voreinstellungen!$E$21))</f>
        <v/>
      </c>
      <c r="AJ14" s="633" t="str">
        <f>IF(ISERROR((AD14&amp;AE14)*Voreinstellungen!$E$19*Voreinstellungen!$E$22),"",((AD14&amp;AE14)*Voreinstellungen!$E$19*Voreinstellungen!$E$22))</f>
        <v/>
      </c>
      <c r="AK14" s="556">
        <f t="shared" si="16"/>
        <v>0</v>
      </c>
      <c r="AL14" s="131"/>
      <c r="AM14" s="563">
        <f t="shared" ca="1" si="17"/>
        <v>-1.75000000000002</v>
      </c>
      <c r="AO14" s="587"/>
      <c r="AP14" s="625"/>
      <c r="AQ14" s="566"/>
      <c r="AR14" s="565"/>
      <c r="AS14" s="345">
        <f t="shared" si="11"/>
        <v>0</v>
      </c>
      <c r="AT14" s="345">
        <f t="shared" si="12"/>
        <v>0</v>
      </c>
    </row>
    <row r="15" spans="1:48" s="19" customFormat="1" ht="12" x14ac:dyDescent="0.2">
      <c r="A15" s="538">
        <f t="shared" si="13"/>
        <v>44237</v>
      </c>
      <c r="B15" s="539">
        <f t="shared" si="0"/>
        <v>44237</v>
      </c>
      <c r="C15" s="540" t="str">
        <f t="shared" si="1"/>
        <v/>
      </c>
      <c r="D15" s="458"/>
      <c r="E15" s="255"/>
      <c r="F15" s="521"/>
      <c r="G15" s="517"/>
      <c r="H15" s="573"/>
      <c r="I15" s="574"/>
      <c r="J15" s="582"/>
      <c r="K15" s="576"/>
      <c r="L15" s="583"/>
      <c r="M15" s="583"/>
      <c r="N15" s="583"/>
      <c r="O15" s="581"/>
      <c r="P15" s="620">
        <f>IF(T15&gt;PauseGTime,PauseGWert,IF(T15&gt;PauseKTime,PauseKWert,IF(T15&lt;=PauseKTime,0,WENN)))</f>
        <v>0</v>
      </c>
      <c r="Q15" s="364"/>
      <c r="R15" s="545">
        <f t="shared" si="18"/>
        <v>0</v>
      </c>
      <c r="S15" s="551">
        <f t="shared" ca="1" si="2"/>
        <v>0.29166666666666669</v>
      </c>
      <c r="T15" s="551">
        <f t="shared" si="14"/>
        <v>0</v>
      </c>
      <c r="U15" s="552">
        <f t="shared" ca="1" si="3"/>
        <v>-0.29166666666667002</v>
      </c>
      <c r="V15" s="553">
        <f t="shared" ca="1" si="4"/>
        <v>0.29166666666666669</v>
      </c>
      <c r="W15" s="554">
        <f>IF(A15="",0,IF(IF(H15&lt;I15,I15-H15,IF(I15="",0,I15-H15+1))&gt;0,IF(H15&lt;I15,I15-H15,IF(I15="",0,I15-H15+1)),0))*Voreinstellungen!$E$23</f>
        <v>0</v>
      </c>
      <c r="X15" s="554">
        <f t="shared" si="15"/>
        <v>0</v>
      </c>
      <c r="Y15" s="555">
        <f>((W15+X15)*Voreinstellungen!$C$45)</f>
        <v>0</v>
      </c>
      <c r="Z15" s="555">
        <f>((R15)*Voreinstellungen!$C$45)</f>
        <v>0</v>
      </c>
      <c r="AA15" s="612">
        <f t="shared" si="5"/>
        <v>0</v>
      </c>
      <c r="AB15" s="612" t="str">
        <f t="shared" si="6"/>
        <v/>
      </c>
      <c r="AC15" s="612" t="str">
        <f t="shared" si="7"/>
        <v/>
      </c>
      <c r="AD15" s="612" t="str">
        <f t="shared" si="8"/>
        <v/>
      </c>
      <c r="AE15" s="612" t="str">
        <f t="shared" si="9"/>
        <v/>
      </c>
      <c r="AF15" s="555">
        <f t="shared" si="10"/>
        <v>0</v>
      </c>
      <c r="AG15" s="633">
        <f>IFERROR((AF15)*Voreinstellungen!$E$19,"")</f>
        <v>0</v>
      </c>
      <c r="AH15" s="633">
        <f>IF(ISERROR(AA15*Voreinstellungen!$E$19*Voreinstellungen!$E$20),"",(AA15*Voreinstellungen!$E$19*Voreinstellungen!$E$20))</f>
        <v>0</v>
      </c>
      <c r="AI15" s="633" t="str">
        <f>IF(ISERROR((AB15&amp;AC15)*Voreinstellungen!$E$19*Voreinstellungen!$E$21),"",((AB15&amp;AC15)*Voreinstellungen!$E$19*Voreinstellungen!$E$21))</f>
        <v/>
      </c>
      <c r="AJ15" s="633" t="str">
        <f>IF(ISERROR((AD15&amp;AE15)*Voreinstellungen!$E$19*Voreinstellungen!$E$22),"",((AD15&amp;AE15)*Voreinstellungen!$E$19*Voreinstellungen!$E$22))</f>
        <v/>
      </c>
      <c r="AK15" s="556">
        <f t="shared" si="16"/>
        <v>0</v>
      </c>
      <c r="AL15" s="131"/>
      <c r="AM15" s="563">
        <f t="shared" ca="1" si="17"/>
        <v>-2.0416666666666901</v>
      </c>
      <c r="AO15" s="587"/>
      <c r="AP15" s="625"/>
      <c r="AQ15" s="566"/>
      <c r="AR15" s="565"/>
      <c r="AS15" s="345">
        <f t="shared" si="11"/>
        <v>0</v>
      </c>
      <c r="AT15" s="345">
        <f t="shared" si="12"/>
        <v>0</v>
      </c>
    </row>
    <row r="16" spans="1:48" s="19" customFormat="1" ht="12" x14ac:dyDescent="0.2">
      <c r="A16" s="538">
        <f t="shared" si="13"/>
        <v>44238</v>
      </c>
      <c r="B16" s="539">
        <f t="shared" si="0"/>
        <v>44238</v>
      </c>
      <c r="C16" s="540" t="str">
        <f t="shared" si="1"/>
        <v/>
      </c>
      <c r="D16" s="458"/>
      <c r="E16" s="255"/>
      <c r="F16" s="521"/>
      <c r="G16" s="517"/>
      <c r="H16" s="573"/>
      <c r="I16" s="574"/>
      <c r="J16" s="582"/>
      <c r="K16" s="576"/>
      <c r="L16" s="583"/>
      <c r="M16" s="583"/>
      <c r="N16" s="583"/>
      <c r="O16" s="581"/>
      <c r="P16" s="620">
        <f>IF(T16&gt;PauseGTime,PauseGWert,IF(T16&gt;PauseKTime,PauseKWert,IF(T16&lt;=PauseKTime,0,WENN)))</f>
        <v>0</v>
      </c>
      <c r="Q16" s="364"/>
      <c r="R16" s="545">
        <f t="shared" si="18"/>
        <v>0</v>
      </c>
      <c r="S16" s="551">
        <f t="shared" ca="1" si="2"/>
        <v>0.29166666666666669</v>
      </c>
      <c r="T16" s="551">
        <f t="shared" si="14"/>
        <v>0</v>
      </c>
      <c r="U16" s="552">
        <f t="shared" ca="1" si="3"/>
        <v>-0.29166666666667002</v>
      </c>
      <c r="V16" s="553">
        <f t="shared" ca="1" si="4"/>
        <v>0.29166666666666669</v>
      </c>
      <c r="W16" s="554">
        <f>IF(A16="",0,IF(IF(H16&lt;I16,I16-H16,IF(I16="",0,I16-H16+1))&gt;0,IF(H16&lt;I16,I16-H16,IF(I16="",0,I16-H16+1)),0))*Voreinstellungen!$E$23</f>
        <v>0</v>
      </c>
      <c r="X16" s="554">
        <f t="shared" si="15"/>
        <v>0</v>
      </c>
      <c r="Y16" s="555">
        <f>((W16+X16)*Voreinstellungen!$C$45)</f>
        <v>0</v>
      </c>
      <c r="Z16" s="555">
        <f>((R16)*Voreinstellungen!$C$45)</f>
        <v>0</v>
      </c>
      <c r="AA16" s="612">
        <f t="shared" si="5"/>
        <v>0</v>
      </c>
      <c r="AB16" s="612" t="str">
        <f t="shared" si="6"/>
        <v/>
      </c>
      <c r="AC16" s="612" t="str">
        <f t="shared" si="7"/>
        <v/>
      </c>
      <c r="AD16" s="612" t="str">
        <f t="shared" si="8"/>
        <v/>
      </c>
      <c r="AE16" s="612" t="str">
        <f t="shared" si="9"/>
        <v/>
      </c>
      <c r="AF16" s="555">
        <f t="shared" si="10"/>
        <v>0</v>
      </c>
      <c r="AG16" s="633">
        <f>IFERROR((AF16)*Voreinstellungen!$E$19,"")</f>
        <v>0</v>
      </c>
      <c r="AH16" s="633">
        <f>IF(ISERROR(AA16*Voreinstellungen!$E$19*Voreinstellungen!$E$20),"",(AA16*Voreinstellungen!$E$19*Voreinstellungen!$E$20))</f>
        <v>0</v>
      </c>
      <c r="AI16" s="633" t="str">
        <f>IF(ISERROR((AB16&amp;AC16)*Voreinstellungen!$E$19*Voreinstellungen!$E$21),"",((AB16&amp;AC16)*Voreinstellungen!$E$19*Voreinstellungen!$E$21))</f>
        <v/>
      </c>
      <c r="AJ16" s="633" t="str">
        <f>IF(ISERROR((AD16&amp;AE16)*Voreinstellungen!$E$19*Voreinstellungen!$E$22),"",((AD16&amp;AE16)*Voreinstellungen!$E$19*Voreinstellungen!$E$22))</f>
        <v/>
      </c>
      <c r="AK16" s="556">
        <f t="shared" si="16"/>
        <v>0</v>
      </c>
      <c r="AL16" s="131"/>
      <c r="AM16" s="563">
        <f t="shared" ca="1" si="17"/>
        <v>-2.3333333333333601</v>
      </c>
      <c r="AO16" s="587"/>
      <c r="AP16" s="625"/>
      <c r="AQ16" s="566"/>
      <c r="AR16" s="565"/>
      <c r="AS16" s="345">
        <f t="shared" si="11"/>
        <v>0</v>
      </c>
      <c r="AT16" s="345">
        <f t="shared" si="12"/>
        <v>0</v>
      </c>
    </row>
    <row r="17" spans="1:46" s="19" customFormat="1" ht="12" x14ac:dyDescent="0.2">
      <c r="A17" s="538">
        <f t="shared" si="13"/>
        <v>44239</v>
      </c>
      <c r="B17" s="539">
        <f t="shared" si="0"/>
        <v>44239</v>
      </c>
      <c r="C17" s="540" t="str">
        <f t="shared" si="1"/>
        <v/>
      </c>
      <c r="D17" s="458"/>
      <c r="E17" s="255"/>
      <c r="F17" s="521"/>
      <c r="G17" s="517"/>
      <c r="H17" s="573"/>
      <c r="I17" s="574"/>
      <c r="J17" s="582"/>
      <c r="K17" s="576"/>
      <c r="L17" s="583"/>
      <c r="M17" s="583"/>
      <c r="N17" s="583"/>
      <c r="O17" s="583"/>
      <c r="P17" s="620">
        <f>IF(T17&gt;PauseGTime,PauseGWert,IF(T17&gt;PauseKTime,PauseKWert,IF(T17&lt;=PauseKTime,0,WENN)))</f>
        <v>0</v>
      </c>
      <c r="Q17" s="364"/>
      <c r="R17" s="545">
        <f t="shared" si="18"/>
        <v>0</v>
      </c>
      <c r="S17" s="551">
        <f t="shared" ca="1" si="2"/>
        <v>0.29166666666666669</v>
      </c>
      <c r="T17" s="551">
        <f t="shared" si="14"/>
        <v>0</v>
      </c>
      <c r="U17" s="552">
        <f t="shared" ca="1" si="3"/>
        <v>-0.29166666666667002</v>
      </c>
      <c r="V17" s="553">
        <f t="shared" ca="1" si="4"/>
        <v>0.29166666666666669</v>
      </c>
      <c r="W17" s="554">
        <f>IF(A17="",0,IF(IF(H17&lt;I17,I17-H17,IF(I17="",0,I17-H17+1))&gt;0,IF(H17&lt;I17,I17-H17,IF(I17="",0,I17-H17+1)),0))*Voreinstellungen!$E$23</f>
        <v>0</v>
      </c>
      <c r="X17" s="554">
        <f t="shared" si="15"/>
        <v>0</v>
      </c>
      <c r="Y17" s="555">
        <f>((W17+X17)*Voreinstellungen!$C$45)</f>
        <v>0</v>
      </c>
      <c r="Z17" s="555">
        <f>((R17)*Voreinstellungen!$C$45)</f>
        <v>0</v>
      </c>
      <c r="AA17" s="612">
        <f t="shared" si="5"/>
        <v>0</v>
      </c>
      <c r="AB17" s="612" t="str">
        <f t="shared" si="6"/>
        <v/>
      </c>
      <c r="AC17" s="612" t="str">
        <f t="shared" si="7"/>
        <v/>
      </c>
      <c r="AD17" s="612" t="str">
        <f t="shared" si="8"/>
        <v/>
      </c>
      <c r="AE17" s="612" t="str">
        <f t="shared" si="9"/>
        <v/>
      </c>
      <c r="AF17" s="555">
        <f t="shared" si="10"/>
        <v>0</v>
      </c>
      <c r="AG17" s="633">
        <f>IFERROR((AF17)*Voreinstellungen!$E$19,"")</f>
        <v>0</v>
      </c>
      <c r="AH17" s="633">
        <f>IF(ISERROR(AA17*Voreinstellungen!$E$19*Voreinstellungen!$E$20),"",(AA17*Voreinstellungen!$E$19*Voreinstellungen!$E$20))</f>
        <v>0</v>
      </c>
      <c r="AI17" s="633" t="str">
        <f>IF(ISERROR((AB17&amp;AC17)*Voreinstellungen!$E$19*Voreinstellungen!$E$21),"",((AB17&amp;AC17)*Voreinstellungen!$E$19*Voreinstellungen!$E$21))</f>
        <v/>
      </c>
      <c r="AJ17" s="633" t="str">
        <f>IF(ISERROR((AD17&amp;AE17)*Voreinstellungen!$E$19*Voreinstellungen!$E$22),"",((AD17&amp;AE17)*Voreinstellungen!$E$19*Voreinstellungen!$E$22))</f>
        <v/>
      </c>
      <c r="AK17" s="556">
        <f t="shared" si="16"/>
        <v>0</v>
      </c>
      <c r="AL17" s="131"/>
      <c r="AM17" s="563">
        <f t="shared" ca="1" si="17"/>
        <v>-2.6250000000000302</v>
      </c>
      <c r="AO17" s="587"/>
      <c r="AP17" s="625"/>
      <c r="AQ17" s="566"/>
      <c r="AR17" s="565"/>
      <c r="AS17" s="345">
        <f t="shared" si="11"/>
        <v>0</v>
      </c>
      <c r="AT17" s="345">
        <f t="shared" si="12"/>
        <v>0</v>
      </c>
    </row>
    <row r="18" spans="1:46" s="19" customFormat="1" ht="12" x14ac:dyDescent="0.2">
      <c r="A18" s="538">
        <f t="shared" si="13"/>
        <v>44240</v>
      </c>
      <c r="B18" s="539">
        <f t="shared" si="0"/>
        <v>44240</v>
      </c>
      <c r="C18" s="540" t="str">
        <f t="shared" si="1"/>
        <v/>
      </c>
      <c r="D18" s="458"/>
      <c r="E18" s="255"/>
      <c r="F18" s="521"/>
      <c r="G18" s="517"/>
      <c r="H18" s="573"/>
      <c r="I18" s="574"/>
      <c r="J18" s="582"/>
      <c r="K18" s="576"/>
      <c r="L18" s="583"/>
      <c r="M18" s="583"/>
      <c r="N18" s="583"/>
      <c r="O18" s="583"/>
      <c r="P18" s="620">
        <f>IF(T18&gt;PauseGTime,PauseGWert,IF(T18&gt;PauseKTime,PauseKWert,IF(T18&lt;=PauseKTime,0,WENN)))</f>
        <v>0</v>
      </c>
      <c r="Q18" s="364"/>
      <c r="R18" s="545">
        <f t="shared" si="18"/>
        <v>0</v>
      </c>
      <c r="S18" s="551">
        <f t="shared" ca="1" si="2"/>
        <v>0.29166666666666669</v>
      </c>
      <c r="T18" s="551">
        <f t="shared" si="14"/>
        <v>0</v>
      </c>
      <c r="U18" s="552">
        <f t="shared" ca="1" si="3"/>
        <v>-0.29166666666667002</v>
      </c>
      <c r="V18" s="553">
        <f t="shared" ca="1" si="4"/>
        <v>0.29166666666666669</v>
      </c>
      <c r="W18" s="554">
        <f>IF(A18="",0,IF(IF(H18&lt;I18,I18-H18,IF(I18="",0,I18-H18+1))&gt;0,IF(H18&lt;I18,I18-H18,IF(I18="",0,I18-H18+1)),0))*Voreinstellungen!$E$23</f>
        <v>0</v>
      </c>
      <c r="X18" s="554">
        <f t="shared" si="15"/>
        <v>0</v>
      </c>
      <c r="Y18" s="555">
        <f>((W18+X18)*Voreinstellungen!$C$45)</f>
        <v>0</v>
      </c>
      <c r="Z18" s="555">
        <f>((R18)*Voreinstellungen!$C$45)</f>
        <v>0</v>
      </c>
      <c r="AA18" s="612">
        <f t="shared" si="5"/>
        <v>0</v>
      </c>
      <c r="AB18" s="612" t="str">
        <f t="shared" si="6"/>
        <v/>
      </c>
      <c r="AC18" s="612" t="str">
        <f t="shared" si="7"/>
        <v/>
      </c>
      <c r="AD18" s="612" t="str">
        <f t="shared" si="8"/>
        <v/>
      </c>
      <c r="AE18" s="612" t="str">
        <f t="shared" si="9"/>
        <v/>
      </c>
      <c r="AF18" s="555">
        <f t="shared" si="10"/>
        <v>0</v>
      </c>
      <c r="AG18" s="633">
        <f>IFERROR((AF18)*Voreinstellungen!$E$19,"")</f>
        <v>0</v>
      </c>
      <c r="AH18" s="633">
        <f>IF(ISERROR(AA18*Voreinstellungen!$E$19*Voreinstellungen!$E$20),"",(AA18*Voreinstellungen!$E$19*Voreinstellungen!$E$20))</f>
        <v>0</v>
      </c>
      <c r="AI18" s="633" t="str">
        <f>IF(ISERROR((AB18&amp;AC18)*Voreinstellungen!$E$19*Voreinstellungen!$E$21),"",((AB18&amp;AC18)*Voreinstellungen!$E$19*Voreinstellungen!$E$21))</f>
        <v/>
      </c>
      <c r="AJ18" s="633" t="str">
        <f>IF(ISERROR((AD18&amp;AE18)*Voreinstellungen!$E$19*Voreinstellungen!$E$22),"",((AD18&amp;AE18)*Voreinstellungen!$E$19*Voreinstellungen!$E$22))</f>
        <v/>
      </c>
      <c r="AK18" s="556">
        <f t="shared" si="16"/>
        <v>0</v>
      </c>
      <c r="AL18" s="131"/>
      <c r="AM18" s="563">
        <f t="shared" ca="1" si="17"/>
        <v>-2.9166666666666998</v>
      </c>
      <c r="AO18" s="587"/>
      <c r="AP18" s="625"/>
      <c r="AQ18" s="566"/>
      <c r="AR18" s="565"/>
      <c r="AS18" s="345">
        <f t="shared" si="11"/>
        <v>0</v>
      </c>
      <c r="AT18" s="345">
        <f t="shared" si="12"/>
        <v>0</v>
      </c>
    </row>
    <row r="19" spans="1:46" s="19" customFormat="1" ht="12" x14ac:dyDescent="0.2">
      <c r="A19" s="538">
        <f t="shared" si="13"/>
        <v>44241</v>
      </c>
      <c r="B19" s="539">
        <f t="shared" si="0"/>
        <v>44241</v>
      </c>
      <c r="C19" s="540" t="str">
        <f t="shared" si="1"/>
        <v/>
      </c>
      <c r="D19" s="458"/>
      <c r="E19" s="255"/>
      <c r="F19" s="521"/>
      <c r="G19" s="517"/>
      <c r="H19" s="573"/>
      <c r="I19" s="574"/>
      <c r="J19" s="582"/>
      <c r="K19" s="576"/>
      <c r="L19" s="583"/>
      <c r="M19" s="583"/>
      <c r="N19" s="583"/>
      <c r="O19" s="581"/>
      <c r="P19" s="620">
        <f>IF(T19&gt;PauseGTime,PauseGWert,IF(T19&gt;PauseKTime,PauseKWert,IF(T19&lt;=PauseKTime,0,WENN)))</f>
        <v>0</v>
      </c>
      <c r="Q19" s="364"/>
      <c r="R19" s="545">
        <f t="shared" si="18"/>
        <v>0</v>
      </c>
      <c r="S19" s="551">
        <f t="shared" ca="1" si="2"/>
        <v>0</v>
      </c>
      <c r="T19" s="551">
        <f t="shared" si="14"/>
        <v>0</v>
      </c>
      <c r="U19" s="552">
        <f t="shared" ca="1" si="3"/>
        <v>0</v>
      </c>
      <c r="V19" s="553">
        <f t="shared" ca="1" si="4"/>
        <v>0</v>
      </c>
      <c r="W19" s="554">
        <f>IF(A19="",0,IF(IF(H19&lt;I19,I19-H19,IF(I19="",0,I19-H19+1))&gt;0,IF(H19&lt;I19,I19-H19,IF(I19="",0,I19-H19+1)),0))*Voreinstellungen!$E$23</f>
        <v>0</v>
      </c>
      <c r="X19" s="554">
        <f t="shared" si="15"/>
        <v>0</v>
      </c>
      <c r="Y19" s="555">
        <f>((W19+X19)*Voreinstellungen!$C$45)</f>
        <v>0</v>
      </c>
      <c r="Z19" s="555">
        <f>((R19)*Voreinstellungen!$C$45)</f>
        <v>0</v>
      </c>
      <c r="AA19" s="612">
        <f t="shared" si="5"/>
        <v>0</v>
      </c>
      <c r="AB19" s="612" t="str">
        <f t="shared" si="6"/>
        <v/>
      </c>
      <c r="AC19" s="612" t="str">
        <f t="shared" si="7"/>
        <v/>
      </c>
      <c r="AD19" s="612" t="str">
        <f t="shared" si="8"/>
        <v/>
      </c>
      <c r="AE19" s="612" t="str">
        <f t="shared" si="9"/>
        <v/>
      </c>
      <c r="AF19" s="555">
        <f t="shared" si="10"/>
        <v>0</v>
      </c>
      <c r="AG19" s="633">
        <f>IFERROR((AF19)*Voreinstellungen!$E$19,"")</f>
        <v>0</v>
      </c>
      <c r="AH19" s="633">
        <f>IF(ISERROR(AA19*Voreinstellungen!$E$19*Voreinstellungen!$E$20),"",(AA19*Voreinstellungen!$E$19*Voreinstellungen!$E$20))</f>
        <v>0</v>
      </c>
      <c r="AI19" s="633" t="str">
        <f>IF(ISERROR((AB19&amp;AC19)*Voreinstellungen!$E$19*Voreinstellungen!$E$21),"",((AB19&amp;AC19)*Voreinstellungen!$E$19*Voreinstellungen!$E$21))</f>
        <v/>
      </c>
      <c r="AJ19" s="633" t="str">
        <f>IF(ISERROR((AD19&amp;AE19)*Voreinstellungen!$E$19*Voreinstellungen!$E$22),"",((AD19&amp;AE19)*Voreinstellungen!$E$19*Voreinstellungen!$E$22))</f>
        <v/>
      </c>
      <c r="AK19" s="556">
        <f t="shared" si="16"/>
        <v>0</v>
      </c>
      <c r="AL19" s="131"/>
      <c r="AM19" s="563">
        <f t="shared" ca="1" si="17"/>
        <v>-2.9166666666666998</v>
      </c>
      <c r="AO19" s="587"/>
      <c r="AP19" s="625"/>
      <c r="AQ19" s="566"/>
      <c r="AR19" s="565"/>
      <c r="AS19" s="345">
        <f t="shared" si="11"/>
        <v>0</v>
      </c>
      <c r="AT19" s="345">
        <f t="shared" si="12"/>
        <v>0</v>
      </c>
    </row>
    <row r="20" spans="1:46" s="19" customFormat="1" ht="12" x14ac:dyDescent="0.2">
      <c r="A20" s="538">
        <f t="shared" si="13"/>
        <v>44242</v>
      </c>
      <c r="B20" s="539">
        <f t="shared" si="0"/>
        <v>44242</v>
      </c>
      <c r="C20" s="540" t="str">
        <f t="shared" si="1"/>
        <v/>
      </c>
      <c r="D20" s="458"/>
      <c r="E20" s="255"/>
      <c r="F20" s="521"/>
      <c r="G20" s="517"/>
      <c r="H20" s="573"/>
      <c r="I20" s="574"/>
      <c r="J20" s="582"/>
      <c r="K20" s="576"/>
      <c r="L20" s="583"/>
      <c r="M20" s="583"/>
      <c r="N20" s="583"/>
      <c r="O20" s="581"/>
      <c r="P20" s="620">
        <f>IF(T20&gt;PauseGTime,PauseGWert,IF(T20&gt;PauseKTime,PauseKWert,IF(T20&lt;=PauseKTime,0,WENN)))</f>
        <v>0</v>
      </c>
      <c r="Q20" s="364"/>
      <c r="R20" s="545">
        <f t="shared" si="18"/>
        <v>0</v>
      </c>
      <c r="S20" s="551">
        <f t="shared" ca="1" si="2"/>
        <v>0</v>
      </c>
      <c r="T20" s="551">
        <f t="shared" si="14"/>
        <v>0</v>
      </c>
      <c r="U20" s="552">
        <f t="shared" ca="1" si="3"/>
        <v>0</v>
      </c>
      <c r="V20" s="553">
        <f t="shared" ca="1" si="4"/>
        <v>0</v>
      </c>
      <c r="W20" s="554">
        <f>IF(A20="",0,IF(IF(H20&lt;I20,I20-H20,IF(I20="",0,I20-H20+1))&gt;0,IF(H20&lt;I20,I20-H20,IF(I20="",0,I20-H20+1)),0))*Voreinstellungen!$E$23</f>
        <v>0</v>
      </c>
      <c r="X20" s="554">
        <f t="shared" si="15"/>
        <v>0</v>
      </c>
      <c r="Y20" s="555">
        <f>((W20+X20)*Voreinstellungen!$C$45)</f>
        <v>0</v>
      </c>
      <c r="Z20" s="555">
        <f>((R20)*Voreinstellungen!$C$45)</f>
        <v>0</v>
      </c>
      <c r="AA20" s="612" t="str">
        <f t="shared" si="5"/>
        <v/>
      </c>
      <c r="AB20" s="612">
        <f t="shared" si="6"/>
        <v>0</v>
      </c>
      <c r="AC20" s="612" t="str">
        <f t="shared" si="7"/>
        <v/>
      </c>
      <c r="AD20" s="612">
        <f t="shared" si="8"/>
        <v>0</v>
      </c>
      <c r="AE20" s="612" t="str">
        <f t="shared" si="9"/>
        <v/>
      </c>
      <c r="AF20" s="555">
        <f t="shared" si="10"/>
        <v>0</v>
      </c>
      <c r="AG20" s="633">
        <f>IFERROR((AF20)*Voreinstellungen!$E$19,"")</f>
        <v>0</v>
      </c>
      <c r="AH20" s="633" t="str">
        <f>IF(ISERROR(AA20*Voreinstellungen!$E$19*Voreinstellungen!$E$20),"",(AA20*Voreinstellungen!$E$19*Voreinstellungen!$E$20))</f>
        <v/>
      </c>
      <c r="AI20" s="633">
        <f>IF(ISERROR((AB20&amp;AC20)*Voreinstellungen!$E$19*Voreinstellungen!$E$21),"",((AB20&amp;AC20)*Voreinstellungen!$E$19*Voreinstellungen!$E$21))</f>
        <v>0</v>
      </c>
      <c r="AJ20" s="633">
        <f>IF(ISERROR((AD20&amp;AE20)*Voreinstellungen!$E$19*Voreinstellungen!$E$22),"",((AD20&amp;AE20)*Voreinstellungen!$E$19*Voreinstellungen!$E$22))</f>
        <v>0</v>
      </c>
      <c r="AK20" s="556">
        <f t="shared" si="16"/>
        <v>0</v>
      </c>
      <c r="AL20" s="131"/>
      <c r="AM20" s="563">
        <f t="shared" ca="1" si="17"/>
        <v>-2.9166666666666998</v>
      </c>
      <c r="AO20" s="587"/>
      <c r="AP20" s="625"/>
      <c r="AQ20" s="566"/>
      <c r="AR20" s="565"/>
      <c r="AS20" s="345">
        <f t="shared" si="11"/>
        <v>0</v>
      </c>
      <c r="AT20" s="345">
        <f t="shared" si="12"/>
        <v>0</v>
      </c>
    </row>
    <row r="21" spans="1:46" s="19" customFormat="1" ht="12" x14ac:dyDescent="0.2">
      <c r="A21" s="538">
        <f t="shared" si="13"/>
        <v>44243</v>
      </c>
      <c r="B21" s="539">
        <f t="shared" si="0"/>
        <v>44243</v>
      </c>
      <c r="C21" s="540" t="str">
        <f t="shared" si="1"/>
        <v/>
      </c>
      <c r="D21" s="458"/>
      <c r="E21" s="255"/>
      <c r="F21" s="521"/>
      <c r="G21" s="517"/>
      <c r="H21" s="573"/>
      <c r="I21" s="574"/>
      <c r="J21" s="582"/>
      <c r="K21" s="576"/>
      <c r="L21" s="583"/>
      <c r="M21" s="583"/>
      <c r="N21" s="583"/>
      <c r="O21" s="581"/>
      <c r="P21" s="620">
        <f>IF(T21&gt;PauseGTime,PauseGWert,IF(T21&gt;PauseKTime,PauseKWert,IF(T21&lt;=PauseKTime,0,WENN)))</f>
        <v>0</v>
      </c>
      <c r="Q21" s="364"/>
      <c r="R21" s="545">
        <f t="shared" si="18"/>
        <v>0</v>
      </c>
      <c r="S21" s="551">
        <f t="shared" ca="1" si="2"/>
        <v>0.29166666666666669</v>
      </c>
      <c r="T21" s="551">
        <f t="shared" si="14"/>
        <v>0</v>
      </c>
      <c r="U21" s="552">
        <f t="shared" ca="1" si="3"/>
        <v>-0.29166666666667002</v>
      </c>
      <c r="V21" s="553">
        <f t="shared" ca="1" si="4"/>
        <v>0.29166666666666669</v>
      </c>
      <c r="W21" s="554">
        <f>IF(A21="",0,IF(IF(H21&lt;I21,I21-H21,IF(I21="",0,I21-H21+1))&gt;0,IF(H21&lt;I21,I21-H21,IF(I21="",0,I21-H21+1)),0))*Voreinstellungen!$E$23</f>
        <v>0</v>
      </c>
      <c r="X21" s="554">
        <f t="shared" si="15"/>
        <v>0</v>
      </c>
      <c r="Y21" s="555">
        <f>((W21+X21)*Voreinstellungen!$C$45)</f>
        <v>0</v>
      </c>
      <c r="Z21" s="555">
        <f>((R21)*Voreinstellungen!$C$45)</f>
        <v>0</v>
      </c>
      <c r="AA21" s="612">
        <f t="shared" si="5"/>
        <v>0</v>
      </c>
      <c r="AB21" s="612" t="str">
        <f t="shared" si="6"/>
        <v/>
      </c>
      <c r="AC21" s="612" t="str">
        <f t="shared" si="7"/>
        <v/>
      </c>
      <c r="AD21" s="612" t="str">
        <f t="shared" si="8"/>
        <v/>
      </c>
      <c r="AE21" s="612" t="str">
        <f t="shared" si="9"/>
        <v/>
      </c>
      <c r="AF21" s="555">
        <f t="shared" si="10"/>
        <v>0</v>
      </c>
      <c r="AG21" s="633">
        <f>IFERROR((AF21)*Voreinstellungen!$E$19,"")</f>
        <v>0</v>
      </c>
      <c r="AH21" s="633">
        <f>IF(ISERROR(AA21*Voreinstellungen!$E$19*Voreinstellungen!$E$20),"",(AA21*Voreinstellungen!$E$19*Voreinstellungen!$E$20))</f>
        <v>0</v>
      </c>
      <c r="AI21" s="633" t="str">
        <f>IF(ISERROR((AB21&amp;AC21)*Voreinstellungen!$E$19*Voreinstellungen!$E$21),"",((AB21&amp;AC21)*Voreinstellungen!$E$19*Voreinstellungen!$E$21))</f>
        <v/>
      </c>
      <c r="AJ21" s="633" t="str">
        <f>IF(ISERROR((AD21&amp;AE21)*Voreinstellungen!$E$19*Voreinstellungen!$E$22),"",((AD21&amp;AE21)*Voreinstellungen!$E$19*Voreinstellungen!$E$22))</f>
        <v/>
      </c>
      <c r="AK21" s="556">
        <f t="shared" si="16"/>
        <v>0</v>
      </c>
      <c r="AL21" s="131"/>
      <c r="AM21" s="563">
        <f t="shared" ca="1" si="17"/>
        <v>-3.2083333333333699</v>
      </c>
      <c r="AO21" s="587"/>
      <c r="AP21" s="625"/>
      <c r="AQ21" s="566"/>
      <c r="AR21" s="565"/>
      <c r="AS21" s="345">
        <f t="shared" si="11"/>
        <v>0</v>
      </c>
      <c r="AT21" s="345">
        <f t="shared" si="12"/>
        <v>0</v>
      </c>
    </row>
    <row r="22" spans="1:46" s="19" customFormat="1" ht="12" x14ac:dyDescent="0.2">
      <c r="A22" s="538">
        <f t="shared" si="13"/>
        <v>44244</v>
      </c>
      <c r="B22" s="539">
        <f t="shared" si="0"/>
        <v>44244</v>
      </c>
      <c r="C22" s="540" t="str">
        <f t="shared" si="1"/>
        <v/>
      </c>
      <c r="D22" s="458"/>
      <c r="E22" s="255"/>
      <c r="F22" s="521"/>
      <c r="G22" s="517"/>
      <c r="H22" s="573"/>
      <c r="I22" s="574"/>
      <c r="J22" s="582"/>
      <c r="K22" s="576"/>
      <c r="L22" s="583"/>
      <c r="M22" s="583"/>
      <c r="N22" s="583"/>
      <c r="O22" s="581"/>
      <c r="P22" s="620">
        <f>IF(T22&gt;PauseGTime,PauseGWert,IF(T22&gt;PauseKTime,PauseKWert,IF(T22&lt;=PauseKTime,0,WENN)))</f>
        <v>0</v>
      </c>
      <c r="Q22" s="364"/>
      <c r="R22" s="545">
        <f t="shared" si="18"/>
        <v>0</v>
      </c>
      <c r="S22" s="551">
        <f t="shared" ca="1" si="2"/>
        <v>0.29166666666666669</v>
      </c>
      <c r="T22" s="551">
        <f t="shared" si="14"/>
        <v>0</v>
      </c>
      <c r="U22" s="552">
        <f t="shared" ca="1" si="3"/>
        <v>-0.29166666666667002</v>
      </c>
      <c r="V22" s="553">
        <f t="shared" ca="1" si="4"/>
        <v>0.29166666666666669</v>
      </c>
      <c r="W22" s="554">
        <f>IF(A22="",0,IF(IF(H22&lt;I22,I22-H22,IF(I22="",0,I22-H22+1))&gt;0,IF(H22&lt;I22,I22-H22,IF(I22="",0,I22-H22+1)),0))*Voreinstellungen!$E$23</f>
        <v>0</v>
      </c>
      <c r="X22" s="554">
        <f t="shared" si="15"/>
        <v>0</v>
      </c>
      <c r="Y22" s="555">
        <f>((W22+X22)*Voreinstellungen!$C$45)</f>
        <v>0</v>
      </c>
      <c r="Z22" s="555">
        <f>((R22)*Voreinstellungen!$C$45)</f>
        <v>0</v>
      </c>
      <c r="AA22" s="612">
        <f t="shared" si="5"/>
        <v>0</v>
      </c>
      <c r="AB22" s="612" t="str">
        <f t="shared" si="6"/>
        <v/>
      </c>
      <c r="AC22" s="612" t="str">
        <f t="shared" si="7"/>
        <v/>
      </c>
      <c r="AD22" s="612" t="str">
        <f t="shared" si="8"/>
        <v/>
      </c>
      <c r="AE22" s="612" t="str">
        <f t="shared" si="9"/>
        <v/>
      </c>
      <c r="AF22" s="555">
        <f t="shared" si="10"/>
        <v>0</v>
      </c>
      <c r="AG22" s="633">
        <f>IFERROR((AF22)*Voreinstellungen!$E$19,"")</f>
        <v>0</v>
      </c>
      <c r="AH22" s="633">
        <f>IF(ISERROR(AA22*Voreinstellungen!$E$19*Voreinstellungen!$E$20),"",(AA22*Voreinstellungen!$E$19*Voreinstellungen!$E$20))</f>
        <v>0</v>
      </c>
      <c r="AI22" s="633" t="str">
        <f>IF(ISERROR((AB22&amp;AC22)*Voreinstellungen!$E$19*Voreinstellungen!$E$21),"",((AB22&amp;AC22)*Voreinstellungen!$E$19*Voreinstellungen!$E$21))</f>
        <v/>
      </c>
      <c r="AJ22" s="633" t="str">
        <f>IF(ISERROR((AD22&amp;AE22)*Voreinstellungen!$E$19*Voreinstellungen!$E$22),"",((AD22&amp;AE22)*Voreinstellungen!$E$19*Voreinstellungen!$E$22))</f>
        <v/>
      </c>
      <c r="AK22" s="556">
        <f t="shared" si="16"/>
        <v>0</v>
      </c>
      <c r="AL22" s="131"/>
      <c r="AM22" s="563">
        <f t="shared" ca="1" si="17"/>
        <v>-3.50000000000004</v>
      </c>
      <c r="AO22" s="587"/>
      <c r="AP22" s="625"/>
      <c r="AQ22" s="566"/>
      <c r="AR22" s="565"/>
      <c r="AS22" s="345">
        <f t="shared" si="11"/>
        <v>0</v>
      </c>
      <c r="AT22" s="345">
        <f t="shared" si="12"/>
        <v>0</v>
      </c>
    </row>
    <row r="23" spans="1:46" s="19" customFormat="1" ht="12" x14ac:dyDescent="0.2">
      <c r="A23" s="538">
        <f t="shared" si="13"/>
        <v>44245</v>
      </c>
      <c r="B23" s="539">
        <f t="shared" si="0"/>
        <v>44245</v>
      </c>
      <c r="C23" s="540" t="str">
        <f t="shared" si="1"/>
        <v/>
      </c>
      <c r="D23" s="458"/>
      <c r="E23" s="255"/>
      <c r="F23" s="521"/>
      <c r="G23" s="517"/>
      <c r="H23" s="573"/>
      <c r="I23" s="574"/>
      <c r="J23" s="582"/>
      <c r="K23" s="576"/>
      <c r="L23" s="583"/>
      <c r="M23" s="583"/>
      <c r="N23" s="583"/>
      <c r="O23" s="581"/>
      <c r="P23" s="620">
        <f>IF(T23&gt;PauseGTime,PauseGWert,IF(T23&gt;PauseKTime,PauseKWert,IF(T23&lt;=PauseKTime,0,WENN)))</f>
        <v>0</v>
      </c>
      <c r="Q23" s="364"/>
      <c r="R23" s="545">
        <f t="shared" si="18"/>
        <v>0</v>
      </c>
      <c r="S23" s="551">
        <f t="shared" ca="1" si="2"/>
        <v>0.29166666666666669</v>
      </c>
      <c r="T23" s="551">
        <f t="shared" si="14"/>
        <v>0</v>
      </c>
      <c r="U23" s="552">
        <f t="shared" ca="1" si="3"/>
        <v>-0.29166666666667002</v>
      </c>
      <c r="V23" s="553">
        <f t="shared" ca="1" si="4"/>
        <v>0.29166666666666669</v>
      </c>
      <c r="W23" s="554">
        <f>IF(A23="",0,IF(IF(H23&lt;I23,I23-H23,IF(I23="",0,I23-H23+1))&gt;0,IF(H23&lt;I23,I23-H23,IF(I23="",0,I23-H23+1)),0))*Voreinstellungen!$E$23</f>
        <v>0</v>
      </c>
      <c r="X23" s="554">
        <f t="shared" si="15"/>
        <v>0</v>
      </c>
      <c r="Y23" s="555">
        <f>((W23+X23)*Voreinstellungen!$C$45)</f>
        <v>0</v>
      </c>
      <c r="Z23" s="555">
        <f>((R23)*Voreinstellungen!$C$45)</f>
        <v>0</v>
      </c>
      <c r="AA23" s="612">
        <f t="shared" si="5"/>
        <v>0</v>
      </c>
      <c r="AB23" s="612" t="str">
        <f t="shared" si="6"/>
        <v/>
      </c>
      <c r="AC23" s="612" t="str">
        <f t="shared" si="7"/>
        <v/>
      </c>
      <c r="AD23" s="612" t="str">
        <f t="shared" si="8"/>
        <v/>
      </c>
      <c r="AE23" s="612" t="str">
        <f t="shared" si="9"/>
        <v/>
      </c>
      <c r="AF23" s="555">
        <f t="shared" si="10"/>
        <v>0</v>
      </c>
      <c r="AG23" s="633">
        <f>IFERROR((AF23)*Voreinstellungen!$E$19,"")</f>
        <v>0</v>
      </c>
      <c r="AH23" s="633">
        <f>IF(ISERROR(AA23*Voreinstellungen!$E$19*Voreinstellungen!$E$20),"",(AA23*Voreinstellungen!$E$19*Voreinstellungen!$E$20))</f>
        <v>0</v>
      </c>
      <c r="AI23" s="633" t="str">
        <f>IF(ISERROR((AB23&amp;AC23)*Voreinstellungen!$E$19*Voreinstellungen!$E$21),"",((AB23&amp;AC23)*Voreinstellungen!$E$19*Voreinstellungen!$E$21))</f>
        <v/>
      </c>
      <c r="AJ23" s="633" t="str">
        <f>IF(ISERROR((AD23&amp;AE23)*Voreinstellungen!$E$19*Voreinstellungen!$E$22),"",((AD23&amp;AE23)*Voreinstellungen!$E$19*Voreinstellungen!$E$22))</f>
        <v/>
      </c>
      <c r="AK23" s="556">
        <f t="shared" si="16"/>
        <v>0</v>
      </c>
      <c r="AL23" s="131"/>
      <c r="AM23" s="563">
        <f t="shared" ca="1" si="17"/>
        <v>-3.79166666666671</v>
      </c>
      <c r="AO23" s="587"/>
      <c r="AP23" s="625"/>
      <c r="AQ23" s="566"/>
      <c r="AR23" s="565"/>
      <c r="AS23" s="345">
        <f t="shared" si="11"/>
        <v>0</v>
      </c>
      <c r="AT23" s="345">
        <f t="shared" si="12"/>
        <v>0</v>
      </c>
    </row>
    <row r="24" spans="1:46" s="19" customFormat="1" ht="12" x14ac:dyDescent="0.2">
      <c r="A24" s="538">
        <f t="shared" si="13"/>
        <v>44246</v>
      </c>
      <c r="B24" s="539">
        <f t="shared" si="0"/>
        <v>44246</v>
      </c>
      <c r="C24" s="540" t="str">
        <f t="shared" si="1"/>
        <v/>
      </c>
      <c r="D24" s="458"/>
      <c r="E24" s="255"/>
      <c r="F24" s="521"/>
      <c r="G24" s="517"/>
      <c r="H24" s="573"/>
      <c r="I24" s="574"/>
      <c r="J24" s="582"/>
      <c r="K24" s="576"/>
      <c r="L24" s="583"/>
      <c r="M24" s="583"/>
      <c r="N24" s="583"/>
      <c r="O24" s="583"/>
      <c r="P24" s="620">
        <f>IF(T24&gt;PauseGTime,PauseGWert,IF(T24&gt;PauseKTime,PauseKWert,IF(T24&lt;=PauseKTime,0,WENN)))</f>
        <v>0</v>
      </c>
      <c r="Q24" s="364"/>
      <c r="R24" s="545">
        <f t="shared" si="18"/>
        <v>0</v>
      </c>
      <c r="S24" s="551">
        <f t="shared" ca="1" si="2"/>
        <v>0.29166666666666669</v>
      </c>
      <c r="T24" s="551">
        <f t="shared" si="14"/>
        <v>0</v>
      </c>
      <c r="U24" s="552">
        <f t="shared" ca="1" si="3"/>
        <v>-0.29166666666667002</v>
      </c>
      <c r="V24" s="553">
        <f t="shared" ca="1" si="4"/>
        <v>0.29166666666666669</v>
      </c>
      <c r="W24" s="554">
        <f>IF(A24="",0,IF(IF(H24&lt;I24,I24-H24,IF(I24="",0,I24-H24+1))&gt;0,IF(H24&lt;I24,I24-H24,IF(I24="",0,I24-H24+1)),0))*Voreinstellungen!$E$23</f>
        <v>0</v>
      </c>
      <c r="X24" s="554">
        <f t="shared" si="15"/>
        <v>0</v>
      </c>
      <c r="Y24" s="555">
        <f>((W24+X24)*Voreinstellungen!$C$45)</f>
        <v>0</v>
      </c>
      <c r="Z24" s="555">
        <f>((R24)*Voreinstellungen!$C$45)</f>
        <v>0</v>
      </c>
      <c r="AA24" s="612">
        <f t="shared" si="5"/>
        <v>0</v>
      </c>
      <c r="AB24" s="612" t="str">
        <f t="shared" si="6"/>
        <v/>
      </c>
      <c r="AC24" s="612" t="str">
        <f t="shared" si="7"/>
        <v/>
      </c>
      <c r="AD24" s="612" t="str">
        <f t="shared" si="8"/>
        <v/>
      </c>
      <c r="AE24" s="612" t="str">
        <f t="shared" si="9"/>
        <v/>
      </c>
      <c r="AF24" s="555">
        <f t="shared" si="10"/>
        <v>0</v>
      </c>
      <c r="AG24" s="633">
        <f>IFERROR((AF24)*Voreinstellungen!$E$19,"")</f>
        <v>0</v>
      </c>
      <c r="AH24" s="633">
        <f>IF(ISERROR(AA24*Voreinstellungen!$E$19*Voreinstellungen!$E$20),"",(AA24*Voreinstellungen!$E$19*Voreinstellungen!$E$20))</f>
        <v>0</v>
      </c>
      <c r="AI24" s="633" t="str">
        <f>IF(ISERROR((AB24&amp;AC24)*Voreinstellungen!$E$19*Voreinstellungen!$E$21),"",((AB24&amp;AC24)*Voreinstellungen!$E$19*Voreinstellungen!$E$21))</f>
        <v/>
      </c>
      <c r="AJ24" s="633" t="str">
        <f>IF(ISERROR((AD24&amp;AE24)*Voreinstellungen!$E$19*Voreinstellungen!$E$22),"",((AD24&amp;AE24)*Voreinstellungen!$E$19*Voreinstellungen!$E$22))</f>
        <v/>
      </c>
      <c r="AK24" s="556">
        <f t="shared" si="16"/>
        <v>0</v>
      </c>
      <c r="AL24" s="131"/>
      <c r="AM24" s="563">
        <f t="shared" ca="1" si="17"/>
        <v>-4.0833333333333801</v>
      </c>
      <c r="AO24" s="587"/>
      <c r="AP24" s="625"/>
      <c r="AQ24" s="566"/>
      <c r="AR24" s="565"/>
      <c r="AS24" s="345">
        <f t="shared" si="11"/>
        <v>0</v>
      </c>
      <c r="AT24" s="345">
        <f t="shared" si="12"/>
        <v>0</v>
      </c>
    </row>
    <row r="25" spans="1:46" s="19" customFormat="1" ht="12" x14ac:dyDescent="0.2">
      <c r="A25" s="538">
        <f t="shared" si="13"/>
        <v>44247</v>
      </c>
      <c r="B25" s="539">
        <f t="shared" si="0"/>
        <v>44247</v>
      </c>
      <c r="C25" s="540" t="str">
        <f t="shared" si="1"/>
        <v/>
      </c>
      <c r="D25" s="458"/>
      <c r="E25" s="255"/>
      <c r="F25" s="521"/>
      <c r="G25" s="517"/>
      <c r="H25" s="573"/>
      <c r="I25" s="574"/>
      <c r="J25" s="582"/>
      <c r="K25" s="576"/>
      <c r="L25" s="583"/>
      <c r="M25" s="583"/>
      <c r="N25" s="583"/>
      <c r="O25" s="583"/>
      <c r="P25" s="620">
        <f>IF(T25&gt;PauseGTime,PauseGWert,IF(T25&gt;PauseKTime,PauseKWert,IF(T25&lt;=PauseKTime,0,WENN)))</f>
        <v>0</v>
      </c>
      <c r="Q25" s="364"/>
      <c r="R25" s="545">
        <f t="shared" si="18"/>
        <v>0</v>
      </c>
      <c r="S25" s="551">
        <f t="shared" ca="1" si="2"/>
        <v>0.29166666666666669</v>
      </c>
      <c r="T25" s="551">
        <f t="shared" si="14"/>
        <v>0</v>
      </c>
      <c r="U25" s="552">
        <f t="shared" ca="1" si="3"/>
        <v>-0.29166666666667002</v>
      </c>
      <c r="V25" s="553">
        <f t="shared" ca="1" si="4"/>
        <v>0.29166666666666669</v>
      </c>
      <c r="W25" s="554">
        <f>IF(A25="",0,IF(IF(H25&lt;I25,I25-H25,IF(I25="",0,I25-H25+1))&gt;0,IF(H25&lt;I25,I25-H25,IF(I25="",0,I25-H25+1)),0))*Voreinstellungen!$E$23</f>
        <v>0</v>
      </c>
      <c r="X25" s="554">
        <f t="shared" si="15"/>
        <v>0</v>
      </c>
      <c r="Y25" s="555">
        <f>((W25+X25)*Voreinstellungen!$C$45)</f>
        <v>0</v>
      </c>
      <c r="Z25" s="555">
        <f>((R25)*Voreinstellungen!$C$45)</f>
        <v>0</v>
      </c>
      <c r="AA25" s="612">
        <f t="shared" si="5"/>
        <v>0</v>
      </c>
      <c r="AB25" s="612" t="str">
        <f t="shared" si="6"/>
        <v/>
      </c>
      <c r="AC25" s="612" t="str">
        <f t="shared" si="7"/>
        <v/>
      </c>
      <c r="AD25" s="612" t="str">
        <f t="shared" si="8"/>
        <v/>
      </c>
      <c r="AE25" s="612" t="str">
        <f t="shared" si="9"/>
        <v/>
      </c>
      <c r="AF25" s="555">
        <f t="shared" si="10"/>
        <v>0</v>
      </c>
      <c r="AG25" s="633">
        <f>IFERROR((AF25)*Voreinstellungen!$E$19,"")</f>
        <v>0</v>
      </c>
      <c r="AH25" s="633">
        <f>IF(ISERROR(AA25*Voreinstellungen!$E$19*Voreinstellungen!$E$20),"",(AA25*Voreinstellungen!$E$19*Voreinstellungen!$E$20))</f>
        <v>0</v>
      </c>
      <c r="AI25" s="633" t="str">
        <f>IF(ISERROR((AB25&amp;AC25)*Voreinstellungen!$E$19*Voreinstellungen!$E$21),"",((AB25&amp;AC25)*Voreinstellungen!$E$19*Voreinstellungen!$E$21))</f>
        <v/>
      </c>
      <c r="AJ25" s="633" t="str">
        <f>IF(ISERROR((AD25&amp;AE25)*Voreinstellungen!$E$19*Voreinstellungen!$E$22),"",((AD25&amp;AE25)*Voreinstellungen!$E$19*Voreinstellungen!$E$22))</f>
        <v/>
      </c>
      <c r="AK25" s="556">
        <f t="shared" si="16"/>
        <v>0</v>
      </c>
      <c r="AL25" s="131"/>
      <c r="AM25" s="563">
        <f t="shared" ca="1" si="17"/>
        <v>-4.3750000000000497</v>
      </c>
      <c r="AO25" s="587"/>
      <c r="AP25" s="625"/>
      <c r="AQ25" s="566"/>
      <c r="AR25" s="565"/>
      <c r="AS25" s="345">
        <f t="shared" si="11"/>
        <v>0</v>
      </c>
      <c r="AT25" s="345">
        <f t="shared" si="12"/>
        <v>0</v>
      </c>
    </row>
    <row r="26" spans="1:46" s="19" customFormat="1" ht="12" x14ac:dyDescent="0.2">
      <c r="A26" s="538">
        <f t="shared" si="13"/>
        <v>44248</v>
      </c>
      <c r="B26" s="539">
        <f t="shared" si="0"/>
        <v>44248</v>
      </c>
      <c r="C26" s="540" t="str">
        <f t="shared" si="1"/>
        <v/>
      </c>
      <c r="D26" s="458"/>
      <c r="E26" s="255"/>
      <c r="F26" s="521"/>
      <c r="G26" s="517"/>
      <c r="H26" s="573"/>
      <c r="I26" s="574"/>
      <c r="J26" s="582"/>
      <c r="K26" s="576"/>
      <c r="L26" s="583"/>
      <c r="M26" s="583"/>
      <c r="N26" s="583"/>
      <c r="O26" s="581"/>
      <c r="P26" s="620">
        <f>IF(T26&gt;PauseGTime,PauseGWert,IF(T26&gt;PauseKTime,PauseKWert,IF(T26&lt;=PauseKTime,0,WENN)))</f>
        <v>0</v>
      </c>
      <c r="Q26" s="364"/>
      <c r="R26" s="545">
        <f t="shared" si="18"/>
        <v>0</v>
      </c>
      <c r="S26" s="551">
        <f t="shared" ca="1" si="2"/>
        <v>0</v>
      </c>
      <c r="T26" s="551">
        <f t="shared" si="14"/>
        <v>0</v>
      </c>
      <c r="U26" s="552">
        <f t="shared" ca="1" si="3"/>
        <v>0</v>
      </c>
      <c r="V26" s="553">
        <f t="shared" ca="1" si="4"/>
        <v>0</v>
      </c>
      <c r="W26" s="554">
        <f>IF(A26="",0,IF(IF(H26&lt;I26,I26-H26,IF(I26="",0,I26-H26+1))&gt;0,IF(H26&lt;I26,I26-H26,IF(I26="",0,I26-H26+1)),0))*Voreinstellungen!$E$23</f>
        <v>0</v>
      </c>
      <c r="X26" s="554">
        <f t="shared" si="15"/>
        <v>0</v>
      </c>
      <c r="Y26" s="555">
        <f>((W26+X26)*Voreinstellungen!$C$45)</f>
        <v>0</v>
      </c>
      <c r="Z26" s="555">
        <f>((R26)*Voreinstellungen!$C$45)</f>
        <v>0</v>
      </c>
      <c r="AA26" s="612">
        <f t="shared" si="5"/>
        <v>0</v>
      </c>
      <c r="AB26" s="612" t="str">
        <f t="shared" si="6"/>
        <v/>
      </c>
      <c r="AC26" s="612" t="str">
        <f t="shared" si="7"/>
        <v/>
      </c>
      <c r="AD26" s="612" t="str">
        <f t="shared" si="8"/>
        <v/>
      </c>
      <c r="AE26" s="612" t="str">
        <f t="shared" si="9"/>
        <v/>
      </c>
      <c r="AF26" s="555">
        <f t="shared" si="10"/>
        <v>0</v>
      </c>
      <c r="AG26" s="633">
        <f>IFERROR((AF26)*Voreinstellungen!$E$19,"")</f>
        <v>0</v>
      </c>
      <c r="AH26" s="633">
        <f>IF(ISERROR(AA26*Voreinstellungen!$E$19*Voreinstellungen!$E$20),"",(AA26*Voreinstellungen!$E$19*Voreinstellungen!$E$20))</f>
        <v>0</v>
      </c>
      <c r="AI26" s="633" t="str">
        <f>IF(ISERROR((AB26&amp;AC26)*Voreinstellungen!$E$19*Voreinstellungen!$E$21),"",((AB26&amp;AC26)*Voreinstellungen!$E$19*Voreinstellungen!$E$21))</f>
        <v/>
      </c>
      <c r="AJ26" s="633" t="str">
        <f>IF(ISERROR((AD26&amp;AE26)*Voreinstellungen!$E$19*Voreinstellungen!$E$22),"",((AD26&amp;AE26)*Voreinstellungen!$E$19*Voreinstellungen!$E$22))</f>
        <v/>
      </c>
      <c r="AK26" s="556">
        <f t="shared" si="16"/>
        <v>0</v>
      </c>
      <c r="AL26" s="131"/>
      <c r="AM26" s="563">
        <f t="shared" ca="1" si="17"/>
        <v>-4.3750000000000497</v>
      </c>
      <c r="AO26" s="587"/>
      <c r="AP26" s="625"/>
      <c r="AQ26" s="566"/>
      <c r="AR26" s="565"/>
      <c r="AS26" s="345">
        <f t="shared" si="11"/>
        <v>0</v>
      </c>
      <c r="AT26" s="345">
        <f t="shared" si="12"/>
        <v>0</v>
      </c>
    </row>
    <row r="27" spans="1:46" s="19" customFormat="1" ht="12" x14ac:dyDescent="0.2">
      <c r="A27" s="538">
        <f t="shared" si="13"/>
        <v>44249</v>
      </c>
      <c r="B27" s="539">
        <f t="shared" si="0"/>
        <v>44249</v>
      </c>
      <c r="C27" s="540" t="str">
        <f t="shared" si="1"/>
        <v/>
      </c>
      <c r="D27" s="458"/>
      <c r="E27" s="255"/>
      <c r="F27" s="521"/>
      <c r="G27" s="517"/>
      <c r="H27" s="573"/>
      <c r="I27" s="574"/>
      <c r="J27" s="582"/>
      <c r="K27" s="576"/>
      <c r="L27" s="583"/>
      <c r="M27" s="583"/>
      <c r="N27" s="583"/>
      <c r="O27" s="581"/>
      <c r="P27" s="620">
        <f>IF(T27&gt;PauseGTime,PauseGWert,IF(T27&gt;PauseKTime,PauseKWert,IF(T27&lt;=PauseKTime,0,WENN)))</f>
        <v>0</v>
      </c>
      <c r="Q27" s="364"/>
      <c r="R27" s="545">
        <f t="shared" si="18"/>
        <v>0</v>
      </c>
      <c r="S27" s="551">
        <f t="shared" ca="1" si="2"/>
        <v>0</v>
      </c>
      <c r="T27" s="551">
        <f t="shared" si="14"/>
        <v>0</v>
      </c>
      <c r="U27" s="552">
        <f t="shared" ca="1" si="3"/>
        <v>0</v>
      </c>
      <c r="V27" s="553">
        <f t="shared" ca="1" si="4"/>
        <v>0</v>
      </c>
      <c r="W27" s="554">
        <f>IF(A27="",0,IF(IF(H27&lt;I27,I27-H27,IF(I27="",0,I27-H27+1))&gt;0,IF(H27&lt;I27,I27-H27,IF(I27="",0,I27-H27+1)),0))*Voreinstellungen!$E$23</f>
        <v>0</v>
      </c>
      <c r="X27" s="554">
        <f t="shared" si="15"/>
        <v>0</v>
      </c>
      <c r="Y27" s="555">
        <f>((W27+X27)*Voreinstellungen!$C$45)</f>
        <v>0</v>
      </c>
      <c r="Z27" s="555">
        <f>((R27)*Voreinstellungen!$C$45)</f>
        <v>0</v>
      </c>
      <c r="AA27" s="612" t="str">
        <f t="shared" si="5"/>
        <v/>
      </c>
      <c r="AB27" s="612">
        <f t="shared" si="6"/>
        <v>0</v>
      </c>
      <c r="AC27" s="612" t="str">
        <f t="shared" si="7"/>
        <v/>
      </c>
      <c r="AD27" s="612">
        <f t="shared" si="8"/>
        <v>0</v>
      </c>
      <c r="AE27" s="612" t="str">
        <f t="shared" si="9"/>
        <v/>
      </c>
      <c r="AF27" s="555">
        <f t="shared" si="10"/>
        <v>0</v>
      </c>
      <c r="AG27" s="633">
        <f>IFERROR((AF27)*Voreinstellungen!$E$19,"")</f>
        <v>0</v>
      </c>
      <c r="AH27" s="633" t="str">
        <f>IF(ISERROR(AA27*Voreinstellungen!$E$19*Voreinstellungen!$E$20),"",(AA27*Voreinstellungen!$E$19*Voreinstellungen!$E$20))</f>
        <v/>
      </c>
      <c r="AI27" s="633">
        <f>IF(ISERROR((AB27&amp;AC27)*Voreinstellungen!$E$19*Voreinstellungen!$E$21),"",((AB27&amp;AC27)*Voreinstellungen!$E$19*Voreinstellungen!$E$21))</f>
        <v>0</v>
      </c>
      <c r="AJ27" s="633">
        <f>IF(ISERROR((AD27&amp;AE27)*Voreinstellungen!$E$19*Voreinstellungen!$E$22),"",((AD27&amp;AE27)*Voreinstellungen!$E$19*Voreinstellungen!$E$22))</f>
        <v>0</v>
      </c>
      <c r="AK27" s="556">
        <f t="shared" si="16"/>
        <v>0</v>
      </c>
      <c r="AL27" s="131"/>
      <c r="AM27" s="563">
        <f t="shared" ca="1" si="17"/>
        <v>-4.3750000000000497</v>
      </c>
      <c r="AO27" s="587"/>
      <c r="AP27" s="625"/>
      <c r="AQ27" s="566"/>
      <c r="AR27" s="565"/>
      <c r="AS27" s="345">
        <f t="shared" si="11"/>
        <v>0</v>
      </c>
      <c r="AT27" s="345">
        <f t="shared" si="12"/>
        <v>0</v>
      </c>
    </row>
    <row r="28" spans="1:46" s="19" customFormat="1" ht="12" x14ac:dyDescent="0.2">
      <c r="A28" s="538">
        <f t="shared" si="13"/>
        <v>44250</v>
      </c>
      <c r="B28" s="539">
        <f t="shared" si="0"/>
        <v>44250</v>
      </c>
      <c r="C28" s="540" t="str">
        <f t="shared" si="1"/>
        <v/>
      </c>
      <c r="D28" s="458"/>
      <c r="E28" s="255"/>
      <c r="F28" s="521"/>
      <c r="G28" s="517"/>
      <c r="H28" s="573"/>
      <c r="I28" s="574"/>
      <c r="J28" s="582"/>
      <c r="K28" s="576"/>
      <c r="L28" s="583"/>
      <c r="M28" s="583"/>
      <c r="N28" s="583"/>
      <c r="O28" s="581"/>
      <c r="P28" s="620">
        <f>IF(T28&gt;PauseGTime,PauseGWert,IF(T28&gt;PauseKTime,PauseKWert,IF(T28&lt;=PauseKTime,0,WENN)))</f>
        <v>0</v>
      </c>
      <c r="Q28" s="364"/>
      <c r="R28" s="545">
        <f t="shared" si="18"/>
        <v>0</v>
      </c>
      <c r="S28" s="551">
        <f t="shared" ca="1" si="2"/>
        <v>0.29166666666666669</v>
      </c>
      <c r="T28" s="551">
        <f t="shared" si="14"/>
        <v>0</v>
      </c>
      <c r="U28" s="552">
        <f t="shared" ca="1" si="3"/>
        <v>-0.29166666666667002</v>
      </c>
      <c r="V28" s="553">
        <f t="shared" ca="1" si="4"/>
        <v>0.29166666666666669</v>
      </c>
      <c r="W28" s="554">
        <f>IF(A28="",0,IF(IF(H28&lt;I28,I28-H28,IF(I28="",0,I28-H28+1))&gt;0,IF(H28&lt;I28,I28-H28,IF(I28="",0,I28-H28+1)),0))*Voreinstellungen!$E$23</f>
        <v>0</v>
      </c>
      <c r="X28" s="554">
        <f t="shared" si="15"/>
        <v>0</v>
      </c>
      <c r="Y28" s="555">
        <f>((W28+X28)*Voreinstellungen!$C$45)</f>
        <v>0</v>
      </c>
      <c r="Z28" s="555">
        <f>((R28)*Voreinstellungen!$C$45)</f>
        <v>0</v>
      </c>
      <c r="AA28" s="612">
        <f t="shared" si="5"/>
        <v>0</v>
      </c>
      <c r="AB28" s="612" t="str">
        <f t="shared" si="6"/>
        <v/>
      </c>
      <c r="AC28" s="612" t="str">
        <f t="shared" si="7"/>
        <v/>
      </c>
      <c r="AD28" s="612" t="str">
        <f t="shared" si="8"/>
        <v/>
      </c>
      <c r="AE28" s="612" t="str">
        <f t="shared" si="9"/>
        <v/>
      </c>
      <c r="AF28" s="555">
        <f t="shared" si="10"/>
        <v>0</v>
      </c>
      <c r="AG28" s="633">
        <f>IFERROR((AF28)*Voreinstellungen!$E$19,"")</f>
        <v>0</v>
      </c>
      <c r="AH28" s="633">
        <f>IF(ISERROR(AA28*Voreinstellungen!$E$19*Voreinstellungen!$E$20),"",(AA28*Voreinstellungen!$E$19*Voreinstellungen!$E$20))</f>
        <v>0</v>
      </c>
      <c r="AI28" s="633" t="str">
        <f>IF(ISERROR((AB28&amp;AC28)*Voreinstellungen!$E$19*Voreinstellungen!$E$21),"",((AB28&amp;AC28)*Voreinstellungen!$E$19*Voreinstellungen!$E$21))</f>
        <v/>
      </c>
      <c r="AJ28" s="633" t="str">
        <f>IF(ISERROR((AD28&amp;AE28)*Voreinstellungen!$E$19*Voreinstellungen!$E$22),"",((AD28&amp;AE28)*Voreinstellungen!$E$19*Voreinstellungen!$E$22))</f>
        <v/>
      </c>
      <c r="AK28" s="556">
        <f t="shared" si="16"/>
        <v>0</v>
      </c>
      <c r="AL28" s="131"/>
      <c r="AM28" s="563">
        <f t="shared" ca="1" si="17"/>
        <v>-4.6666666666667203</v>
      </c>
      <c r="AO28" s="587"/>
      <c r="AP28" s="625"/>
      <c r="AQ28" s="566"/>
      <c r="AR28" s="565"/>
      <c r="AS28" s="345">
        <f t="shared" si="11"/>
        <v>0</v>
      </c>
      <c r="AT28" s="345">
        <f t="shared" si="12"/>
        <v>0</v>
      </c>
    </row>
    <row r="29" spans="1:46" s="19" customFormat="1" ht="12" x14ac:dyDescent="0.2">
      <c r="A29" s="538">
        <f t="shared" si="13"/>
        <v>44251</v>
      </c>
      <c r="B29" s="539">
        <f t="shared" si="0"/>
        <v>44251</v>
      </c>
      <c r="C29" s="540" t="str">
        <f t="shared" si="1"/>
        <v/>
      </c>
      <c r="D29" s="458"/>
      <c r="E29" s="255"/>
      <c r="F29" s="521"/>
      <c r="G29" s="517"/>
      <c r="H29" s="573"/>
      <c r="I29" s="574"/>
      <c r="J29" s="582"/>
      <c r="K29" s="576"/>
      <c r="L29" s="583"/>
      <c r="M29" s="583"/>
      <c r="N29" s="583"/>
      <c r="O29" s="581"/>
      <c r="P29" s="620">
        <f>IF(T29&gt;PauseGTime,PauseGWert,IF(T29&gt;PauseKTime,PauseKWert,IF(T29&lt;=PauseKTime,0,WENN)))</f>
        <v>0</v>
      </c>
      <c r="Q29" s="364"/>
      <c r="R29" s="545">
        <f t="shared" si="18"/>
        <v>0</v>
      </c>
      <c r="S29" s="551">
        <f t="shared" ca="1" si="2"/>
        <v>0.29166666666666669</v>
      </c>
      <c r="T29" s="551">
        <f t="shared" si="14"/>
        <v>0</v>
      </c>
      <c r="U29" s="552">
        <f t="shared" ca="1" si="3"/>
        <v>-0.29166666666667002</v>
      </c>
      <c r="V29" s="553">
        <f t="shared" ca="1" si="4"/>
        <v>0.29166666666666669</v>
      </c>
      <c r="W29" s="554">
        <f>IF(A29="",0,IF(IF(H29&lt;I29,I29-H29,IF(I29="",0,I29-H29+1))&gt;0,IF(H29&lt;I29,I29-H29,IF(I29="",0,I29-H29+1)),0))*Voreinstellungen!$E$23</f>
        <v>0</v>
      </c>
      <c r="X29" s="554">
        <f t="shared" si="15"/>
        <v>0</v>
      </c>
      <c r="Y29" s="555">
        <f>((W29+X29)*Voreinstellungen!$C$45)</f>
        <v>0</v>
      </c>
      <c r="Z29" s="555">
        <f>((R29)*Voreinstellungen!$C$45)</f>
        <v>0</v>
      </c>
      <c r="AA29" s="612">
        <f t="shared" si="5"/>
        <v>0</v>
      </c>
      <c r="AB29" s="612" t="str">
        <f t="shared" si="6"/>
        <v/>
      </c>
      <c r="AC29" s="612" t="str">
        <f t="shared" si="7"/>
        <v/>
      </c>
      <c r="AD29" s="612" t="str">
        <f t="shared" si="8"/>
        <v/>
      </c>
      <c r="AE29" s="612" t="str">
        <f t="shared" si="9"/>
        <v/>
      </c>
      <c r="AF29" s="555">
        <f t="shared" si="10"/>
        <v>0</v>
      </c>
      <c r="AG29" s="633">
        <f>IFERROR((AF29)*Voreinstellungen!$E$19,"")</f>
        <v>0</v>
      </c>
      <c r="AH29" s="633">
        <f>IF(ISERROR(AA29*Voreinstellungen!$E$19*Voreinstellungen!$E$20),"",(AA29*Voreinstellungen!$E$19*Voreinstellungen!$E$20))</f>
        <v>0</v>
      </c>
      <c r="AI29" s="633" t="str">
        <f>IF(ISERROR((AB29&amp;AC29)*Voreinstellungen!$E$19*Voreinstellungen!$E$21),"",((AB29&amp;AC29)*Voreinstellungen!$E$19*Voreinstellungen!$E$21))</f>
        <v/>
      </c>
      <c r="AJ29" s="633" t="str">
        <f>IF(ISERROR((AD29&amp;AE29)*Voreinstellungen!$E$19*Voreinstellungen!$E$22),"",((AD29&amp;AE29)*Voreinstellungen!$E$19*Voreinstellungen!$E$22))</f>
        <v/>
      </c>
      <c r="AK29" s="556">
        <f t="shared" si="16"/>
        <v>0</v>
      </c>
      <c r="AL29" s="131"/>
      <c r="AM29" s="563">
        <f t="shared" ca="1" si="17"/>
        <v>-4.9583333333333899</v>
      </c>
      <c r="AO29" s="587"/>
      <c r="AP29" s="625"/>
      <c r="AQ29" s="566"/>
      <c r="AR29" s="565"/>
      <c r="AS29" s="345">
        <f t="shared" si="11"/>
        <v>0</v>
      </c>
      <c r="AT29" s="345">
        <f t="shared" si="12"/>
        <v>0</v>
      </c>
    </row>
    <row r="30" spans="1:46" s="19" customFormat="1" ht="12" x14ac:dyDescent="0.2">
      <c r="A30" s="538">
        <f t="shared" si="13"/>
        <v>44252</v>
      </c>
      <c r="B30" s="539">
        <f t="shared" si="0"/>
        <v>44252</v>
      </c>
      <c r="C30" s="540" t="str">
        <f t="shared" si="1"/>
        <v/>
      </c>
      <c r="D30" s="458"/>
      <c r="E30" s="255"/>
      <c r="F30" s="521"/>
      <c r="G30" s="517"/>
      <c r="H30" s="573"/>
      <c r="I30" s="574"/>
      <c r="J30" s="582"/>
      <c r="K30" s="576"/>
      <c r="L30" s="583"/>
      <c r="M30" s="583"/>
      <c r="N30" s="583"/>
      <c r="O30" s="581"/>
      <c r="P30" s="620">
        <f>IF(T30&gt;PauseGTime,PauseGWert,IF(T30&gt;PauseKTime,PauseKWert,IF(T30&lt;=PauseKTime,0,WENN)))</f>
        <v>0</v>
      </c>
      <c r="Q30" s="364"/>
      <c r="R30" s="545">
        <f t="shared" si="18"/>
        <v>0</v>
      </c>
      <c r="S30" s="551">
        <f t="shared" ca="1" si="2"/>
        <v>0.29166666666666669</v>
      </c>
      <c r="T30" s="551">
        <f t="shared" si="14"/>
        <v>0</v>
      </c>
      <c r="U30" s="552">
        <f t="shared" ca="1" si="3"/>
        <v>-0.29166666666667002</v>
      </c>
      <c r="V30" s="553">
        <f t="shared" ca="1" si="4"/>
        <v>0.29166666666666669</v>
      </c>
      <c r="W30" s="554">
        <f>IF(A30="",0,IF(IF(H30&lt;I30,I30-H30,IF(I30="",0,I30-H30+1))&gt;0,IF(H30&lt;I30,I30-H30,IF(I30="",0,I30-H30+1)),0))*Voreinstellungen!$E$23</f>
        <v>0</v>
      </c>
      <c r="X30" s="554">
        <f t="shared" si="15"/>
        <v>0</v>
      </c>
      <c r="Y30" s="555">
        <f>((W30+X30)*Voreinstellungen!$C$45)</f>
        <v>0</v>
      </c>
      <c r="Z30" s="555">
        <f>((R30)*Voreinstellungen!$C$45)</f>
        <v>0</v>
      </c>
      <c r="AA30" s="612">
        <f t="shared" si="5"/>
        <v>0</v>
      </c>
      <c r="AB30" s="612" t="str">
        <f t="shared" si="6"/>
        <v/>
      </c>
      <c r="AC30" s="612" t="str">
        <f t="shared" si="7"/>
        <v/>
      </c>
      <c r="AD30" s="612" t="str">
        <f t="shared" si="8"/>
        <v/>
      </c>
      <c r="AE30" s="612" t="str">
        <f t="shared" si="9"/>
        <v/>
      </c>
      <c r="AF30" s="555">
        <f t="shared" si="10"/>
        <v>0</v>
      </c>
      <c r="AG30" s="633">
        <f>IFERROR((AF30)*Voreinstellungen!$E$19,"")</f>
        <v>0</v>
      </c>
      <c r="AH30" s="633">
        <f>IF(ISERROR(AA30*Voreinstellungen!$E$19*Voreinstellungen!$E$20),"",(AA30*Voreinstellungen!$E$19*Voreinstellungen!$E$20))</f>
        <v>0</v>
      </c>
      <c r="AI30" s="633" t="str">
        <f>IF(ISERROR((AB30&amp;AC30)*Voreinstellungen!$E$19*Voreinstellungen!$E$21),"",((AB30&amp;AC30)*Voreinstellungen!$E$19*Voreinstellungen!$E$21))</f>
        <v/>
      </c>
      <c r="AJ30" s="633" t="str">
        <f>IF(ISERROR((AD30&amp;AE30)*Voreinstellungen!$E$19*Voreinstellungen!$E$22),"",((AD30&amp;AE30)*Voreinstellungen!$E$19*Voreinstellungen!$E$22))</f>
        <v/>
      </c>
      <c r="AK30" s="556">
        <f t="shared" si="16"/>
        <v>0</v>
      </c>
      <c r="AL30" s="131"/>
      <c r="AM30" s="563">
        <f t="shared" ca="1" si="17"/>
        <v>-5.2500000000000604</v>
      </c>
      <c r="AO30" s="587"/>
      <c r="AP30" s="625"/>
      <c r="AQ30" s="566"/>
      <c r="AR30" s="565"/>
      <c r="AS30" s="345">
        <f t="shared" si="11"/>
        <v>0</v>
      </c>
      <c r="AT30" s="345">
        <f t="shared" si="12"/>
        <v>0</v>
      </c>
    </row>
    <row r="31" spans="1:46" s="19" customFormat="1" ht="12" x14ac:dyDescent="0.2">
      <c r="A31" s="538">
        <f t="shared" si="13"/>
        <v>44253</v>
      </c>
      <c r="B31" s="539">
        <f t="shared" si="0"/>
        <v>44253</v>
      </c>
      <c r="C31" s="540" t="str">
        <f t="shared" si="1"/>
        <v/>
      </c>
      <c r="D31" s="458"/>
      <c r="E31" s="255"/>
      <c r="F31" s="521"/>
      <c r="G31" s="517"/>
      <c r="H31" s="573"/>
      <c r="I31" s="574"/>
      <c r="J31" s="582"/>
      <c r="K31" s="576"/>
      <c r="L31" s="583"/>
      <c r="M31" s="583"/>
      <c r="N31" s="583"/>
      <c r="O31" s="583"/>
      <c r="P31" s="620">
        <f>IF(T31&gt;PauseGTime,PauseGWert,IF(T31&gt;PauseKTime,PauseKWert,IF(T31&lt;=PauseKTime,0,WENN)))</f>
        <v>0</v>
      </c>
      <c r="Q31" s="364"/>
      <c r="R31" s="545">
        <f t="shared" si="18"/>
        <v>0</v>
      </c>
      <c r="S31" s="551">
        <f t="shared" ca="1" si="2"/>
        <v>0.29166666666666669</v>
      </c>
      <c r="T31" s="551">
        <f t="shared" si="14"/>
        <v>0</v>
      </c>
      <c r="U31" s="552">
        <f t="shared" ca="1" si="3"/>
        <v>-0.29166666666667002</v>
      </c>
      <c r="V31" s="553">
        <f t="shared" ca="1" si="4"/>
        <v>0.29166666666666669</v>
      </c>
      <c r="W31" s="554">
        <f>IF(A31="",0,IF(IF(H31&lt;I31,I31-H31,IF(I31="",0,I31-H31+1))&gt;0,IF(H31&lt;I31,I31-H31,IF(I31="",0,I31-H31+1)),0))*Voreinstellungen!$E$23</f>
        <v>0</v>
      </c>
      <c r="X31" s="554">
        <f t="shared" si="15"/>
        <v>0</v>
      </c>
      <c r="Y31" s="555">
        <f>((W31+X31)*Voreinstellungen!$C$45)</f>
        <v>0</v>
      </c>
      <c r="Z31" s="555">
        <f>((R31)*Voreinstellungen!$C$45)</f>
        <v>0</v>
      </c>
      <c r="AA31" s="612">
        <f t="shared" si="5"/>
        <v>0</v>
      </c>
      <c r="AB31" s="612" t="str">
        <f t="shared" si="6"/>
        <v/>
      </c>
      <c r="AC31" s="612" t="str">
        <f t="shared" si="7"/>
        <v/>
      </c>
      <c r="AD31" s="612" t="str">
        <f t="shared" si="8"/>
        <v/>
      </c>
      <c r="AE31" s="612" t="str">
        <f t="shared" si="9"/>
        <v/>
      </c>
      <c r="AF31" s="555">
        <f t="shared" si="10"/>
        <v>0</v>
      </c>
      <c r="AG31" s="633">
        <f>IFERROR((AF31)*Voreinstellungen!$E$19,"")</f>
        <v>0</v>
      </c>
      <c r="AH31" s="633">
        <f>IF(ISERROR(AA31*Voreinstellungen!$E$19*Voreinstellungen!$E$20),"",(AA31*Voreinstellungen!$E$19*Voreinstellungen!$E$20))</f>
        <v>0</v>
      </c>
      <c r="AI31" s="633" t="str">
        <f>IF(ISERROR((AB31&amp;AC31)*Voreinstellungen!$E$19*Voreinstellungen!$E$21),"",((AB31&amp;AC31)*Voreinstellungen!$E$19*Voreinstellungen!$E$21))</f>
        <v/>
      </c>
      <c r="AJ31" s="633" t="str">
        <f>IF(ISERROR((AD31&amp;AE31)*Voreinstellungen!$E$19*Voreinstellungen!$E$22),"",((AD31&amp;AE31)*Voreinstellungen!$E$19*Voreinstellungen!$E$22))</f>
        <v/>
      </c>
      <c r="AK31" s="556">
        <f t="shared" si="16"/>
        <v>0</v>
      </c>
      <c r="AL31" s="131"/>
      <c r="AM31" s="563">
        <f t="shared" ca="1" si="17"/>
        <v>-5.54166666666673</v>
      </c>
      <c r="AO31" s="622" t="s">
        <v>209</v>
      </c>
      <c r="AP31" s="631">
        <f>SUM(AG5:AG35)</f>
        <v>0</v>
      </c>
      <c r="AQ31" s="566"/>
      <c r="AR31" s="565"/>
      <c r="AS31" s="345">
        <f t="shared" si="11"/>
        <v>0</v>
      </c>
      <c r="AT31" s="345">
        <f t="shared" si="12"/>
        <v>0</v>
      </c>
    </row>
    <row r="32" spans="1:46" s="19" customFormat="1" ht="12" x14ac:dyDescent="0.2">
      <c r="A32" s="538">
        <f t="shared" si="13"/>
        <v>44254</v>
      </c>
      <c r="B32" s="539">
        <f t="shared" si="0"/>
        <v>44254</v>
      </c>
      <c r="C32" s="540" t="str">
        <f t="shared" si="1"/>
        <v/>
      </c>
      <c r="D32" s="458"/>
      <c r="E32" s="255"/>
      <c r="F32" s="521"/>
      <c r="G32" s="517"/>
      <c r="H32" s="573"/>
      <c r="I32" s="574"/>
      <c r="J32" s="582"/>
      <c r="K32" s="576"/>
      <c r="L32" s="583"/>
      <c r="M32" s="583"/>
      <c r="N32" s="583"/>
      <c r="O32" s="583"/>
      <c r="P32" s="620">
        <f>IF(T32&gt;PauseGTime,PauseGWert,IF(T32&gt;PauseKTime,PauseKWert,IF(T32&lt;=PauseKTime,0,WENN)))</f>
        <v>0</v>
      </c>
      <c r="Q32" s="364"/>
      <c r="R32" s="545">
        <f t="shared" si="18"/>
        <v>0</v>
      </c>
      <c r="S32" s="551">
        <f t="shared" ca="1" si="2"/>
        <v>0.29166666666666669</v>
      </c>
      <c r="T32" s="551">
        <f t="shared" si="14"/>
        <v>0</v>
      </c>
      <c r="U32" s="552">
        <f t="shared" ca="1" si="3"/>
        <v>-0.29166666666667002</v>
      </c>
      <c r="V32" s="553">
        <f t="shared" ca="1" si="4"/>
        <v>0.29166666666666669</v>
      </c>
      <c r="W32" s="554">
        <f>IF(A32="",0,IF(IF(H32&lt;I32,I32-H32,IF(I32="",0,I32-H32+1))&gt;0,IF(H32&lt;I32,I32-H32,IF(I32="",0,I32-H32+1)),0))*Voreinstellungen!$E$23</f>
        <v>0</v>
      </c>
      <c r="X32" s="554">
        <f t="shared" si="15"/>
        <v>0</v>
      </c>
      <c r="Y32" s="555">
        <f>((W32+X32)*Voreinstellungen!$C$45)</f>
        <v>0</v>
      </c>
      <c r="Z32" s="555">
        <f>((R32)*Voreinstellungen!$C$45)</f>
        <v>0</v>
      </c>
      <c r="AA32" s="612">
        <f t="shared" si="5"/>
        <v>0</v>
      </c>
      <c r="AB32" s="612" t="str">
        <f t="shared" si="6"/>
        <v/>
      </c>
      <c r="AC32" s="612" t="str">
        <f t="shared" si="7"/>
        <v/>
      </c>
      <c r="AD32" s="612" t="str">
        <f t="shared" si="8"/>
        <v/>
      </c>
      <c r="AE32" s="612" t="str">
        <f t="shared" si="9"/>
        <v/>
      </c>
      <c r="AF32" s="555">
        <f t="shared" si="10"/>
        <v>0</v>
      </c>
      <c r="AG32" s="633">
        <f>IFERROR((AF32)*Voreinstellungen!$E$19,"")</f>
        <v>0</v>
      </c>
      <c r="AH32" s="633">
        <f>IF(ISERROR(AA32*Voreinstellungen!$E$19*Voreinstellungen!$E$20),"",(AA32*Voreinstellungen!$E$19*Voreinstellungen!$E$20))</f>
        <v>0</v>
      </c>
      <c r="AI32" s="633" t="str">
        <f>IF(ISERROR((AB32&amp;AC32)*Voreinstellungen!$E$19*Voreinstellungen!$E$21),"",((AB32&amp;AC32)*Voreinstellungen!$E$19*Voreinstellungen!$E$21))</f>
        <v/>
      </c>
      <c r="AJ32" s="633" t="str">
        <f>IF(ISERROR((AD32&amp;AE32)*Voreinstellungen!$E$19*Voreinstellungen!$E$22),"",((AD32&amp;AE32)*Voreinstellungen!$E$19*Voreinstellungen!$E$22))</f>
        <v/>
      </c>
      <c r="AK32" s="556">
        <f t="shared" si="16"/>
        <v>0</v>
      </c>
      <c r="AL32" s="131"/>
      <c r="AM32" s="563">
        <f t="shared" ca="1" si="17"/>
        <v>-5.8333333333333997</v>
      </c>
      <c r="AO32" s="622" t="s">
        <v>210</v>
      </c>
      <c r="AP32" s="631">
        <f>SUM(AH5:AH35)</f>
        <v>0</v>
      </c>
      <c r="AQ32" s="566"/>
      <c r="AR32" s="565"/>
      <c r="AS32" s="345">
        <f t="shared" si="11"/>
        <v>0</v>
      </c>
      <c r="AT32" s="345">
        <f t="shared" si="12"/>
        <v>0</v>
      </c>
    </row>
    <row r="33" spans="1:46" s="19" customFormat="1" ht="12" x14ac:dyDescent="0.2">
      <c r="A33" s="538" t="str">
        <f>IF(MONTH(A32+1)&gt;MONTH(A32),"",A32+1)</f>
        <v/>
      </c>
      <c r="B33" s="539" t="str">
        <f t="shared" si="0"/>
        <v/>
      </c>
      <c r="C33" s="540" t="str">
        <f>IF(ISERROR(VLOOKUP(A33,Feiertage,2,FALSE)),"",(VLOOKUP(A33,Feiertage,2,FALSE)))</f>
        <v/>
      </c>
      <c r="D33" s="458"/>
      <c r="E33" s="255"/>
      <c r="F33" s="521"/>
      <c r="G33" s="517"/>
      <c r="H33" s="573"/>
      <c r="I33" s="574"/>
      <c r="J33" s="582"/>
      <c r="K33" s="576"/>
      <c r="L33" s="583"/>
      <c r="M33" s="583"/>
      <c r="N33" s="583"/>
      <c r="O33" s="583"/>
      <c r="P33" s="620">
        <f>IF(T33&gt;PauseGTime,PauseGWert,IF(T33&gt;PauseKTime,PauseKWert,IF(T33&lt;=PauseKTime,0,WENN)))</f>
        <v>0</v>
      </c>
      <c r="Q33" s="364"/>
      <c r="R33" s="545">
        <f t="shared" si="18"/>
        <v>0</v>
      </c>
      <c r="S33" s="551">
        <f t="shared" si="2"/>
        <v>0</v>
      </c>
      <c r="T33" s="551">
        <f t="shared" si="14"/>
        <v>0</v>
      </c>
      <c r="U33" s="552">
        <f t="shared" si="3"/>
        <v>0</v>
      </c>
      <c r="V33" s="553">
        <f t="shared" ca="1" si="4"/>
        <v>0</v>
      </c>
      <c r="W33" s="554">
        <f>IF(A33="",0,IF(IF(H33&lt;I33,I33-H33,IF(I33="",0,I33-H33+1))&gt;0,IF(H33&lt;I33,I33-H33,IF(I33="",0,I33-H33+1)),0))*Voreinstellungen!$E$23</f>
        <v>0</v>
      </c>
      <c r="X33" s="554">
        <f t="shared" si="15"/>
        <v>0</v>
      </c>
      <c r="Y33" s="555">
        <f>((W33+X33)*Voreinstellungen!$C$45)</f>
        <v>0</v>
      </c>
      <c r="Z33" s="555">
        <f>((R33)*Voreinstellungen!$C$45)</f>
        <v>0</v>
      </c>
      <c r="AA33" s="612" t="str">
        <f t="shared" si="5"/>
        <v/>
      </c>
      <c r="AB33" s="612" t="str">
        <f>IFERROR(IF(WEEKDAY($A33,2)&gt;6,Z33,""),"")</f>
        <v/>
      </c>
      <c r="AC33" s="612" t="str">
        <f t="shared" ref="AC33" si="19">IF(ISERROR(VLOOKUP(B33,Feiertage,2,FALSE)),"",(Z33))</f>
        <v/>
      </c>
      <c r="AD33" s="612" t="str">
        <f>IFERROR(IF(WEEKDAY($A33,2)&gt;6,Y33,""),"")</f>
        <v/>
      </c>
      <c r="AE33" s="612" t="str">
        <f t="shared" ref="AE33" si="20">IF(ISERROR(VLOOKUP(B33,Feiertage,2,FALSE)),"",(Y33))</f>
        <v/>
      </c>
      <c r="AF33" s="555">
        <f t="shared" si="10"/>
        <v>0</v>
      </c>
      <c r="AG33" s="633">
        <f>IFERROR((AF33)*Voreinstellungen!$E$19,"")</f>
        <v>0</v>
      </c>
      <c r="AH33" s="633" t="str">
        <f>IF(ISERROR(AA33*Voreinstellungen!$E$19*Voreinstellungen!$E$20),"",(AA33*Voreinstellungen!$E$19*Voreinstellungen!$E$20))</f>
        <v/>
      </c>
      <c r="AI33" s="633" t="str">
        <f>IF(ISERROR((AB33&amp;AC33)*Voreinstellungen!$E$19*Voreinstellungen!$E$21),"",((AB33&amp;AC33)*Voreinstellungen!$E$19*Voreinstellungen!$E$21))</f>
        <v/>
      </c>
      <c r="AJ33" s="633" t="str">
        <f>IF(ISERROR((AD33&amp;AE33)*Voreinstellungen!$E$19*Voreinstellungen!$E$22),"",((AD33&amp;AE33)*Voreinstellungen!$E$19*Voreinstellungen!$E$22))</f>
        <v/>
      </c>
      <c r="AK33" s="556">
        <f t="shared" si="16"/>
        <v>0</v>
      </c>
      <c r="AL33" s="131"/>
      <c r="AM33" s="563" t="str">
        <f t="shared" si="17"/>
        <v/>
      </c>
      <c r="AO33" s="622" t="s">
        <v>211</v>
      </c>
      <c r="AP33" s="631">
        <f>SUM(AI5:AI35)</f>
        <v>0</v>
      </c>
      <c r="AQ33" s="566"/>
      <c r="AR33" s="565"/>
      <c r="AS33" s="345">
        <f t="shared" si="11"/>
        <v>0</v>
      </c>
      <c r="AT33" s="345">
        <f t="shared" si="12"/>
        <v>0</v>
      </c>
    </row>
    <row r="34" spans="1:46" s="19" customFormat="1" ht="12" x14ac:dyDescent="0.2">
      <c r="A34" s="538" t="str">
        <f>IF(MONTH(A32+2)&gt;MONTH(A32),"",A32+2)</f>
        <v/>
      </c>
      <c r="B34" s="539" t="str">
        <f t="shared" si="0"/>
        <v/>
      </c>
      <c r="C34" s="540" t="str">
        <f>IF(ISERROR(VLOOKUP(A34,Feiertage,2,FALSE)),"",(VLOOKUP(A34,Feiertage,2,FALSE)))</f>
        <v/>
      </c>
      <c r="D34" s="458"/>
      <c r="E34" s="255"/>
      <c r="F34" s="521"/>
      <c r="G34" s="517"/>
      <c r="H34" s="573"/>
      <c r="I34" s="574"/>
      <c r="J34" s="582"/>
      <c r="K34" s="576"/>
      <c r="L34" s="583"/>
      <c r="M34" s="583"/>
      <c r="N34" s="583"/>
      <c r="O34" s="583"/>
      <c r="P34" s="620">
        <f>IF(T34&gt;PauseGTime,PauseGWert,IF(T34&gt;PauseKTime,PauseKWert,IF(T34&lt;=PauseKTime,0,WENN)))</f>
        <v>0</v>
      </c>
      <c r="Q34" s="364"/>
      <c r="R34" s="545">
        <f t="shared" si="18"/>
        <v>0</v>
      </c>
      <c r="S34" s="551">
        <f t="shared" si="2"/>
        <v>0</v>
      </c>
      <c r="T34" s="551">
        <f t="shared" si="14"/>
        <v>0</v>
      </c>
      <c r="U34" s="552">
        <f t="shared" si="3"/>
        <v>0</v>
      </c>
      <c r="V34" s="553">
        <f t="shared" ca="1" si="4"/>
        <v>0</v>
      </c>
      <c r="W34" s="554">
        <f>IF(A34="",0,IF(IF(H34&lt;I34,I34-H34,IF(I34="",0,I34-H34+1))&gt;0,IF(H34&lt;I34,I34-H34,IF(I34="",0,I34-H34+1)),0))*Voreinstellungen!$E$23</f>
        <v>0</v>
      </c>
      <c r="X34" s="554">
        <f t="shared" si="15"/>
        <v>0</v>
      </c>
      <c r="Y34" s="555">
        <f>((W34+X34)*Voreinstellungen!$C$45)</f>
        <v>0</v>
      </c>
      <c r="Z34" s="555">
        <f>((R34)*Voreinstellungen!$C$45)</f>
        <v>0</v>
      </c>
      <c r="AA34" s="612" t="str">
        <f t="shared" si="5"/>
        <v/>
      </c>
      <c r="AB34" s="612" t="str">
        <f t="shared" ref="AB34:AB35" si="21">IFERROR(IF(WEEKDAY($A34,2)&gt;6,Z34,""),"")</f>
        <v/>
      </c>
      <c r="AC34" s="612" t="str">
        <f t="shared" ref="AC34:AC35" si="22">IF(ISERROR(VLOOKUP(B34,Feiertage,2,FALSE)),"",(Z34))</f>
        <v/>
      </c>
      <c r="AD34" s="612" t="str">
        <f t="shared" ref="AD34:AD35" si="23">IFERROR(IF(WEEKDAY($A34,2)&gt;6,Y34,""),"")</f>
        <v/>
      </c>
      <c r="AE34" s="612" t="str">
        <f t="shared" ref="AE34:AE35" si="24">IF(ISERROR(VLOOKUP(B34,Feiertage,2,FALSE)),"",(Y34))</f>
        <v/>
      </c>
      <c r="AF34" s="555">
        <f t="shared" si="10"/>
        <v>0</v>
      </c>
      <c r="AG34" s="633">
        <f>IFERROR((AF34)*Voreinstellungen!$E$19,"")</f>
        <v>0</v>
      </c>
      <c r="AH34" s="633" t="str">
        <f>IF(ISERROR(AA34*Voreinstellungen!$E$19*Voreinstellungen!$E$20),"",(AA34*Voreinstellungen!$E$19*Voreinstellungen!$E$20))</f>
        <v/>
      </c>
      <c r="AI34" s="633" t="str">
        <f>IF(ISERROR((AB34&amp;AC34)*Voreinstellungen!$E$19*Voreinstellungen!$E$21),"",((AB34&amp;AC34)*Voreinstellungen!$E$19*Voreinstellungen!$E$21))</f>
        <v/>
      </c>
      <c r="AJ34" s="633" t="str">
        <f>IF(ISERROR((AD34&amp;AE34)*Voreinstellungen!$E$19*Voreinstellungen!$E$22),"",((AD34&amp;AE34)*Voreinstellungen!$E$19*Voreinstellungen!$E$22))</f>
        <v/>
      </c>
      <c r="AK34" s="556">
        <f t="shared" si="16"/>
        <v>0</v>
      </c>
      <c r="AL34" s="131"/>
      <c r="AM34" s="563" t="str">
        <f t="shared" si="17"/>
        <v/>
      </c>
      <c r="AO34" s="622" t="s">
        <v>212</v>
      </c>
      <c r="AP34" s="631">
        <f>SUM(AJ5:AJ35)</f>
        <v>0</v>
      </c>
      <c r="AQ34" s="566"/>
      <c r="AR34" s="565"/>
      <c r="AS34" s="345">
        <f t="shared" si="11"/>
        <v>0</v>
      </c>
      <c r="AT34" s="345">
        <f t="shared" si="12"/>
        <v>0</v>
      </c>
    </row>
    <row r="35" spans="1:46" s="19" customFormat="1" ht="12" x14ac:dyDescent="0.2">
      <c r="A35" s="541" t="str">
        <f>IF(MONTH(A32+3)&gt;MONTH(A32),"",A32+3)</f>
        <v/>
      </c>
      <c r="B35" s="542" t="str">
        <f t="shared" si="0"/>
        <v/>
      </c>
      <c r="C35" s="543" t="str">
        <f>IF(ISERROR(VLOOKUP(A35,Feiertage,2,FALSE)),"",(VLOOKUP(A35,Feiertage,2,FALSE)))</f>
        <v/>
      </c>
      <c r="D35" s="459"/>
      <c r="E35" s="519"/>
      <c r="F35" s="522"/>
      <c r="G35" s="518"/>
      <c r="H35" s="577"/>
      <c r="I35" s="578"/>
      <c r="J35" s="584"/>
      <c r="K35" s="579"/>
      <c r="L35" s="585"/>
      <c r="M35" s="585"/>
      <c r="N35" s="585"/>
      <c r="O35" s="585"/>
      <c r="P35" s="621">
        <f>IF(T35&gt;PauseGTime,PauseGWert,IF(T35&gt;PauseKTime,PauseKWert,IF(T35&lt;=PauseKTime,0,WENN)))</f>
        <v>0</v>
      </c>
      <c r="Q35" s="365"/>
      <c r="R35" s="534">
        <f t="shared" si="18"/>
        <v>0</v>
      </c>
      <c r="S35" s="557">
        <f t="shared" si="2"/>
        <v>0</v>
      </c>
      <c r="T35" s="557">
        <f t="shared" si="14"/>
        <v>0</v>
      </c>
      <c r="U35" s="558">
        <f t="shared" si="3"/>
        <v>0</v>
      </c>
      <c r="V35" s="559">
        <f t="shared" ca="1" si="4"/>
        <v>0</v>
      </c>
      <c r="W35" s="560">
        <f>IF(A35="",0,IF(IF(H35&lt;I35,I35-H35,IF(I35="",0,I35-H35+1))&gt;0,IF(H35&lt;I35,I35-H35,IF(I35="",0,I35-H35+1)),0))*Voreinstellungen!$E$23</f>
        <v>0</v>
      </c>
      <c r="X35" s="560">
        <f t="shared" si="15"/>
        <v>0</v>
      </c>
      <c r="Y35" s="561">
        <f>((W35+X35)*Voreinstellungen!$C$45)</f>
        <v>0</v>
      </c>
      <c r="Z35" s="561">
        <f>((R35)*Voreinstellungen!$C$45)</f>
        <v>0</v>
      </c>
      <c r="AA35" s="613" t="str">
        <f t="shared" si="5"/>
        <v/>
      </c>
      <c r="AB35" s="613" t="str">
        <f t="shared" si="21"/>
        <v/>
      </c>
      <c r="AC35" s="613" t="str">
        <f t="shared" si="22"/>
        <v/>
      </c>
      <c r="AD35" s="613" t="str">
        <f t="shared" si="23"/>
        <v/>
      </c>
      <c r="AE35" s="613" t="str">
        <f t="shared" si="24"/>
        <v/>
      </c>
      <c r="AF35" s="561">
        <f t="shared" si="10"/>
        <v>0</v>
      </c>
      <c r="AG35" s="634">
        <f>IFERROR((AF35)*Voreinstellungen!$E$19,"")</f>
        <v>0</v>
      </c>
      <c r="AH35" s="634" t="str">
        <f>IF(ISERROR(AA35*Voreinstellungen!$E$19*Voreinstellungen!$E$20),"",(AA35*Voreinstellungen!$E$19*Voreinstellungen!$E$20))</f>
        <v/>
      </c>
      <c r="AI35" s="635" t="str">
        <f>IF(ISERROR((AB35&amp;AC35)*Voreinstellungen!$E$19*Voreinstellungen!$E$21),"",((AB35&amp;AC35)*Voreinstellungen!$E$19*Voreinstellungen!$E$21))</f>
        <v/>
      </c>
      <c r="AJ35" s="635" t="str">
        <f>IF(ISERROR((AD35&amp;AE35)*Voreinstellungen!$E$19*Voreinstellungen!$E$22),"",((AD35&amp;AE35)*Voreinstellungen!$E$19*Voreinstellungen!$E$22))</f>
        <v/>
      </c>
      <c r="AK35" s="604">
        <f t="shared" si="16"/>
        <v>0</v>
      </c>
      <c r="AL35" s="217"/>
      <c r="AM35" s="564" t="str">
        <f t="shared" si="17"/>
        <v/>
      </c>
      <c r="AO35" s="622" t="s">
        <v>213</v>
      </c>
      <c r="AP35" s="631">
        <f>SUM(AP31:AP34)</f>
        <v>0</v>
      </c>
      <c r="AQ35" s="566"/>
      <c r="AR35" s="565"/>
      <c r="AS35" s="345">
        <f t="shared" si="11"/>
        <v>0</v>
      </c>
      <c r="AT35" s="345">
        <f t="shared" si="12"/>
        <v>0</v>
      </c>
    </row>
    <row r="36" spans="1:46" s="19" customFormat="1" ht="4.5" customHeight="1" x14ac:dyDescent="0.2">
      <c r="B36" s="48"/>
      <c r="C36" s="48"/>
      <c r="D36" s="48"/>
      <c r="E36" s="49"/>
      <c r="F36" s="49"/>
      <c r="G36" s="49"/>
      <c r="H36" s="49"/>
      <c r="I36" s="49"/>
      <c r="J36" s="50"/>
      <c r="K36" s="50"/>
      <c r="L36" s="50"/>
      <c r="M36" s="50"/>
      <c r="N36" s="50"/>
      <c r="O36" s="50"/>
      <c r="P36" s="50"/>
      <c r="Q36" s="50"/>
      <c r="R36" s="49"/>
      <c r="S36" s="51"/>
      <c r="T36" s="51"/>
      <c r="U36" s="5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O36" s="47"/>
      <c r="AP36" s="626"/>
      <c r="AQ36" s="48"/>
      <c r="AR36" s="48"/>
    </row>
    <row r="37" spans="1:46" s="19" customFormat="1" ht="12" x14ac:dyDescent="0.2">
      <c r="B37" s="48"/>
      <c r="C37" s="48"/>
      <c r="D37" s="48"/>
      <c r="E37" s="49"/>
      <c r="F37" s="49"/>
      <c r="G37" s="49"/>
      <c r="H37" s="49"/>
      <c r="I37" s="49"/>
      <c r="J37" s="50"/>
      <c r="K37" s="50"/>
      <c r="L37" s="50"/>
      <c r="M37" s="50"/>
      <c r="N37" s="50"/>
      <c r="O37" s="50"/>
      <c r="P37" s="50"/>
      <c r="Q37" s="50"/>
      <c r="R37" s="49"/>
      <c r="S37" s="51"/>
      <c r="T37" s="51"/>
      <c r="U37" s="5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O37" s="461"/>
      <c r="AP37" s="627"/>
      <c r="AQ37" s="460"/>
      <c r="AR37" s="461"/>
      <c r="AS37" s="462"/>
    </row>
    <row r="38" spans="1:46" ht="12.75" customHeight="1" x14ac:dyDescent="0.2">
      <c r="A38" s="132"/>
      <c r="B38" s="133"/>
      <c r="C38" s="133"/>
      <c r="D38" s="272"/>
      <c r="E38" s="453" t="str">
        <f>"Übertrag "&amp;TEXT(DATE(YEAR(A1),MONTH(A1)-1,1),"MMMM JJJJ")&amp;":"</f>
        <v>Übertrag Januar 2025:</v>
      </c>
      <c r="F38" s="292">
        <f>Voreinstellungen!C9</f>
        <v>0</v>
      </c>
      <c r="G38" s="514"/>
      <c r="I38" s="287"/>
      <c r="O38" s="591">
        <f>COUNTIF(Q5:Q35,Voreinstellungen!B21)+IF(COUNTIF(Q5:Q35,Voreinstellungen!B22)&gt;0,1-(SUMIF(Q5:Q35,Voreinstellungen!B22,S5:S35)/SUMIF(Q5:Q35,Voreinstellungen!B22,V5:V35)),0)</f>
        <v>0</v>
      </c>
      <c r="P38" s="592"/>
      <c r="Q38" s="695" t="str">
        <f>Voreinstellungen!A21&amp;" ("&amp;Voreinstellungen!B21&amp;"/"&amp;Voreinstellungen!B22&amp;")"</f>
        <v>Krank (K/KK)</v>
      </c>
      <c r="R38" s="695"/>
      <c r="S38" s="695"/>
      <c r="T38" s="695"/>
      <c r="U38" s="695"/>
      <c r="V38" s="695"/>
      <c r="W38" s="695"/>
      <c r="X38" s="695"/>
      <c r="Y38" s="695"/>
      <c r="Z38" s="695"/>
      <c r="AA38" s="695"/>
      <c r="AB38" s="695"/>
      <c r="AC38" s="695"/>
      <c r="AD38" s="695"/>
      <c r="AE38" s="695"/>
      <c r="AF38" s="695"/>
      <c r="AG38" s="695"/>
      <c r="AH38" s="695"/>
      <c r="AI38" s="695"/>
      <c r="AJ38" s="695"/>
      <c r="AK38" s="695"/>
      <c r="AL38" s="695"/>
      <c r="AM38" s="593">
        <f>(SUMIF(Q5:Q35,Voreinstellungen!B21,S5:S35)-SUMIF(Q5:Q35,Voreinstellungen!B21,V5:V35)+SUMIF(Q5:Q35,Voreinstellungen!B22,S5:S35)-SUMIF(Q5:Q35,Voreinstellungen!B22,V5:V35))*-1</f>
        <v>0</v>
      </c>
      <c r="AO38" s="463"/>
      <c r="AP38" s="628"/>
      <c r="AQ38" s="463"/>
      <c r="AR38" s="463"/>
      <c r="AS38" s="463"/>
    </row>
    <row r="39" spans="1:46" ht="12.75" customHeight="1" x14ac:dyDescent="0.2">
      <c r="A39" s="134"/>
      <c r="B39" s="135"/>
      <c r="C39" s="135"/>
      <c r="D39" s="136"/>
      <c r="E39" s="454" t="str">
        <f>"SOLL Arbeitszeit ("&amp;TEXT(A1,"MMMM")&amp;"):"</f>
        <v>SOLL Arbeitszeit (Februar):</v>
      </c>
      <c r="F39" s="295">
        <f ca="1">SUM(S5:S35)</f>
        <v>5.8333333333333348</v>
      </c>
      <c r="G39" s="514"/>
      <c r="I39" s="287"/>
      <c r="O39" s="594">
        <f>COUNTIF(Q5:Q35,Voreinstellungen!B25)+(COUNTIF(Q5:Q35,Voreinstellungen!B26)*Voreinstellungen!C26)</f>
        <v>0</v>
      </c>
      <c r="P39" s="595"/>
      <c r="Q39" s="700" t="str">
        <f>Voreinstellungen!A25&amp;" ("&amp;Voreinstellungen!B25&amp;"/"&amp;Voreinstellungen!B26&amp;") aktuell noch Verfügbar: "&amp;Voreinstellungen!C38&amp;" Tag(e)"</f>
        <v>Urlaub (U/UH) aktuell noch Verfügbar: 27 Tag(e)</v>
      </c>
      <c r="R39" s="700"/>
      <c r="S39" s="700"/>
      <c r="T39" s="700"/>
      <c r="U39" s="700"/>
      <c r="V39" s="700"/>
      <c r="W39" s="700"/>
      <c r="X39" s="700"/>
      <c r="Y39" s="700"/>
      <c r="Z39" s="700"/>
      <c r="AA39" s="700"/>
      <c r="AB39" s="700"/>
      <c r="AC39" s="700"/>
      <c r="AD39" s="700"/>
      <c r="AE39" s="700"/>
      <c r="AF39" s="700"/>
      <c r="AG39" s="700"/>
      <c r="AH39" s="700"/>
      <c r="AI39" s="700"/>
      <c r="AJ39" s="700"/>
      <c r="AK39" s="700"/>
      <c r="AL39" s="700"/>
      <c r="AM39" s="596">
        <f>SUMIF(Q5:Q35,Voreinstellungen!B25,V5:V35)+(SUMIF(Q5:Q35,Voreinstellungen!B26,V5:V35)*0.5)</f>
        <v>0</v>
      </c>
      <c r="AO39" s="531"/>
      <c r="AP39" s="629"/>
      <c r="AQ39" s="465"/>
      <c r="AR39" s="466"/>
      <c r="AS39" s="467"/>
    </row>
    <row r="40" spans="1:46" ht="12.75" customHeight="1" x14ac:dyDescent="0.2">
      <c r="A40" s="137"/>
      <c r="B40" s="138"/>
      <c r="C40" s="138"/>
      <c r="D40" s="136"/>
      <c r="E40" s="454" t="str">
        <f>"IST Arbeitszeit ("&amp;TEXT(A1,"MMMM")&amp;"):"</f>
        <v>IST Arbeitszeit (Februar):</v>
      </c>
      <c r="F40" s="297">
        <f>SUM(R5:R35)</f>
        <v>0</v>
      </c>
      <c r="G40" s="514"/>
      <c r="I40" s="287"/>
      <c r="O40" s="594">
        <f>COUNTIF(Q5:Q35,Voreinstellungen!B20)</f>
        <v>0</v>
      </c>
      <c r="P40" s="595"/>
      <c r="Q40" s="700" t="str">
        <f>Voreinstellungen!A20&amp;" ("&amp;Voreinstellungen!B20&amp;")"</f>
        <v>Gleittag (G)</v>
      </c>
      <c r="R40" s="700"/>
      <c r="S40" s="700"/>
      <c r="T40" s="700"/>
      <c r="U40" s="700"/>
      <c r="V40" s="700"/>
      <c r="W40" s="700"/>
      <c r="X40" s="700"/>
      <c r="Y40" s="700"/>
      <c r="Z40" s="700"/>
      <c r="AA40" s="700"/>
      <c r="AB40" s="700"/>
      <c r="AC40" s="700"/>
      <c r="AD40" s="700"/>
      <c r="AE40" s="700"/>
      <c r="AF40" s="700"/>
      <c r="AG40" s="700"/>
      <c r="AH40" s="700"/>
      <c r="AI40" s="700"/>
      <c r="AJ40" s="700"/>
      <c r="AK40" s="700"/>
      <c r="AL40" s="700"/>
      <c r="AM40" s="597"/>
      <c r="AO40" s="531"/>
      <c r="AP40" s="629"/>
      <c r="AQ40" s="466"/>
      <c r="AR40" s="466"/>
      <c r="AS40" s="467"/>
    </row>
    <row r="41" spans="1:46" ht="12.75" customHeight="1" x14ac:dyDescent="0.2">
      <c r="A41" s="137"/>
      <c r="B41" s="138"/>
      <c r="C41" s="138"/>
      <c r="D41" s="136"/>
      <c r="E41" s="455" t="s">
        <v>84</v>
      </c>
      <c r="F41" s="298"/>
      <c r="G41" s="514"/>
      <c r="I41" s="287"/>
      <c r="O41" s="594">
        <f>COUNTIF(Q5:Q35,Voreinstellungen!B23)+IF(SUMIF(Q5:Q35,Voreinstellungen!B24,V5:V35)&lt;&gt;0,(1-(SUMIF(Q5:Q35,Voreinstellungen!B24,S5:S35)/SUMIF(Q5:Q35,Voreinstellungen!B24,V5:V35)))*COUNTIF(Q5:Q35,Voreinstellungen!B24),0)</f>
        <v>0</v>
      </c>
      <c r="P41" s="595"/>
      <c r="Q41" s="700" t="str">
        <f>Voreinstellungen!A23&amp;" ("&amp;Voreinstellungen!B23&amp;")/("&amp;Voreinstellungen!B24&amp;")"</f>
        <v>Kurzarbeit (KU)/(KA)</v>
      </c>
      <c r="R41" s="700"/>
      <c r="S41" s="700"/>
      <c r="T41" s="700"/>
      <c r="U41" s="700"/>
      <c r="V41" s="700"/>
      <c r="W41" s="700"/>
      <c r="X41" s="700"/>
      <c r="Y41" s="700"/>
      <c r="Z41" s="700"/>
      <c r="AA41" s="700"/>
      <c r="AB41" s="700"/>
      <c r="AC41" s="700"/>
      <c r="AD41" s="700"/>
      <c r="AE41" s="700"/>
      <c r="AF41" s="700"/>
      <c r="AG41" s="700"/>
      <c r="AH41" s="700"/>
      <c r="AI41" s="700"/>
      <c r="AJ41" s="700"/>
      <c r="AK41" s="700"/>
      <c r="AL41" s="700"/>
      <c r="AM41" s="598">
        <f>(SUMIF(Q5:Q35,Voreinstellungen!B23,S5:S35)-SUMIF(Q5:Q35,Voreinstellungen!B23,V5:V35)+SUMIF(Q5:Q35,Voreinstellungen!B24,S5:S35)-SUMIF(Q5:Q35,Voreinstellungen!B24,V5:V35))*-1</f>
        <v>0</v>
      </c>
      <c r="AO41" s="531"/>
      <c r="AP41" s="629"/>
      <c r="AQ41" s="466"/>
      <c r="AR41" s="466"/>
      <c r="AS41" s="467"/>
    </row>
    <row r="42" spans="1:46" ht="12.75" customHeight="1" x14ac:dyDescent="0.2">
      <c r="A42" s="139"/>
      <c r="B42" s="140"/>
      <c r="C42" s="140"/>
      <c r="D42" s="141"/>
      <c r="E42" s="456" t="s">
        <v>85</v>
      </c>
      <c r="F42" s="300">
        <f ca="1">ROUND(F40+F38-F41-F39,14)</f>
        <v>-5.8333333333333304</v>
      </c>
      <c r="G42" s="515"/>
      <c r="I42" s="287"/>
      <c r="O42" s="594">
        <f>COUNTIF(R5:R35,"&gt;0")-IF(Voreinstellungen!C28="XTRA",COUNTIF(Q5:Q35,Voreinstellungen!B28),0)-IF(Voreinstellungen!C29="XTRA",COUNTIF(Q5:Q35,Voreinstellungen!B29),0)-IF(Voreinstellungen!C30="XTRA",COUNTIF(Q5:Q35,Voreinstellungen!B30),0)-IF(Voreinstellungen!C31="XTRA",COUNTIF(Q5:Q35,Voreinstellungen!B31),0)-IF(Voreinstellungen!C32="XTRA",COUNTIF(Q5:Q35,Voreinstellungen!B32),0)-IF(Voreinstellungen!C33="XTRA",COUNTIF(Q5:Q35,Voreinstellungen!B33),0)-COUNTIF(Q5:Q35,"H")</f>
        <v>0</v>
      </c>
      <c r="P42" s="595"/>
      <c r="Q42" s="700" t="s">
        <v>86</v>
      </c>
      <c r="R42" s="700"/>
      <c r="S42" s="700"/>
      <c r="T42" s="700"/>
      <c r="U42" s="700"/>
      <c r="V42" s="700"/>
      <c r="W42" s="700"/>
      <c r="X42" s="700"/>
      <c r="Y42" s="700"/>
      <c r="Z42" s="700"/>
      <c r="AA42" s="700"/>
      <c r="AB42" s="700"/>
      <c r="AC42" s="700"/>
      <c r="AD42" s="700"/>
      <c r="AE42" s="700"/>
      <c r="AF42" s="700"/>
      <c r="AG42" s="700"/>
      <c r="AH42" s="700"/>
      <c r="AI42" s="700"/>
      <c r="AJ42" s="700"/>
      <c r="AK42" s="700"/>
      <c r="AL42" s="700"/>
      <c r="AM42" s="599"/>
      <c r="AO42" s="531"/>
      <c r="AP42" s="629"/>
      <c r="AQ42" s="466"/>
      <c r="AR42" s="466"/>
      <c r="AS42" s="467"/>
    </row>
    <row r="43" spans="1:46" ht="12.75" customHeight="1" x14ac:dyDescent="0.2">
      <c r="O43" s="594">
        <f>COUNTIF(Q5:Q35,Voreinstellungen!B27)</f>
        <v>0</v>
      </c>
      <c r="P43" s="595"/>
      <c r="Q43" s="700" t="str">
        <f>Voreinstellungen!A27</f>
        <v>Homeoffice</v>
      </c>
      <c r="R43" s="700"/>
      <c r="S43" s="700"/>
      <c r="T43" s="700"/>
      <c r="U43" s="700"/>
      <c r="V43" s="700"/>
      <c r="W43" s="700"/>
      <c r="X43" s="700"/>
      <c r="Y43" s="700"/>
      <c r="Z43" s="700"/>
      <c r="AA43" s="700"/>
      <c r="AB43" s="700"/>
      <c r="AC43" s="700"/>
      <c r="AD43" s="700"/>
      <c r="AE43" s="700"/>
      <c r="AF43" s="700"/>
      <c r="AG43" s="700"/>
      <c r="AH43" s="700"/>
      <c r="AI43" s="700"/>
      <c r="AJ43" s="700"/>
      <c r="AK43" s="700"/>
      <c r="AL43" s="700"/>
      <c r="AM43" s="599"/>
      <c r="AO43" s="531"/>
      <c r="AP43" s="629"/>
      <c r="AQ43" s="466"/>
      <c r="AR43" s="466"/>
      <c r="AS43" s="467"/>
    </row>
    <row r="44" spans="1:46" ht="12.75" customHeight="1" x14ac:dyDescent="0.2">
      <c r="A44" s="609"/>
      <c r="B44" s="609"/>
      <c r="C44" s="609"/>
      <c r="D44" s="277"/>
      <c r="E44" s="277"/>
      <c r="F44" s="277"/>
      <c r="G44" s="277"/>
      <c r="H44" s="277"/>
      <c r="O44" s="600">
        <f>IF(Voreinstellungen!C28="","",IF(Voreinstellungen!C28="REST",IFERROR(SUMIF(Q5:Q35,Voreinstellungen!B28,R5:R35)/SUMIF(Q5:Q35,Voreinstellungen!B28,V5:V35),0),IF(Voreinstellungen!C28="NONE",COUNTIF(Q5:Q35,Voreinstellungen!B28),IF(Voreinstellungen!C28="XTRA",COUNTIF(Q5:Q35,Voreinstellungen!B28),COUNTIF(Q5:Q35,Voreinstellungen!B28)*IF(Voreinstellungen!C28=0,1,Voreinstellungen!C28)))))</f>
        <v>0</v>
      </c>
      <c r="P44" s="595"/>
      <c r="Q44" s="699" t="str">
        <f>IF(Voreinstellungen!A28="","",REPT(Voreinstellungen!A28,1) &amp; " (" &amp; REPT(Voreinstellungen!B28,1) &amp; ")")</f>
        <v>Bereitschaft (B)</v>
      </c>
      <c r="R44" s="699"/>
      <c r="S44" s="699"/>
      <c r="T44" s="699"/>
      <c r="U44" s="699"/>
      <c r="V44" s="699"/>
      <c r="W44" s="699"/>
      <c r="X44" s="699"/>
      <c r="Y44" s="699"/>
      <c r="Z44" s="699"/>
      <c r="AA44" s="699"/>
      <c r="AB44" s="699"/>
      <c r="AC44" s="699"/>
      <c r="AD44" s="699"/>
      <c r="AE44" s="699"/>
      <c r="AF44" s="699"/>
      <c r="AG44" s="699"/>
      <c r="AH44" s="699"/>
      <c r="AI44" s="699"/>
      <c r="AJ44" s="699"/>
      <c r="AK44" s="699"/>
      <c r="AL44" s="699"/>
      <c r="AM44" s="598">
        <f>IF(ISBLANK(Voreinstellungen!C28),"",IF(Voreinstellungen!C28="REST",SUMIF(Q5:Q35,Voreinstellungen!B28,V5:V35)-SUMIF(Q5:Q35,Voreinstellungen!B28,R5:R35),IF(ISTEXT(Voreinstellungen!C28),SUMIF(Q5:Q35,Voreinstellungen!B28,R5:R35),"")))</f>
        <v>0</v>
      </c>
      <c r="AO44" s="531"/>
      <c r="AP44" s="629"/>
      <c r="AQ44" s="466"/>
      <c r="AR44" s="466"/>
      <c r="AS44" s="467"/>
    </row>
    <row r="45" spans="1:46" ht="12.75" customHeight="1" x14ac:dyDescent="0.2">
      <c r="A45" s="610"/>
      <c r="B45" s="610"/>
      <c r="C45" s="610"/>
      <c r="D45" s="278"/>
      <c r="E45" s="278"/>
      <c r="F45" s="278"/>
      <c r="G45" s="278"/>
      <c r="H45" s="278"/>
      <c r="O45" s="600">
        <f>IF(Voreinstellungen!C29="","",IF(Voreinstellungen!C29="REST",IFERROR(SUMIF(Q5:Q35,Voreinstellungen!B29,R5:R35)/SUMIF(Q5:Q35,Voreinstellungen!B29,V5:V35),0),IF(Voreinstellungen!C29="NONE",COUNTIF(Q5:Q35,Voreinstellungen!B29),IF(Voreinstellungen!C29="XTRA",COUNTIF(Q5:Q35,Voreinstellungen!B29),COUNTIF(Q5:Q35,Voreinstellungen!B29)*IF(Voreinstellungen!C29=0,1,Voreinstellungen!C29)))))</f>
        <v>0</v>
      </c>
      <c r="P45" s="595"/>
      <c r="Q45" s="699" t="str">
        <f>IF(Voreinstellungen!A29="","",REPT(Voreinstellungen!A29,1) &amp; " (" &amp; REPT(Voreinstellungen!B29,1) &amp; ")")</f>
        <v>Eigener Code 1 (E1)</v>
      </c>
      <c r="R45" s="699"/>
      <c r="S45" s="699"/>
      <c r="T45" s="699"/>
      <c r="U45" s="699"/>
      <c r="V45" s="699"/>
      <c r="W45" s="699"/>
      <c r="X45" s="699"/>
      <c r="Y45" s="699"/>
      <c r="Z45" s="699"/>
      <c r="AA45" s="699"/>
      <c r="AB45" s="699"/>
      <c r="AC45" s="699"/>
      <c r="AD45" s="699"/>
      <c r="AE45" s="699"/>
      <c r="AF45" s="699"/>
      <c r="AG45" s="699"/>
      <c r="AH45" s="699"/>
      <c r="AI45" s="699"/>
      <c r="AJ45" s="699"/>
      <c r="AK45" s="699"/>
      <c r="AL45" s="699"/>
      <c r="AM45" s="598">
        <f>IF(ISBLANK(Voreinstellungen!C29),"",IF(Voreinstellungen!C29="REST",SUMIF(Q5:Q35,Voreinstellungen!B29,V5:V35)-SUMIF(Q5:Q35,Voreinstellungen!B29,R5:R35),IF(ISTEXT(Voreinstellungen!C29),SUMIF(Q5:Q35,Voreinstellungen!B29,R5:R35),"")))</f>
        <v>0</v>
      </c>
      <c r="AO45" s="531"/>
      <c r="AP45" s="629"/>
      <c r="AQ45" s="466"/>
      <c r="AR45" s="466"/>
      <c r="AS45" s="467"/>
    </row>
    <row r="46" spans="1:46" ht="12.75" customHeight="1" x14ac:dyDescent="0.2">
      <c r="A46" s="609" t="s">
        <v>46</v>
      </c>
      <c r="B46" s="609"/>
      <c r="C46" s="609"/>
      <c r="D46" s="277"/>
      <c r="E46" s="277"/>
      <c r="F46" s="277"/>
      <c r="G46" s="277"/>
      <c r="H46" s="277" t="s">
        <v>87</v>
      </c>
      <c r="O46" s="600">
        <f>IF(Voreinstellungen!C30="","",IF(Voreinstellungen!C30="REST",IFERROR(SUMIF(Q5:Q35,Voreinstellungen!B30,R5:R35)/SUMIF(Q5:Q35,Voreinstellungen!B30,V5:V35),0),IF(Voreinstellungen!C30="NONE",COUNTIF(Q5:Q35,Voreinstellungen!B30),IF(Voreinstellungen!C30="XTRA",COUNTIF(Q5:Q35,Voreinstellungen!B30),COUNTIF(Q5:Q35,Voreinstellungen!B30)*IF(Voreinstellungen!C30=0,1,Voreinstellungen!C30)))))</f>
        <v>0</v>
      </c>
      <c r="P46" s="595"/>
      <c r="Q46" s="699" t="str">
        <f>IF(Voreinstellungen!A30="","",REPT(Voreinstellungen!A30,1) &amp; " (" &amp; REPT(Voreinstellungen!B30,1) &amp; ")")</f>
        <v>Eigener Code 2 (E2)</v>
      </c>
      <c r="R46" s="699"/>
      <c r="S46" s="699"/>
      <c r="T46" s="699"/>
      <c r="U46" s="699"/>
      <c r="V46" s="699"/>
      <c r="W46" s="699"/>
      <c r="X46" s="699"/>
      <c r="Y46" s="699"/>
      <c r="Z46" s="699"/>
      <c r="AA46" s="699"/>
      <c r="AB46" s="699"/>
      <c r="AC46" s="699"/>
      <c r="AD46" s="699"/>
      <c r="AE46" s="699"/>
      <c r="AF46" s="699"/>
      <c r="AG46" s="699"/>
      <c r="AH46" s="699"/>
      <c r="AI46" s="699"/>
      <c r="AJ46" s="699"/>
      <c r="AK46" s="699"/>
      <c r="AL46" s="699"/>
      <c r="AM46" s="598" t="str">
        <f>IF(ISBLANK(Voreinstellungen!C30),"",IF(Voreinstellungen!C30="REST",SUMIF(Q5:Q35,Voreinstellungen!B30,V5:V35)-SUMIF(Q5:Q35,Voreinstellungen!B30,R5:R35),IF(ISTEXT(Voreinstellungen!C30),SUMIF(Q5:Q35,Voreinstellungen!B30,R5:R35),"")))</f>
        <v/>
      </c>
      <c r="AO46" s="531"/>
      <c r="AP46" s="629"/>
      <c r="AQ46" s="466"/>
      <c r="AR46" s="466"/>
      <c r="AS46" s="467"/>
    </row>
    <row r="47" spans="1:46" ht="12.75" customHeight="1" x14ac:dyDescent="0.2">
      <c r="A47" s="609"/>
      <c r="B47" s="609"/>
      <c r="C47" s="609"/>
      <c r="D47" s="277"/>
      <c r="E47" s="277"/>
      <c r="F47" s="277"/>
      <c r="G47" s="277"/>
      <c r="H47" s="277"/>
      <c r="O47" s="600">
        <f>IF(Voreinstellungen!C31="","",IF(Voreinstellungen!C31="REST",IFERROR(SUMIF(Q5:Q35,Voreinstellungen!B31,R5:R35)/SUMIF(Q5:Q35,Voreinstellungen!B31,V5:V35),0),IF(Voreinstellungen!C31="NONE",COUNTIF(Q5:Q35,Voreinstellungen!B31),IF(Voreinstellungen!C31="XTRA",COUNTIF(Q5:Q35,Voreinstellungen!B31),COUNTIF(Q5:Q35,Voreinstellungen!B31)*IF(Voreinstellungen!C31=0,1,Voreinstellungen!C31)))))</f>
        <v>0</v>
      </c>
      <c r="P47" s="595"/>
      <c r="Q47" s="699" t="str">
        <f>IF(Voreinstellungen!A31="","",REPT(Voreinstellungen!A31,1) &amp; " (" &amp; REPT(Voreinstellungen!B31,1) &amp; ")")</f>
        <v>Eigener Code 3 (E3)</v>
      </c>
      <c r="R47" s="699"/>
      <c r="S47" s="699"/>
      <c r="T47" s="699"/>
      <c r="U47" s="699"/>
      <c r="V47" s="699"/>
      <c r="W47" s="699"/>
      <c r="X47" s="699"/>
      <c r="Y47" s="699"/>
      <c r="Z47" s="699"/>
      <c r="AA47" s="699"/>
      <c r="AB47" s="699"/>
      <c r="AC47" s="699"/>
      <c r="AD47" s="699"/>
      <c r="AE47" s="699"/>
      <c r="AF47" s="699"/>
      <c r="AG47" s="699"/>
      <c r="AH47" s="699"/>
      <c r="AI47" s="699"/>
      <c r="AJ47" s="699"/>
      <c r="AK47" s="699"/>
      <c r="AL47" s="699"/>
      <c r="AM47" s="598" t="str">
        <f>IF(ISBLANK(Voreinstellungen!C31),"",IF(Voreinstellungen!C31="REST",SUMIF(Q5:Q35,Voreinstellungen!B31,V5:V35)-SUMIF(Q5:Q35,Voreinstellungen!B31,R5:R35),IF(ISTEXT(Voreinstellungen!C31),SUMIF(Q5:Q35,Voreinstellungen!B31,R5:R35),"")))</f>
        <v/>
      </c>
      <c r="AO47" s="531"/>
      <c r="AP47" s="629"/>
      <c r="AQ47" s="466"/>
      <c r="AR47" s="466"/>
      <c r="AS47" s="467"/>
    </row>
    <row r="48" spans="1:46" ht="12.75" customHeight="1" x14ac:dyDescent="0.2">
      <c r="A48" s="610"/>
      <c r="B48" s="610"/>
      <c r="C48" s="610"/>
      <c r="D48" s="278"/>
      <c r="E48" s="278"/>
      <c r="F48" s="278"/>
      <c r="G48" s="278"/>
      <c r="H48" s="278"/>
      <c r="O48" s="600">
        <f>IF(Voreinstellungen!C32="","",IF(Voreinstellungen!C32="REST",IFERROR(SUMIF(Q5:Q35,Voreinstellungen!B32,R5:R35)/SUMIF(Q5:Q35,Voreinstellungen!B32,V5:V35),0),IF(Voreinstellungen!C32="NONE",COUNTIF(Q5:Q35,Voreinstellungen!B32),IF(Voreinstellungen!C32="XTRA",COUNTIF(Q5:Q35,Voreinstellungen!B32),COUNTIF(Q5:Q35,Voreinstellungen!B32)*IF(Voreinstellungen!C32=0,1,Voreinstellungen!C32)))))</f>
        <v>0</v>
      </c>
      <c r="P48" s="595"/>
      <c r="Q48" s="699" t="str">
        <f>IF(Voreinstellungen!A32="","",REPT(Voreinstellungen!A32,1) &amp; " (" &amp; REPT(Voreinstellungen!B32,1) &amp; ")")</f>
        <v>Eigener Code 4 (E4)</v>
      </c>
      <c r="R48" s="699"/>
      <c r="S48" s="699"/>
      <c r="T48" s="699"/>
      <c r="U48" s="699"/>
      <c r="V48" s="699"/>
      <c r="W48" s="699"/>
      <c r="X48" s="699"/>
      <c r="Y48" s="699"/>
      <c r="Z48" s="699"/>
      <c r="AA48" s="699"/>
      <c r="AB48" s="699"/>
      <c r="AC48" s="699"/>
      <c r="AD48" s="699"/>
      <c r="AE48" s="699"/>
      <c r="AF48" s="699"/>
      <c r="AG48" s="699"/>
      <c r="AH48" s="699"/>
      <c r="AI48" s="699"/>
      <c r="AJ48" s="699"/>
      <c r="AK48" s="699"/>
      <c r="AL48" s="699"/>
      <c r="AM48" s="598" t="str">
        <f>IF(ISBLANK(Voreinstellungen!C32),"",IF(Voreinstellungen!C32="REST",SUMIF(Q5:Q35,Voreinstellungen!B32,V5:V35)-SUMIF(Q5:Q35,Voreinstellungen!B32,R5:R35),IF(ISTEXT(Voreinstellungen!C32),SUMIF(Q5:Q35,Voreinstellungen!B32,R5:R35),"")))</f>
        <v/>
      </c>
      <c r="AO48" s="531"/>
      <c r="AP48" s="629"/>
      <c r="AQ48" s="466"/>
      <c r="AR48" s="466"/>
      <c r="AS48" s="467"/>
    </row>
    <row r="49" spans="1:45" ht="12.75" customHeight="1" x14ac:dyDescent="0.2">
      <c r="A49" s="609" t="s">
        <v>46</v>
      </c>
      <c r="B49" s="609"/>
      <c r="C49" s="609"/>
      <c r="D49" s="277"/>
      <c r="E49" s="277"/>
      <c r="F49" s="277"/>
      <c r="G49" s="277"/>
      <c r="H49" s="277" t="s">
        <v>88</v>
      </c>
      <c r="O49" s="601">
        <f>IF(Voreinstellungen!C33="","",IF(Voreinstellungen!C33="REST",IFERROR(SUMIF(Q5:Q35,Voreinstellungen!B33,R5:R35)/SUMIF(Q5:Q35,Voreinstellungen!B33,V5:V35),0),IF(Voreinstellungen!C33="NONE",COUNTIF(Q5:Q35,Voreinstellungen!B33),IF(Voreinstellungen!C33="XTRA",COUNTIF(Q5:Q35,Voreinstellungen!B33),COUNTIF(Q5:Q35,Voreinstellungen!B33)*IF(Voreinstellungen!C33=0,1,Voreinstellungen!C33)))))</f>
        <v>0</v>
      </c>
      <c r="P49" s="602"/>
      <c r="Q49" s="694" t="str">
        <f>IF(Voreinstellungen!A33="","",REPT(Voreinstellungen!A33,1) &amp; " (" &amp; REPT(Voreinstellungen!B33,1) &amp; ")")</f>
        <v>Eigener Code 5 (E5)</v>
      </c>
      <c r="R49" s="694"/>
      <c r="S49" s="694"/>
      <c r="T49" s="694"/>
      <c r="U49" s="694"/>
      <c r="V49" s="694"/>
      <c r="W49" s="694"/>
      <c r="X49" s="694"/>
      <c r="Y49" s="694"/>
      <c r="Z49" s="694"/>
      <c r="AA49" s="694"/>
      <c r="AB49" s="694"/>
      <c r="AC49" s="694"/>
      <c r="AD49" s="694"/>
      <c r="AE49" s="694"/>
      <c r="AF49" s="694"/>
      <c r="AG49" s="694"/>
      <c r="AH49" s="694"/>
      <c r="AI49" s="694"/>
      <c r="AJ49" s="694"/>
      <c r="AK49" s="694"/>
      <c r="AL49" s="694"/>
      <c r="AM49" s="603" t="str">
        <f>IF(ISBLANK(Voreinstellungen!C33),"",IF(Voreinstellungen!C33="REST",SUMIF(Q5:Q35,Voreinstellungen!B33,V5:V35)-SUMIF(Q5:Q35,Voreinstellungen!B33,R5:R35),IF(ISTEXT(Voreinstellungen!C33),SUMIF(Q5:Q35,Voreinstellungen!B33,R5:R35),"")))</f>
        <v/>
      </c>
      <c r="AO49" s="531"/>
      <c r="AP49" s="629"/>
      <c r="AQ49" s="466"/>
      <c r="AR49" s="466"/>
      <c r="AS49" s="467"/>
    </row>
    <row r="50" spans="1:45" x14ac:dyDescent="0.2">
      <c r="Q50" s="334"/>
      <c r="S50" s="586"/>
      <c r="T50" s="586"/>
      <c r="U50" s="586"/>
      <c r="V50" s="586"/>
      <c r="W50" s="586"/>
      <c r="X50" s="586"/>
      <c r="Y50" s="586"/>
      <c r="Z50" s="586"/>
      <c r="AA50" s="586"/>
      <c r="AB50" s="586"/>
      <c r="AC50" s="586"/>
      <c r="AD50" s="586"/>
      <c r="AE50" s="586"/>
      <c r="AF50" s="586"/>
      <c r="AG50" s="586"/>
      <c r="AH50" s="586"/>
      <c r="AI50" s="586"/>
      <c r="AJ50" s="586"/>
      <c r="AK50" s="586"/>
      <c r="AL50" s="464"/>
      <c r="AM50" s="590"/>
      <c r="AN50" s="338"/>
      <c r="AO50" s="531"/>
      <c r="AP50" s="629"/>
      <c r="AQ50" s="466"/>
      <c r="AR50" s="466"/>
      <c r="AS50" s="467"/>
    </row>
    <row r="51" spans="1:45" x14ac:dyDescent="0.2">
      <c r="R51" s="339"/>
      <c r="S51" s="340"/>
      <c r="T51" s="340"/>
      <c r="U51" s="340"/>
      <c r="V51" s="339"/>
      <c r="W51" s="339"/>
      <c r="X51" s="339"/>
      <c r="Y51" s="339"/>
      <c r="Z51" s="339"/>
      <c r="AA51" s="339"/>
      <c r="AB51" s="339"/>
      <c r="AC51" s="339"/>
      <c r="AD51" s="339"/>
      <c r="AE51" s="339"/>
      <c r="AF51" s="339"/>
      <c r="AG51" s="339"/>
      <c r="AH51" s="339"/>
      <c r="AI51" s="339"/>
      <c r="AJ51" s="339"/>
      <c r="AK51" s="339"/>
      <c r="AL51" s="339"/>
      <c r="AO51" s="531"/>
      <c r="AP51" s="629"/>
      <c r="AQ51" s="466"/>
      <c r="AR51" s="466"/>
      <c r="AS51" s="467"/>
    </row>
    <row r="53" spans="1:45" x14ac:dyDescent="0.2">
      <c r="AO53" s="463"/>
      <c r="AP53" s="628"/>
      <c r="AQ53" s="394"/>
      <c r="AR53" s="394"/>
      <c r="AS53" s="395"/>
    </row>
    <row r="54" spans="1:45" x14ac:dyDescent="0.2">
      <c r="AO54" s="532"/>
      <c r="AP54" s="630"/>
      <c r="AQ54" s="529"/>
      <c r="AR54" s="529"/>
      <c r="AS54" s="339"/>
    </row>
  </sheetData>
  <sheetProtection selectLockedCells="1"/>
  <mergeCells count="23">
    <mergeCell ref="Q49:AL49"/>
    <mergeCell ref="Q43:AL43"/>
    <mergeCell ref="Q44:AL44"/>
    <mergeCell ref="Q45:AL45"/>
    <mergeCell ref="Q46:AL46"/>
    <mergeCell ref="Q47:AL47"/>
    <mergeCell ref="Q48:AL48"/>
    <mergeCell ref="Q42:AL42"/>
    <mergeCell ref="A1:C2"/>
    <mergeCell ref="AL1:AM1"/>
    <mergeCell ref="AL2:AM2"/>
    <mergeCell ref="D3:G3"/>
    <mergeCell ref="H3:I3"/>
    <mergeCell ref="J3:K3"/>
    <mergeCell ref="L3:M3"/>
    <mergeCell ref="N3:O3"/>
    <mergeCell ref="Q3:Q4"/>
    <mergeCell ref="R3:U3"/>
    <mergeCell ref="A4:B4"/>
    <mergeCell ref="Q38:AL38"/>
    <mergeCell ref="Q39:AL39"/>
    <mergeCell ref="Q40:AL40"/>
    <mergeCell ref="Q41:AL41"/>
  </mergeCells>
  <conditionalFormatting sqref="A5:P35 R5:AM35">
    <cfRule type="expression" dxfId="417" priority="17">
      <formula>WEEKDAY($A5,2)=6</formula>
    </cfRule>
    <cfRule type="expression" dxfId="416" priority="18">
      <formula>OR(WEEKDAY($A5,2)=7,$C5&lt;&gt;"")</formula>
    </cfRule>
  </conditionalFormatting>
  <conditionalFormatting sqref="D5:D35">
    <cfRule type="expression" dxfId="415" priority="8">
      <formula>ISTEXT($D5)</formula>
    </cfRule>
  </conditionalFormatting>
  <conditionalFormatting sqref="E5:G35">
    <cfRule type="expression" dxfId="414" priority="7">
      <formula>ISTEXT($E5)</formula>
    </cfRule>
  </conditionalFormatting>
  <conditionalFormatting sqref="H5:H35">
    <cfRule type="expression" dxfId="413" priority="6">
      <formula>ISTEXT($H5)</formula>
    </cfRule>
  </conditionalFormatting>
  <conditionalFormatting sqref="I5:I35">
    <cfRule type="expression" dxfId="412" priority="5">
      <formula>ISTEXT($I5)</formula>
    </cfRule>
  </conditionalFormatting>
  <conditionalFormatting sqref="L6:P35">
    <cfRule type="expression" dxfId="411" priority="4">
      <formula>ISTEXT($E6)</formula>
    </cfRule>
  </conditionalFormatting>
  <conditionalFormatting sqref="Q5:Q35">
    <cfRule type="expression" dxfId="410" priority="27">
      <formula>WEEKDAY($A5,2)=6</formula>
    </cfRule>
    <cfRule type="expression" dxfId="409" priority="28">
      <formula>OR(WEEKDAY($A5,2)=7,$C5&lt;&gt;"")</formula>
    </cfRule>
  </conditionalFormatting>
  <conditionalFormatting sqref="O5:O35">
    <cfRule type="expression" dxfId="408" priority="3">
      <formula>ISTEXT($E5)</formula>
    </cfRule>
  </conditionalFormatting>
  <conditionalFormatting sqref="O38:O49">
    <cfRule type="expression" dxfId="407" priority="2">
      <formula>MOD(O38,1)=0</formula>
    </cfRule>
  </conditionalFormatting>
  <conditionalFormatting sqref="R35">
    <cfRule type="expression" dxfId="406" priority="1">
      <formula>ISTEXT($E35)</formula>
    </cfRule>
  </conditionalFormatting>
  <dataValidations disablePrompts="1" count="1">
    <dataValidation type="list" showErrorMessage="1" sqref="Q5:Q35" xr:uid="{C2387F74-A07C-4A2E-BB8B-92F0BD7CB86F}">
      <formula1>CodeList</formula1>
    </dataValidation>
  </dataValidations>
  <printOptions horizontalCentered="1" verticalCentered="1"/>
  <pageMargins left="0.23622047244094491" right="0.23622047244094491" top="0.23622047244094491" bottom="0.23622047244094491" header="0.11811023622047245" footer="0.11811023622047245"/>
  <pageSetup paperSize="9" scale="79" firstPageNumber="0" orientation="landscape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9" id="{FFD067DA-15A4-4508-B657-D3F9993FD9BA}">
            <xm:f>$Q5=Voreinstellungen!$B$25</xm:f>
            <x14:dxf>
              <fill>
                <patternFill>
                  <bgColor rgb="FF0070C0"/>
                </patternFill>
              </fill>
            </x14:dxf>
          </x14:cfRule>
          <x14:cfRule type="expression" priority="10" id="{0BDECF95-C277-489E-B02C-934BA4DABE13}">
            <xm:f>$Q5=Voreinstellungen!$B$26</xm:f>
            <x14:dxf>
              <fill>
                <patternFill>
                  <bgColor rgb="FF00B0F0"/>
                </patternFill>
              </fill>
            </x14:dxf>
          </x14:cfRule>
          <x14:cfRule type="expression" priority="11" id="{14C22CC0-63EA-464E-8998-BD5A906CEAE6}">
            <xm:f>$Q5=Voreinstellungen!$B$20</xm:f>
            <x14:dxf>
              <fill>
                <patternFill>
                  <bgColor theme="4" tint="0.59996337778862885"/>
                </patternFill>
              </fill>
            </x14:dxf>
          </x14:cfRule>
          <x14:cfRule type="expression" priority="12" id="{63ACD368-BA5F-4D0D-A02E-C9F0DF80A11E}">
            <xm:f>$Q5=Voreinstellungen!$B$21</xm:f>
            <x14:dxf>
              <fill>
                <patternFill>
                  <bgColor indexed="13"/>
                </patternFill>
              </fill>
            </x14:dxf>
          </x14:cfRule>
          <x14:cfRule type="expression" priority="13" id="{73EEDF33-614E-4D72-A8A0-1DA316B75384}">
            <xm:f>$Q5=Voreinstellungen!$B$22</xm:f>
            <x14:dxf>
              <fill>
                <patternFill>
                  <bgColor rgb="FFFFFF66"/>
                </patternFill>
              </fill>
            </x14:dxf>
          </x14:cfRule>
          <x14:cfRule type="expression" priority="14" id="{E12ADFF4-BEDB-4CDF-8FCF-B2771193E357}">
            <xm:f>$Q5=Voreinstellungen!$B$31</xm:f>
            <x14:dxf>
              <fill>
                <patternFill>
                  <bgColor theme="3" tint="0.59996337778862885"/>
                </patternFill>
              </fill>
            </x14:dxf>
          </x14:cfRule>
          <x14:cfRule type="expression" priority="15" id="{DA2A4C78-07DC-481A-B34D-B913FC2A359E}">
            <xm:f>$Q5=Voreinstellungen!$B$32</xm:f>
            <x14:dxf>
              <fill>
                <patternFill>
                  <bgColor rgb="FF92D050"/>
                </patternFill>
              </fill>
            </x14:dxf>
          </x14:cfRule>
          <x14:cfRule type="expression" priority="16" id="{57456EB0-DB14-4C16-A2BA-E078FC5A511A}">
            <xm:f>$Q5=Voreinstellungen!$B$33</xm:f>
            <x14:dxf>
              <fill>
                <patternFill>
                  <bgColor theme="9" tint="0.39994506668294322"/>
                </patternFill>
              </fill>
            </x14:dxf>
          </x14:cfRule>
          <xm:sqref>A5:P35 R5:AM35</xm:sqref>
        </x14:conditionalFormatting>
        <x14:conditionalFormatting xmlns:xm="http://schemas.microsoft.com/office/excel/2006/main">
          <x14:cfRule type="expression" priority="19" id="{2E913E02-E882-428B-8CB1-61D0AFF9EB94}">
            <xm:f>$J5=Voreinstellungen!$B$25</xm:f>
            <x14:dxf>
              <fill>
                <patternFill>
                  <bgColor rgb="FF0070C0"/>
                </patternFill>
              </fill>
            </x14:dxf>
          </x14:cfRule>
          <x14:cfRule type="expression" priority="20" id="{EBB5F4CB-01EA-459E-A00C-F520680AFE82}">
            <xm:f>$J5=Voreinstellungen!$B$26</xm:f>
            <x14:dxf>
              <fill>
                <patternFill>
                  <bgColor rgb="FF00B0F0"/>
                </patternFill>
              </fill>
            </x14:dxf>
          </x14:cfRule>
          <x14:cfRule type="expression" priority="21" id="{09AA0136-9540-450F-9171-A25C23147F45}">
            <xm:f>$J5=Voreinstellungen!$B$20</xm:f>
            <x14:dxf>
              <fill>
                <patternFill>
                  <bgColor theme="4" tint="0.59996337778862885"/>
                </patternFill>
              </fill>
            </x14:dxf>
          </x14:cfRule>
          <x14:cfRule type="expression" priority="22" id="{CC0886D6-8D20-4D2A-8380-A8FD05AE7351}">
            <xm:f>$J5=Voreinstellungen!$B$21</xm:f>
            <x14:dxf>
              <fill>
                <patternFill>
                  <bgColor indexed="13"/>
                </patternFill>
              </fill>
            </x14:dxf>
          </x14:cfRule>
          <x14:cfRule type="expression" priority="23" id="{57553435-521F-40F3-9D02-CA9CE79FA44F}">
            <xm:f>$J5=Voreinstellungen!$B$22</xm:f>
            <x14:dxf>
              <fill>
                <patternFill>
                  <bgColor rgb="FFFFFF66"/>
                </patternFill>
              </fill>
            </x14:dxf>
          </x14:cfRule>
          <x14:cfRule type="expression" priority="24" id="{59AD7560-60DD-4E0D-81AB-939E3815BB70}">
            <xm:f>$J5=Voreinstellungen!$B$31</xm:f>
            <x14:dxf>
              <fill>
                <patternFill>
                  <bgColor theme="3" tint="0.59996337778862885"/>
                </patternFill>
              </fill>
            </x14:dxf>
          </x14:cfRule>
          <x14:cfRule type="expression" priority="25" id="{3D53D65D-B33A-455A-AF1C-BB23E34828A5}">
            <xm:f>$J5=Voreinstellungen!$B$32</xm:f>
            <x14:dxf>
              <fill>
                <patternFill>
                  <bgColor rgb="FF92D050"/>
                </patternFill>
              </fill>
            </x14:dxf>
          </x14:cfRule>
          <x14:cfRule type="expression" priority="26" id="{195C04AA-773F-45E3-A474-94DB22C853CD}">
            <xm:f>$J5=Voreinstellungen!$B$33</xm:f>
            <x14:dxf>
              <fill>
                <patternFill>
                  <bgColor theme="9" tint="0.39994506668294322"/>
                </patternFill>
              </fill>
            </x14:dxf>
          </x14:cfRule>
          <xm:sqref>Q5:Q35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04">
    <tabColor theme="2" tint="-0.249977111117893"/>
    <pageSetUpPr fitToPage="1"/>
  </sheetPr>
  <dimension ref="A1:AD52"/>
  <sheetViews>
    <sheetView showGridLines="0" showZeros="0" zoomScale="90" zoomScaleNormal="90" workbookViewId="0">
      <pane ySplit="3" topLeftCell="A4" activePane="bottomLeft" state="frozen"/>
      <selection activeCell="T6" sqref="T6"/>
      <selection pane="bottomLeft" activeCell="T6" sqref="T6"/>
    </sheetView>
  </sheetViews>
  <sheetFormatPr baseColWidth="10" defaultColWidth="11.5703125" defaultRowHeight="12.75" x14ac:dyDescent="0.2"/>
  <cols>
    <col min="1" max="1" width="9.28515625" style="45" customWidth="1"/>
    <col min="2" max="2" width="5.7109375" style="45" customWidth="1"/>
    <col min="3" max="3" width="18.7109375" style="45" customWidth="1"/>
    <col min="4" max="4" width="11.140625" style="276" bestFit="1" customWidth="1"/>
    <col min="5" max="5" width="7.7109375" style="301" customWidth="1"/>
    <col min="6" max="6" width="7.7109375" style="276" customWidth="1"/>
    <col min="7" max="8" width="12.7109375" style="276" customWidth="1"/>
    <col min="9" max="9" width="4.7109375" style="276" customWidth="1"/>
    <col min="10" max="11" width="7.7109375" style="276" customWidth="1"/>
    <col min="12" max="13" width="12.7109375" style="287" customWidth="1"/>
    <col min="14" max="14" width="4.7109375" style="287" customWidth="1"/>
    <col min="15" max="15" width="6.42578125" style="287" customWidth="1"/>
    <col min="16" max="16" width="3.7109375" style="287" customWidth="1"/>
    <col min="17" max="17" width="7.7109375" style="45" customWidth="1"/>
    <col min="18" max="20" width="7.7109375" style="46" customWidth="1"/>
    <col min="21" max="21" width="4.28515625" style="45" bestFit="1" customWidth="1"/>
    <col min="22" max="22" width="20.7109375" style="45" customWidth="1"/>
    <col min="23" max="23" width="7.7109375" style="45" customWidth="1"/>
    <col min="24" max="24" width="0.7109375" style="45" customWidth="1"/>
    <col min="25" max="25" width="14.7109375" style="45" customWidth="1"/>
    <col min="26" max="27" width="11.5703125" style="45"/>
    <col min="28" max="28" width="13.7109375" style="45" bestFit="1" customWidth="1"/>
    <col min="29" max="29" width="0.7109375" style="45" customWidth="1"/>
    <col min="30" max="16384" width="11.5703125" style="45"/>
  </cols>
  <sheetData>
    <row r="1" spans="1:29" ht="15" customHeight="1" x14ac:dyDescent="0.2">
      <c r="A1" s="678">
        <f>DATE(Jahr,3,1)</f>
        <v>44255</v>
      </c>
      <c r="B1" s="679"/>
      <c r="C1" s="679"/>
      <c r="D1" s="370"/>
      <c r="E1" s="370"/>
      <c r="F1" s="370"/>
      <c r="G1" s="370"/>
      <c r="H1" s="370"/>
      <c r="I1" s="370"/>
      <c r="J1" s="285" t="str">
        <f>"Nettoarbeitstage: "&amp;NETWORKDAYS(A1,EOMONTH(A1,0),Feiertage!A4:A39)</f>
        <v>Nettoarbeitstage: 21</v>
      </c>
      <c r="K1" s="285"/>
      <c r="L1" s="285"/>
      <c r="M1" s="285"/>
      <c r="N1" s="285"/>
      <c r="O1" s="285"/>
      <c r="P1" s="288"/>
      <c r="Q1" s="260"/>
      <c r="R1" s="260"/>
      <c r="S1" s="260"/>
      <c r="T1" s="260"/>
      <c r="U1" s="260"/>
      <c r="V1" s="684" t="str">
        <f>Voreinstellungen!C3</f>
        <v>Vivien Günther</v>
      </c>
      <c r="W1" s="685"/>
    </row>
    <row r="2" spans="1:29" ht="15" customHeight="1" x14ac:dyDescent="0.2">
      <c r="A2" s="680"/>
      <c r="B2" s="681"/>
      <c r="C2" s="681"/>
      <c r="D2" s="371"/>
      <c r="E2" s="371"/>
      <c r="F2" s="371"/>
      <c r="G2" s="371"/>
      <c r="H2" s="371"/>
      <c r="I2" s="371"/>
      <c r="J2" s="371"/>
      <c r="K2" s="371"/>
      <c r="L2" s="286"/>
      <c r="M2" s="286"/>
      <c r="N2" s="286"/>
      <c r="O2" s="286"/>
      <c r="P2" s="289"/>
      <c r="Q2" s="259"/>
      <c r="R2" s="259"/>
      <c r="S2" s="259"/>
      <c r="T2" s="259"/>
      <c r="U2" s="259"/>
      <c r="V2" s="686" t="str">
        <f>IF(ISBLANK(Voreinstellungen!C4),"","Personal-Nr.: "&amp;Voreinstellungen!C4)</f>
        <v>Personal-Nr.: 60161</v>
      </c>
      <c r="W2" s="687"/>
    </row>
    <row r="3" spans="1:29" s="47" customFormat="1" ht="36" customHeight="1" x14ac:dyDescent="0.2">
      <c r="A3" s="204" t="s">
        <v>73</v>
      </c>
      <c r="B3" s="205"/>
      <c r="C3" s="204" t="s">
        <v>26</v>
      </c>
      <c r="D3" s="284" t="s">
        <v>143</v>
      </c>
      <c r="E3" s="282" t="s">
        <v>74</v>
      </c>
      <c r="F3" s="253" t="s">
        <v>75</v>
      </c>
      <c r="G3" s="253" t="s">
        <v>141</v>
      </c>
      <c r="H3" s="110" t="s">
        <v>134</v>
      </c>
      <c r="I3" s="257" t="s">
        <v>135</v>
      </c>
      <c r="J3" s="282" t="s">
        <v>76</v>
      </c>
      <c r="K3" s="206" t="s">
        <v>77</v>
      </c>
      <c r="L3" s="258" t="s">
        <v>142</v>
      </c>
      <c r="M3" s="279" t="s">
        <v>134</v>
      </c>
      <c r="N3" s="257" t="s">
        <v>135</v>
      </c>
      <c r="O3" s="282" t="s">
        <v>144</v>
      </c>
      <c r="P3" s="283" t="s">
        <v>24</v>
      </c>
      <c r="Q3" s="171" t="s">
        <v>78</v>
      </c>
      <c r="R3" s="171" t="s">
        <v>79</v>
      </c>
      <c r="S3" s="171" t="s">
        <v>147</v>
      </c>
      <c r="T3" s="207" t="s">
        <v>80</v>
      </c>
      <c r="U3" s="208" t="s">
        <v>81</v>
      </c>
      <c r="V3" s="209" t="s">
        <v>82</v>
      </c>
      <c r="W3" s="171" t="s">
        <v>83</v>
      </c>
      <c r="X3" s="306">
        <f>PauseGWert</f>
        <v>3.125E-2</v>
      </c>
    </row>
    <row r="4" spans="1:29" s="19" customFormat="1" ht="12" x14ac:dyDescent="0.2">
      <c r="A4" s="311">
        <f>A1</f>
        <v>44255</v>
      </c>
      <c r="B4" s="210">
        <f t="shared" ref="B4:B34" si="0">A4</f>
        <v>44255</v>
      </c>
      <c r="C4" s="261" t="str">
        <f t="shared" ref="C4:C31" si="1">IF(ISERROR(VLOOKUP(B4,Feiertage,2,FALSE)),"",(VLOOKUP(B4,Feiertage,2,FALSE)))</f>
        <v/>
      </c>
      <c r="D4" s="366"/>
      <c r="E4" s="351"/>
      <c r="F4" s="254"/>
      <c r="G4" s="307"/>
      <c r="H4" s="318"/>
      <c r="I4" s="347">
        <f>IFERROR(VLOOKUP(D4&amp;G4,tbl_Entfernung[[Verketten]:[Entfernung]],2,FALSE),"")</f>
        <v>0</v>
      </c>
      <c r="J4" s="360"/>
      <c r="K4" s="351"/>
      <c r="L4" s="307"/>
      <c r="M4" s="314"/>
      <c r="N4" s="320">
        <f>IFERROR(VLOOKUP(G4&amp;L4,tbl_Entfernung[[Verketten]:[Entfernung]],2,FALSE),"")</f>
        <v>0</v>
      </c>
      <c r="O4" s="315">
        <f>IF(S4&gt;PauseGTime,PauseGWert,IF(S4&gt;PauseKTime,PauseKWert,IF(S4&lt;=PauseKTime,0,WENN)))</f>
        <v>0</v>
      </c>
      <c r="P4" s="363"/>
      <c r="Q4" s="355">
        <f t="shared" ref="Q4:Q34" si="2">IF(A4="",0,IF(IF(E4&lt;F4,F4-E4,IF(F4="",0,F4-E4+1))+IF(J4&lt;K4,K4-J4,IF(K4="",0,K4-J4+1))-O4&gt;0,IF(E4&lt;F4,F4-E4,IF(F4="",0,F4-E4+1))+IF(J4&lt;K4,K4-J4,IF(K4="",0,K4-J4+1))-O4,0))</f>
        <v>0</v>
      </c>
      <c r="R4" s="224">
        <f t="shared" ref="R4:R34" ca="1" si="3">IF(AND(C4&lt;&gt;"",P4=""),IF(ISERROR(VLOOKUP(B4,Feiertage,2,FALSE)),0,VLOOKUP(B4,Feiertage,3,FALSE)*U4),IF(A4="",0,IF(P4&lt;&gt;"",IF(UPPER(P4)=VLOOKUP(UPPER(P4),Code,1,FALSE),IF(OR(VLOOKUP(P4,Code,2,FALSE)="NONE",VLOOKUP(P4,Code,2,FALSE)="XTRA",VLOOKUP(P4,Code,2,FALSE)="REST"),Q4,IF(ISERROR(VLOOKUP(B4,Feiertage,2,FALSE)),VLOOKUP(P4,Code,2,FALSE)*U4,IF(VLOOKUP(B4,Feiertage,3,FALSE)=0.5,IF(OR(UPPER(P4)="G",UPPER(P4)="H"),VLOOKUP(B4,Feiertage,3,FALSE)*VLOOKUP(P4,Code,2,FALSE)*U4,0),VLOOKUP(B4,Feiertage,3,FALSE)*VLOOKUP(P4,Code,2,FALSE)*U4))),U4),U4)))</f>
        <v>0</v>
      </c>
      <c r="S4" s="224">
        <f>IF(A4="",0,IF(IF(E4&lt;F4,F4-E4,IF(F4="",0,F4-E4+1))+IF(J4&lt;K4,K4-J4,IF(K4="",0,K4-J4+1))&gt;0,IF(E4&lt;F4,F4-E4,IF(F4="",0,F4-E4+1))+IF(J4&lt;K4,K4-J4,IF(K4="",0,K4-J4+1)),0))</f>
        <v>0</v>
      </c>
      <c r="T4" s="211">
        <f t="shared" ref="T4:T34" ca="1" si="4">IF(A4="",0,ROUND(Q4-R4,14))</f>
        <v>0</v>
      </c>
      <c r="U4" s="250">
        <f t="shared" ref="U4:U34" ca="1" si="5">IF(A4="",0,INDIRECT(ADDRESS(MATCH(A4,SOLL_AZ_Ab,1)+11,WEEKDAY(A4,2)+3,,,"Voreinstellungen"),TRUE))</f>
        <v>0</v>
      </c>
      <c r="V4" s="212"/>
      <c r="W4" s="213" t="e">
        <f ca="1">IF(A4="","",IF(T4&lt;&gt;"",ROUND(J36+T4,14),J36))</f>
        <v>#REF!</v>
      </c>
      <c r="Y4" s="305"/>
      <c r="AB4" s="344">
        <f>MOD(F4-E4,1)*24</f>
        <v>0</v>
      </c>
      <c r="AC4" s="344">
        <f>MOD(K4-J4,1)*24</f>
        <v>0</v>
      </c>
    </row>
    <row r="5" spans="1:29" s="19" customFormat="1" ht="12" x14ac:dyDescent="0.2">
      <c r="A5" s="312">
        <f t="shared" ref="A5:A31" si="6">A4+1</f>
        <v>44256</v>
      </c>
      <c r="B5" s="129">
        <f t="shared" si="0"/>
        <v>44256</v>
      </c>
      <c r="C5" s="262" t="str">
        <f t="shared" si="1"/>
        <v/>
      </c>
      <c r="D5" s="358"/>
      <c r="E5" s="352"/>
      <c r="F5" s="255"/>
      <c r="G5" s="308"/>
      <c r="H5" s="308"/>
      <c r="I5" s="348">
        <f>IFERROR(VLOOKUP(D5&amp;G5,tbl_Entfernung[[Verketten]:[Entfernung]],2,FALSE),"")</f>
        <v>0</v>
      </c>
      <c r="J5" s="361"/>
      <c r="K5" s="352"/>
      <c r="L5" s="308"/>
      <c r="M5" s="308"/>
      <c r="N5" s="321">
        <f>IFERROR(VLOOKUP(G5&amp;L5,tbl_Entfernung[[Verketten]:[Entfernung]],2,FALSE),"")</f>
        <v>0</v>
      </c>
      <c r="O5" s="316">
        <f>IF(S5&gt;PauseGTime,PauseGWert,IF(S5&gt;PauseKTime,PauseKWert,IF(S5&lt;=PauseKTime,0,WENN)))</f>
        <v>0</v>
      </c>
      <c r="P5" s="364"/>
      <c r="Q5" s="356">
        <f t="shared" si="2"/>
        <v>0</v>
      </c>
      <c r="R5" s="225">
        <f t="shared" ca="1" si="3"/>
        <v>0</v>
      </c>
      <c r="S5" s="225">
        <f t="shared" ref="S5:S34" si="7">IF(A5="",0,IF(IF(E5&lt;F5,F5-E5,IF(F5="",0,F5-E5+1))+IF(J5&lt;K5,K5-J5,IF(K5="",0,K5-J5+1))&gt;0,IF(E5&lt;F5,F5-E5,IF(F5="",0,F5-E5+1))+IF(J5&lt;K5,K5-J5,IF(K5="",0,K5-J5+1)),0))</f>
        <v>0</v>
      </c>
      <c r="T5" s="130">
        <f t="shared" ca="1" si="4"/>
        <v>0</v>
      </c>
      <c r="U5" s="251">
        <f t="shared" ca="1" si="5"/>
        <v>0</v>
      </c>
      <c r="V5" s="131"/>
      <c r="W5" s="214" t="e">
        <f t="shared" ref="W5:W34" ca="1" si="8">IF(A5="","",IF(T5&lt;&gt;"",ROUND(W4+T5,14),W4))</f>
        <v>#REF!</v>
      </c>
      <c r="AB5" s="345">
        <f t="shared" ref="AB5:AB34" si="9">MOD(F5-E5,1)*24</f>
        <v>0</v>
      </c>
      <c r="AC5" s="345">
        <f t="shared" ref="AC5:AC34" si="10">MOD(K5-J5,1)*24</f>
        <v>0</v>
      </c>
    </row>
    <row r="6" spans="1:29" s="19" customFormat="1" ht="12" x14ac:dyDescent="0.2">
      <c r="A6" s="312">
        <f t="shared" si="6"/>
        <v>44257</v>
      </c>
      <c r="B6" s="129">
        <f t="shared" si="0"/>
        <v>44257</v>
      </c>
      <c r="C6" s="262" t="str">
        <f t="shared" si="1"/>
        <v/>
      </c>
      <c r="D6" s="358"/>
      <c r="E6" s="352"/>
      <c r="F6" s="255"/>
      <c r="G6" s="309"/>
      <c r="H6" s="309"/>
      <c r="I6" s="348">
        <f>IFERROR(VLOOKUP(D6&amp;G6,tbl_Entfernung[[Verketten]:[Entfernung]],2,FALSE),"")</f>
        <v>0</v>
      </c>
      <c r="J6" s="361"/>
      <c r="K6" s="352"/>
      <c r="L6" s="309"/>
      <c r="M6" s="309"/>
      <c r="N6" s="321">
        <f>IFERROR(VLOOKUP(G6&amp;L6,tbl_Entfernung[[Verketten]:[Entfernung]],2,FALSE),"")</f>
        <v>0</v>
      </c>
      <c r="O6" s="316">
        <f>IF(S6&gt;PauseGTime,PauseGWert,IF(S6&gt;PauseKTime,PauseKWert,IF(S6&lt;=PauseKTime,0,WENN)))</f>
        <v>0</v>
      </c>
      <c r="P6" s="364"/>
      <c r="Q6" s="356">
        <f t="shared" si="2"/>
        <v>0</v>
      </c>
      <c r="R6" s="225">
        <f t="shared" ca="1" si="3"/>
        <v>0.29166666666666669</v>
      </c>
      <c r="S6" s="225">
        <f t="shared" si="7"/>
        <v>0</v>
      </c>
      <c r="T6" s="130">
        <f t="shared" ca="1" si="4"/>
        <v>-0.29166666666667002</v>
      </c>
      <c r="U6" s="251">
        <f t="shared" ca="1" si="5"/>
        <v>0.29166666666666669</v>
      </c>
      <c r="V6" s="131"/>
      <c r="W6" s="214" t="e">
        <f t="shared" ca="1" si="8"/>
        <v>#REF!</v>
      </c>
      <c r="AB6" s="345">
        <f t="shared" si="9"/>
        <v>0</v>
      </c>
      <c r="AC6" s="345">
        <f t="shared" si="10"/>
        <v>0</v>
      </c>
    </row>
    <row r="7" spans="1:29" s="19" customFormat="1" ht="12" x14ac:dyDescent="0.2">
      <c r="A7" s="312">
        <f t="shared" si="6"/>
        <v>44258</v>
      </c>
      <c r="B7" s="129">
        <f t="shared" si="0"/>
        <v>44258</v>
      </c>
      <c r="C7" s="262" t="str">
        <f t="shared" si="1"/>
        <v/>
      </c>
      <c r="D7" s="358"/>
      <c r="E7" s="352"/>
      <c r="F7" s="255"/>
      <c r="G7" s="309"/>
      <c r="H7" s="309"/>
      <c r="I7" s="348">
        <f>IFERROR(VLOOKUP(D7&amp;G7,tbl_Entfernung[[Verketten]:[Entfernung]],2,FALSE),"")</f>
        <v>0</v>
      </c>
      <c r="J7" s="361"/>
      <c r="K7" s="352"/>
      <c r="L7" s="309"/>
      <c r="M7" s="309"/>
      <c r="N7" s="321">
        <f>IFERROR(VLOOKUP(G7&amp;L7,tbl_Entfernung[[Verketten]:[Entfernung]],2,FALSE),"")</f>
        <v>0</v>
      </c>
      <c r="O7" s="316">
        <f>IF(S7&gt;PauseGTime,PauseGWert,IF(S7&gt;PauseKTime,PauseKWert,IF(S7&lt;=PauseKTime,0,WENN)))</f>
        <v>0</v>
      </c>
      <c r="P7" s="364"/>
      <c r="Q7" s="356">
        <f t="shared" si="2"/>
        <v>0</v>
      </c>
      <c r="R7" s="225">
        <f t="shared" ca="1" si="3"/>
        <v>0.29166666666666669</v>
      </c>
      <c r="S7" s="225">
        <f t="shared" si="7"/>
        <v>0</v>
      </c>
      <c r="T7" s="130">
        <f t="shared" ca="1" si="4"/>
        <v>-0.29166666666667002</v>
      </c>
      <c r="U7" s="251">
        <f t="shared" ca="1" si="5"/>
        <v>0.29166666666666669</v>
      </c>
      <c r="V7" s="131"/>
      <c r="W7" s="214" t="e">
        <f t="shared" ca="1" si="8"/>
        <v>#REF!</v>
      </c>
      <c r="AB7" s="345">
        <f t="shared" si="9"/>
        <v>0</v>
      </c>
      <c r="AC7" s="345">
        <f t="shared" si="10"/>
        <v>0</v>
      </c>
    </row>
    <row r="8" spans="1:29" s="19" customFormat="1" ht="12" x14ac:dyDescent="0.2">
      <c r="A8" s="312">
        <f t="shared" si="6"/>
        <v>44259</v>
      </c>
      <c r="B8" s="129">
        <f t="shared" si="0"/>
        <v>44259</v>
      </c>
      <c r="C8" s="262" t="str">
        <f t="shared" si="1"/>
        <v/>
      </c>
      <c r="D8" s="358"/>
      <c r="E8" s="352"/>
      <c r="F8" s="255"/>
      <c r="G8" s="309"/>
      <c r="H8" s="309"/>
      <c r="I8" s="348">
        <f>IFERROR(VLOOKUP(D8&amp;G8,tbl_Entfernung[[Verketten]:[Entfernung]],2,FALSE),"")</f>
        <v>0</v>
      </c>
      <c r="J8" s="361"/>
      <c r="K8" s="352"/>
      <c r="L8" s="309"/>
      <c r="M8" s="309"/>
      <c r="N8" s="321">
        <f>IFERROR(VLOOKUP(G8&amp;L8,tbl_Entfernung[[Verketten]:[Entfernung]],2,FALSE),"")</f>
        <v>0</v>
      </c>
      <c r="O8" s="316">
        <f>IF(S8&gt;PauseGTime,PauseGWert,IF(S8&gt;PauseKTime,PauseKWert,IF(S8&lt;=PauseKTime,0,WENN)))</f>
        <v>0</v>
      </c>
      <c r="P8" s="364"/>
      <c r="Q8" s="356">
        <f t="shared" si="2"/>
        <v>0</v>
      </c>
      <c r="R8" s="225">
        <f t="shared" ca="1" si="3"/>
        <v>0.29166666666666669</v>
      </c>
      <c r="S8" s="225">
        <f t="shared" si="7"/>
        <v>0</v>
      </c>
      <c r="T8" s="130">
        <f t="shared" ca="1" si="4"/>
        <v>-0.29166666666667002</v>
      </c>
      <c r="U8" s="251">
        <f t="shared" ca="1" si="5"/>
        <v>0.29166666666666669</v>
      </c>
      <c r="V8" s="131"/>
      <c r="W8" s="214" t="e">
        <f t="shared" ca="1" si="8"/>
        <v>#REF!</v>
      </c>
      <c r="AB8" s="345">
        <f t="shared" si="9"/>
        <v>0</v>
      </c>
      <c r="AC8" s="345">
        <f t="shared" si="10"/>
        <v>0</v>
      </c>
    </row>
    <row r="9" spans="1:29" s="19" customFormat="1" ht="12" x14ac:dyDescent="0.2">
      <c r="A9" s="312">
        <f t="shared" si="6"/>
        <v>44260</v>
      </c>
      <c r="B9" s="129">
        <f t="shared" si="0"/>
        <v>44260</v>
      </c>
      <c r="C9" s="262" t="str">
        <f t="shared" si="1"/>
        <v/>
      </c>
      <c r="D9" s="358"/>
      <c r="E9" s="352"/>
      <c r="F9" s="255"/>
      <c r="G9" s="309"/>
      <c r="H9" s="309"/>
      <c r="I9" s="349">
        <f>IFERROR(VLOOKUP(D9&amp;G9,tbl_Entfernung[[Verketten]:[Entfernung]],2,FALSE),"")</f>
        <v>0</v>
      </c>
      <c r="J9" s="361"/>
      <c r="K9" s="352"/>
      <c r="L9" s="309"/>
      <c r="M9" s="309"/>
      <c r="N9" s="322">
        <f>IFERROR(VLOOKUP(G9&amp;L9,tbl_Entfernung[[Verketten]:[Entfernung]],2,FALSE),"")</f>
        <v>0</v>
      </c>
      <c r="O9" s="316">
        <f>IF(S9&gt;PauseGTime,PauseGWert,IF(S9&gt;PauseKTime,PauseKWert,IF(S9&lt;=PauseKTime,0,WENN)))</f>
        <v>0</v>
      </c>
      <c r="P9" s="364"/>
      <c r="Q9" s="356">
        <f t="shared" si="2"/>
        <v>0</v>
      </c>
      <c r="R9" s="225">
        <f t="shared" ca="1" si="3"/>
        <v>0.29166666666666669</v>
      </c>
      <c r="S9" s="225">
        <f t="shared" si="7"/>
        <v>0</v>
      </c>
      <c r="T9" s="130">
        <f t="shared" ca="1" si="4"/>
        <v>-0.29166666666667002</v>
      </c>
      <c r="U9" s="251">
        <f t="shared" ca="1" si="5"/>
        <v>0.29166666666666669</v>
      </c>
      <c r="V9" s="131"/>
      <c r="W9" s="214" t="e">
        <f t="shared" ca="1" si="8"/>
        <v>#REF!</v>
      </c>
      <c r="AB9" s="345">
        <f t="shared" si="9"/>
        <v>0</v>
      </c>
      <c r="AC9" s="345">
        <f t="shared" si="10"/>
        <v>0</v>
      </c>
    </row>
    <row r="10" spans="1:29" s="19" customFormat="1" ht="12" x14ac:dyDescent="0.2">
      <c r="A10" s="312">
        <f t="shared" si="6"/>
        <v>44261</v>
      </c>
      <c r="B10" s="129">
        <f t="shared" si="0"/>
        <v>44261</v>
      </c>
      <c r="C10" s="262" t="str">
        <f t="shared" si="1"/>
        <v/>
      </c>
      <c r="D10" s="358"/>
      <c r="E10" s="352"/>
      <c r="F10" s="255"/>
      <c r="G10" s="309"/>
      <c r="H10" s="309"/>
      <c r="I10" s="349">
        <f>IFERROR(VLOOKUP(D10&amp;G10,tbl_Entfernung[[Verketten]:[Entfernung]],2,FALSE),"")</f>
        <v>0</v>
      </c>
      <c r="J10" s="361"/>
      <c r="K10" s="352"/>
      <c r="L10" s="309"/>
      <c r="M10" s="309"/>
      <c r="N10" s="322">
        <f>IFERROR(VLOOKUP(G10&amp;L10,tbl_Entfernung[[Verketten]:[Entfernung]],2,FALSE),"")</f>
        <v>0</v>
      </c>
      <c r="O10" s="316">
        <f>IF(S10&gt;PauseGTime,PauseGWert,IF(S10&gt;PauseKTime,PauseKWert,IF(S10&lt;=PauseKTime,0,WENN)))</f>
        <v>0</v>
      </c>
      <c r="P10" s="364"/>
      <c r="Q10" s="356">
        <f t="shared" si="2"/>
        <v>0</v>
      </c>
      <c r="R10" s="225">
        <f t="shared" ca="1" si="3"/>
        <v>0.29166666666666669</v>
      </c>
      <c r="S10" s="225">
        <f t="shared" si="7"/>
        <v>0</v>
      </c>
      <c r="T10" s="130">
        <f t="shared" ca="1" si="4"/>
        <v>-0.29166666666667002</v>
      </c>
      <c r="U10" s="251">
        <f t="shared" ca="1" si="5"/>
        <v>0.29166666666666669</v>
      </c>
      <c r="V10" s="131"/>
      <c r="W10" s="214" t="e">
        <f t="shared" ca="1" si="8"/>
        <v>#REF!</v>
      </c>
      <c r="AB10" s="345">
        <f t="shared" si="9"/>
        <v>0</v>
      </c>
      <c r="AC10" s="345">
        <f t="shared" si="10"/>
        <v>0</v>
      </c>
    </row>
    <row r="11" spans="1:29" s="19" customFormat="1" ht="12" x14ac:dyDescent="0.2">
      <c r="A11" s="312">
        <f t="shared" si="6"/>
        <v>44262</v>
      </c>
      <c r="B11" s="129">
        <f t="shared" si="0"/>
        <v>44262</v>
      </c>
      <c r="C11" s="262" t="str">
        <f t="shared" si="1"/>
        <v/>
      </c>
      <c r="D11" s="358"/>
      <c r="E11" s="352"/>
      <c r="F11" s="255"/>
      <c r="G11" s="309"/>
      <c r="H11" s="309"/>
      <c r="I11" s="348">
        <f>IFERROR(VLOOKUP(D11&amp;G11,tbl_Entfernung[[Verketten]:[Entfernung]],2,FALSE),"")</f>
        <v>0</v>
      </c>
      <c r="J11" s="361"/>
      <c r="K11" s="352"/>
      <c r="L11" s="309"/>
      <c r="M11" s="309"/>
      <c r="N11" s="321">
        <f>IFERROR(VLOOKUP(G11&amp;L11,tbl_Entfernung[[Verketten]:[Entfernung]],2,FALSE),"")</f>
        <v>0</v>
      </c>
      <c r="O11" s="316">
        <f>IF(S11&gt;PauseGTime,PauseGWert,IF(S11&gt;PauseKTime,PauseKWert,IF(S11&lt;=PauseKTime,0,WENN)))</f>
        <v>0</v>
      </c>
      <c r="P11" s="364"/>
      <c r="Q11" s="356">
        <f t="shared" si="2"/>
        <v>0</v>
      </c>
      <c r="R11" s="225">
        <f t="shared" ca="1" si="3"/>
        <v>0</v>
      </c>
      <c r="S11" s="225">
        <f t="shared" si="7"/>
        <v>0</v>
      </c>
      <c r="T11" s="130">
        <f t="shared" ca="1" si="4"/>
        <v>0</v>
      </c>
      <c r="U11" s="251">
        <f t="shared" ca="1" si="5"/>
        <v>0</v>
      </c>
      <c r="V11" s="131"/>
      <c r="W11" s="214" t="e">
        <f t="shared" ca="1" si="8"/>
        <v>#REF!</v>
      </c>
      <c r="AB11" s="345">
        <f t="shared" si="9"/>
        <v>0</v>
      </c>
      <c r="AC11" s="345">
        <f t="shared" si="10"/>
        <v>0</v>
      </c>
    </row>
    <row r="12" spans="1:29" s="19" customFormat="1" ht="12" x14ac:dyDescent="0.2">
      <c r="A12" s="312">
        <f t="shared" si="6"/>
        <v>44263</v>
      </c>
      <c r="B12" s="129">
        <f t="shared" si="0"/>
        <v>44263</v>
      </c>
      <c r="C12" s="262" t="str">
        <f t="shared" si="1"/>
        <v/>
      </c>
      <c r="D12" s="358"/>
      <c r="E12" s="352"/>
      <c r="F12" s="255"/>
      <c r="G12" s="309"/>
      <c r="H12" s="309"/>
      <c r="I12" s="348">
        <f>IFERROR(VLOOKUP(D12&amp;G12,tbl_Entfernung[[Verketten]:[Entfernung]],2,FALSE),"")</f>
        <v>0</v>
      </c>
      <c r="J12" s="361"/>
      <c r="K12" s="352"/>
      <c r="L12" s="309"/>
      <c r="M12" s="309"/>
      <c r="N12" s="321">
        <f>IFERROR(VLOOKUP(G12&amp;L12,tbl_Entfernung[[Verketten]:[Entfernung]],2,FALSE),"")</f>
        <v>0</v>
      </c>
      <c r="O12" s="316">
        <f>IF(S12&gt;PauseGTime,PauseGWert,IF(S12&gt;PauseKTime,PauseKWert,IF(S12&lt;=PauseKTime,0,WENN)))</f>
        <v>0</v>
      </c>
      <c r="P12" s="364"/>
      <c r="Q12" s="356">
        <f t="shared" si="2"/>
        <v>0</v>
      </c>
      <c r="R12" s="225">
        <f t="shared" ca="1" si="3"/>
        <v>0</v>
      </c>
      <c r="S12" s="225">
        <f t="shared" si="7"/>
        <v>0</v>
      </c>
      <c r="T12" s="130">
        <f t="shared" ca="1" si="4"/>
        <v>0</v>
      </c>
      <c r="U12" s="251">
        <f t="shared" ca="1" si="5"/>
        <v>0</v>
      </c>
      <c r="V12" s="131"/>
      <c r="W12" s="214" t="e">
        <f t="shared" ca="1" si="8"/>
        <v>#REF!</v>
      </c>
      <c r="AB12" s="345">
        <f t="shared" si="9"/>
        <v>0</v>
      </c>
      <c r="AC12" s="345">
        <f t="shared" si="10"/>
        <v>0</v>
      </c>
    </row>
    <row r="13" spans="1:29" s="19" customFormat="1" ht="12" x14ac:dyDescent="0.2">
      <c r="A13" s="312">
        <f t="shared" si="6"/>
        <v>44264</v>
      </c>
      <c r="B13" s="129">
        <f t="shared" si="0"/>
        <v>44264</v>
      </c>
      <c r="C13" s="262" t="str">
        <f t="shared" si="1"/>
        <v/>
      </c>
      <c r="D13" s="358"/>
      <c r="E13" s="352"/>
      <c r="F13" s="255"/>
      <c r="G13" s="309"/>
      <c r="H13" s="309"/>
      <c r="I13" s="348">
        <f>IFERROR(VLOOKUP(D13&amp;G13,tbl_Entfernung[[Verketten]:[Entfernung]],2,FALSE),"")</f>
        <v>0</v>
      </c>
      <c r="J13" s="361"/>
      <c r="K13" s="352"/>
      <c r="L13" s="309"/>
      <c r="M13" s="309"/>
      <c r="N13" s="321">
        <f>IFERROR(VLOOKUP(G13&amp;L13,tbl_Entfernung[[Verketten]:[Entfernung]],2,FALSE),"")</f>
        <v>0</v>
      </c>
      <c r="O13" s="316">
        <f>IF(S13&gt;PauseGTime,PauseGWert,IF(S13&gt;PauseKTime,PauseKWert,IF(S13&lt;=PauseKTime,0,WENN)))</f>
        <v>0</v>
      </c>
      <c r="P13" s="364"/>
      <c r="Q13" s="356">
        <f t="shared" si="2"/>
        <v>0</v>
      </c>
      <c r="R13" s="225">
        <f t="shared" ca="1" si="3"/>
        <v>0.29166666666666669</v>
      </c>
      <c r="S13" s="225">
        <f t="shared" si="7"/>
        <v>0</v>
      </c>
      <c r="T13" s="130">
        <f t="shared" ca="1" si="4"/>
        <v>-0.29166666666667002</v>
      </c>
      <c r="U13" s="251">
        <f t="shared" ca="1" si="5"/>
        <v>0.29166666666666669</v>
      </c>
      <c r="V13" s="131"/>
      <c r="W13" s="214" t="e">
        <f t="shared" ca="1" si="8"/>
        <v>#REF!</v>
      </c>
      <c r="AB13" s="345">
        <f t="shared" si="9"/>
        <v>0</v>
      </c>
      <c r="AC13" s="345">
        <f t="shared" si="10"/>
        <v>0</v>
      </c>
    </row>
    <row r="14" spans="1:29" s="19" customFormat="1" ht="12" x14ac:dyDescent="0.2">
      <c r="A14" s="312">
        <f t="shared" si="6"/>
        <v>44265</v>
      </c>
      <c r="B14" s="129">
        <f t="shared" si="0"/>
        <v>44265</v>
      </c>
      <c r="C14" s="262" t="str">
        <f t="shared" si="1"/>
        <v/>
      </c>
      <c r="D14" s="358"/>
      <c r="E14" s="352"/>
      <c r="F14" s="255"/>
      <c r="G14" s="309"/>
      <c r="H14" s="309"/>
      <c r="I14" s="348">
        <f>IFERROR(VLOOKUP(D14&amp;G14,tbl_Entfernung[[Verketten]:[Entfernung]],2,FALSE),"")</f>
        <v>0</v>
      </c>
      <c r="J14" s="361"/>
      <c r="K14" s="352"/>
      <c r="L14" s="309"/>
      <c r="M14" s="309"/>
      <c r="N14" s="321">
        <f>IFERROR(VLOOKUP(G14&amp;L14,tbl_Entfernung[[Verketten]:[Entfernung]],2,FALSE),"")</f>
        <v>0</v>
      </c>
      <c r="O14" s="316">
        <f>IF(S14&gt;PauseGTime,PauseGWert,IF(S14&gt;PauseKTime,PauseKWert,IF(S14&lt;=PauseKTime,0,WENN)))</f>
        <v>0</v>
      </c>
      <c r="P14" s="364"/>
      <c r="Q14" s="356">
        <f t="shared" si="2"/>
        <v>0</v>
      </c>
      <c r="R14" s="225">
        <f t="shared" ca="1" si="3"/>
        <v>0.29166666666666669</v>
      </c>
      <c r="S14" s="225">
        <f t="shared" si="7"/>
        <v>0</v>
      </c>
      <c r="T14" s="130">
        <f t="shared" ca="1" si="4"/>
        <v>-0.29166666666667002</v>
      </c>
      <c r="U14" s="251">
        <f t="shared" ca="1" si="5"/>
        <v>0.29166666666666669</v>
      </c>
      <c r="V14" s="131"/>
      <c r="W14" s="214" t="e">
        <f t="shared" ca="1" si="8"/>
        <v>#REF!</v>
      </c>
      <c r="AB14" s="345">
        <f t="shared" si="9"/>
        <v>0</v>
      </c>
      <c r="AC14" s="345">
        <f t="shared" si="10"/>
        <v>0</v>
      </c>
    </row>
    <row r="15" spans="1:29" s="19" customFormat="1" ht="12" x14ac:dyDescent="0.2">
      <c r="A15" s="312">
        <f t="shared" si="6"/>
        <v>44266</v>
      </c>
      <c r="B15" s="129">
        <f t="shared" si="0"/>
        <v>44266</v>
      </c>
      <c r="C15" s="262" t="str">
        <f t="shared" si="1"/>
        <v/>
      </c>
      <c r="D15" s="358"/>
      <c r="E15" s="352"/>
      <c r="F15" s="255"/>
      <c r="G15" s="309"/>
      <c r="H15" s="309"/>
      <c r="I15" s="348">
        <f>IFERROR(VLOOKUP(D15&amp;G15,tbl_Entfernung[[Verketten]:[Entfernung]],2,FALSE),"")</f>
        <v>0</v>
      </c>
      <c r="J15" s="361"/>
      <c r="K15" s="352"/>
      <c r="L15" s="309"/>
      <c r="M15" s="309"/>
      <c r="N15" s="321">
        <f>IFERROR(VLOOKUP(G15&amp;L15,tbl_Entfernung[[Verketten]:[Entfernung]],2,FALSE),"")</f>
        <v>0</v>
      </c>
      <c r="O15" s="316">
        <f>IF(S15&gt;PauseGTime,PauseGWert,IF(S15&gt;PauseKTime,PauseKWert,IF(S15&lt;=PauseKTime,0,WENN)))</f>
        <v>0</v>
      </c>
      <c r="P15" s="364"/>
      <c r="Q15" s="356">
        <f t="shared" si="2"/>
        <v>0</v>
      </c>
      <c r="R15" s="225">
        <f t="shared" ca="1" si="3"/>
        <v>0.29166666666666669</v>
      </c>
      <c r="S15" s="225">
        <f t="shared" si="7"/>
        <v>0</v>
      </c>
      <c r="T15" s="130">
        <f t="shared" ca="1" si="4"/>
        <v>-0.29166666666667002</v>
      </c>
      <c r="U15" s="251">
        <f t="shared" ca="1" si="5"/>
        <v>0.29166666666666669</v>
      </c>
      <c r="V15" s="131"/>
      <c r="W15" s="214" t="e">
        <f t="shared" ca="1" si="8"/>
        <v>#REF!</v>
      </c>
      <c r="AB15" s="345">
        <f t="shared" si="9"/>
        <v>0</v>
      </c>
      <c r="AC15" s="345">
        <f t="shared" si="10"/>
        <v>0</v>
      </c>
    </row>
    <row r="16" spans="1:29" s="19" customFormat="1" ht="12" x14ac:dyDescent="0.2">
      <c r="A16" s="312">
        <f t="shared" si="6"/>
        <v>44267</v>
      </c>
      <c r="B16" s="129">
        <f t="shared" si="0"/>
        <v>44267</v>
      </c>
      <c r="C16" s="262" t="str">
        <f t="shared" si="1"/>
        <v/>
      </c>
      <c r="D16" s="358"/>
      <c r="E16" s="352"/>
      <c r="F16" s="255"/>
      <c r="G16" s="309"/>
      <c r="H16" s="309"/>
      <c r="I16" s="349">
        <f>IFERROR(VLOOKUP(D16&amp;G16,tbl_Entfernung[[Verketten]:[Entfernung]],2,FALSE),"")</f>
        <v>0</v>
      </c>
      <c r="J16" s="361"/>
      <c r="K16" s="352"/>
      <c r="L16" s="309"/>
      <c r="M16" s="309"/>
      <c r="N16" s="322">
        <f>IFERROR(VLOOKUP(G16&amp;L16,tbl_Entfernung[[Verketten]:[Entfernung]],2,FALSE),"")</f>
        <v>0</v>
      </c>
      <c r="O16" s="316">
        <f>IF(S16&gt;PauseGTime,PauseGWert,IF(S16&gt;PauseKTime,PauseKWert,IF(S16&lt;=PauseKTime,0,WENN)))</f>
        <v>0</v>
      </c>
      <c r="P16" s="364"/>
      <c r="Q16" s="356">
        <f t="shared" si="2"/>
        <v>0</v>
      </c>
      <c r="R16" s="225">
        <f t="shared" ca="1" si="3"/>
        <v>0.29166666666666669</v>
      </c>
      <c r="S16" s="225">
        <f t="shared" si="7"/>
        <v>0</v>
      </c>
      <c r="T16" s="130">
        <f t="shared" ca="1" si="4"/>
        <v>-0.29166666666667002</v>
      </c>
      <c r="U16" s="251">
        <f t="shared" ca="1" si="5"/>
        <v>0.29166666666666669</v>
      </c>
      <c r="V16" s="131"/>
      <c r="W16" s="214" t="e">
        <f t="shared" ca="1" si="8"/>
        <v>#REF!</v>
      </c>
      <c r="AB16" s="345">
        <f t="shared" si="9"/>
        <v>0</v>
      </c>
      <c r="AC16" s="345">
        <f t="shared" si="10"/>
        <v>0</v>
      </c>
    </row>
    <row r="17" spans="1:29" s="19" customFormat="1" ht="12" x14ac:dyDescent="0.2">
      <c r="A17" s="312">
        <f t="shared" si="6"/>
        <v>44268</v>
      </c>
      <c r="B17" s="129">
        <f t="shared" si="0"/>
        <v>44268</v>
      </c>
      <c r="C17" s="262" t="str">
        <f t="shared" si="1"/>
        <v/>
      </c>
      <c r="D17" s="358"/>
      <c r="E17" s="352"/>
      <c r="F17" s="255"/>
      <c r="G17" s="309"/>
      <c r="H17" s="309"/>
      <c r="I17" s="349">
        <f>IFERROR(VLOOKUP(D17&amp;G17,tbl_Entfernung[[Verketten]:[Entfernung]],2,FALSE),"")</f>
        <v>0</v>
      </c>
      <c r="J17" s="361"/>
      <c r="K17" s="352"/>
      <c r="L17" s="309"/>
      <c r="M17" s="309"/>
      <c r="N17" s="322">
        <f>IFERROR(VLOOKUP(G17&amp;L17,tbl_Entfernung[[Verketten]:[Entfernung]],2,FALSE),"")</f>
        <v>0</v>
      </c>
      <c r="O17" s="316">
        <f>IF(S17&gt;PauseGTime,PauseGWert,IF(S17&gt;PauseKTime,PauseKWert,IF(S17&lt;=PauseKTime,0,WENN)))</f>
        <v>0</v>
      </c>
      <c r="P17" s="364"/>
      <c r="Q17" s="356">
        <f t="shared" si="2"/>
        <v>0</v>
      </c>
      <c r="R17" s="225">
        <f t="shared" ca="1" si="3"/>
        <v>0.29166666666666669</v>
      </c>
      <c r="S17" s="225">
        <f t="shared" si="7"/>
        <v>0</v>
      </c>
      <c r="T17" s="130">
        <f t="shared" ca="1" si="4"/>
        <v>-0.29166666666667002</v>
      </c>
      <c r="U17" s="251">
        <f t="shared" ca="1" si="5"/>
        <v>0.29166666666666669</v>
      </c>
      <c r="V17" s="131"/>
      <c r="W17" s="214" t="e">
        <f t="shared" ca="1" si="8"/>
        <v>#REF!</v>
      </c>
      <c r="AB17" s="345">
        <f t="shared" si="9"/>
        <v>0</v>
      </c>
      <c r="AC17" s="345">
        <f t="shared" si="10"/>
        <v>0</v>
      </c>
    </row>
    <row r="18" spans="1:29" s="19" customFormat="1" ht="12" x14ac:dyDescent="0.2">
      <c r="A18" s="312">
        <f t="shared" si="6"/>
        <v>44269</v>
      </c>
      <c r="B18" s="129">
        <f t="shared" si="0"/>
        <v>44269</v>
      </c>
      <c r="C18" s="262" t="str">
        <f t="shared" si="1"/>
        <v/>
      </c>
      <c r="D18" s="358"/>
      <c r="E18" s="352"/>
      <c r="F18" s="255"/>
      <c r="G18" s="309"/>
      <c r="H18" s="309"/>
      <c r="I18" s="348">
        <f>IFERROR(VLOOKUP(D18&amp;G18,tbl_Entfernung[[Verketten]:[Entfernung]],2,FALSE),"")</f>
        <v>0</v>
      </c>
      <c r="J18" s="361"/>
      <c r="K18" s="352"/>
      <c r="L18" s="309"/>
      <c r="M18" s="309"/>
      <c r="N18" s="321">
        <f>IFERROR(VLOOKUP(G18&amp;L18,tbl_Entfernung[[Verketten]:[Entfernung]],2,FALSE),"")</f>
        <v>0</v>
      </c>
      <c r="O18" s="316">
        <f>IF(S18&gt;PauseGTime,PauseGWert,IF(S18&gt;PauseKTime,PauseKWert,IF(S18&lt;=PauseKTime,0,WENN)))</f>
        <v>0</v>
      </c>
      <c r="P18" s="364"/>
      <c r="Q18" s="356">
        <f t="shared" si="2"/>
        <v>0</v>
      </c>
      <c r="R18" s="225">
        <f t="shared" ca="1" si="3"/>
        <v>0</v>
      </c>
      <c r="S18" s="225">
        <f t="shared" si="7"/>
        <v>0</v>
      </c>
      <c r="T18" s="130">
        <f t="shared" ca="1" si="4"/>
        <v>0</v>
      </c>
      <c r="U18" s="251">
        <f t="shared" ca="1" si="5"/>
        <v>0</v>
      </c>
      <c r="V18" s="131"/>
      <c r="W18" s="214" t="e">
        <f t="shared" ca="1" si="8"/>
        <v>#REF!</v>
      </c>
      <c r="AB18" s="345">
        <f t="shared" si="9"/>
        <v>0</v>
      </c>
      <c r="AC18" s="345">
        <f t="shared" si="10"/>
        <v>0</v>
      </c>
    </row>
    <row r="19" spans="1:29" s="19" customFormat="1" ht="12" x14ac:dyDescent="0.2">
      <c r="A19" s="312">
        <f t="shared" si="6"/>
        <v>44270</v>
      </c>
      <c r="B19" s="129">
        <f t="shared" si="0"/>
        <v>44270</v>
      </c>
      <c r="C19" s="262" t="str">
        <f t="shared" si="1"/>
        <v/>
      </c>
      <c r="D19" s="358"/>
      <c r="E19" s="352"/>
      <c r="F19" s="255"/>
      <c r="G19" s="309"/>
      <c r="H19" s="309"/>
      <c r="I19" s="348">
        <f>IFERROR(VLOOKUP(D19&amp;G19,tbl_Entfernung[[Verketten]:[Entfernung]],2,FALSE),"")</f>
        <v>0</v>
      </c>
      <c r="J19" s="361"/>
      <c r="K19" s="352"/>
      <c r="L19" s="309"/>
      <c r="M19" s="309"/>
      <c r="N19" s="321">
        <f>IFERROR(VLOOKUP(G19&amp;L19,tbl_Entfernung[[Verketten]:[Entfernung]],2,FALSE),"")</f>
        <v>0</v>
      </c>
      <c r="O19" s="316">
        <f>IF(S19&gt;PauseGTime,PauseGWert,IF(S19&gt;PauseKTime,PauseKWert,IF(S19&lt;=PauseKTime,0,WENN)))</f>
        <v>0</v>
      </c>
      <c r="P19" s="364"/>
      <c r="Q19" s="356">
        <f t="shared" si="2"/>
        <v>0</v>
      </c>
      <c r="R19" s="225">
        <f t="shared" ca="1" si="3"/>
        <v>0</v>
      </c>
      <c r="S19" s="225">
        <f t="shared" si="7"/>
        <v>0</v>
      </c>
      <c r="T19" s="130">
        <f t="shared" ca="1" si="4"/>
        <v>0</v>
      </c>
      <c r="U19" s="251">
        <f t="shared" ca="1" si="5"/>
        <v>0</v>
      </c>
      <c r="V19" s="131"/>
      <c r="W19" s="214" t="e">
        <f t="shared" ca="1" si="8"/>
        <v>#REF!</v>
      </c>
      <c r="AB19" s="345">
        <f t="shared" si="9"/>
        <v>0</v>
      </c>
      <c r="AC19" s="345">
        <f t="shared" si="10"/>
        <v>0</v>
      </c>
    </row>
    <row r="20" spans="1:29" s="19" customFormat="1" ht="12" x14ac:dyDescent="0.2">
      <c r="A20" s="312">
        <f t="shared" si="6"/>
        <v>44271</v>
      </c>
      <c r="B20" s="129">
        <f t="shared" si="0"/>
        <v>44271</v>
      </c>
      <c r="C20" s="262" t="str">
        <f t="shared" si="1"/>
        <v/>
      </c>
      <c r="D20" s="358"/>
      <c r="E20" s="352"/>
      <c r="F20" s="255"/>
      <c r="G20" s="309"/>
      <c r="H20" s="309"/>
      <c r="I20" s="348">
        <f>IFERROR(VLOOKUP(D20&amp;G20,tbl_Entfernung[[Verketten]:[Entfernung]],2,FALSE),"")</f>
        <v>0</v>
      </c>
      <c r="J20" s="361"/>
      <c r="K20" s="352"/>
      <c r="L20" s="309"/>
      <c r="M20" s="309"/>
      <c r="N20" s="321">
        <f>IFERROR(VLOOKUP(G20&amp;L20,tbl_Entfernung[[Verketten]:[Entfernung]],2,FALSE),"")</f>
        <v>0</v>
      </c>
      <c r="O20" s="316">
        <f>IF(S20&gt;PauseGTime,PauseGWert,IF(S20&gt;PauseKTime,PauseKWert,IF(S20&lt;=PauseKTime,0,WENN)))</f>
        <v>0</v>
      </c>
      <c r="P20" s="364"/>
      <c r="Q20" s="356">
        <f t="shared" si="2"/>
        <v>0</v>
      </c>
      <c r="R20" s="225">
        <f t="shared" ca="1" si="3"/>
        <v>0.29166666666666669</v>
      </c>
      <c r="S20" s="225">
        <f t="shared" si="7"/>
        <v>0</v>
      </c>
      <c r="T20" s="130">
        <f t="shared" ca="1" si="4"/>
        <v>-0.29166666666667002</v>
      </c>
      <c r="U20" s="251">
        <f t="shared" ca="1" si="5"/>
        <v>0.29166666666666669</v>
      </c>
      <c r="V20" s="131"/>
      <c r="W20" s="214" t="e">
        <f t="shared" ca="1" si="8"/>
        <v>#REF!</v>
      </c>
      <c r="AB20" s="345">
        <f t="shared" si="9"/>
        <v>0</v>
      </c>
      <c r="AC20" s="345">
        <f t="shared" si="10"/>
        <v>0</v>
      </c>
    </row>
    <row r="21" spans="1:29" s="19" customFormat="1" ht="12" x14ac:dyDescent="0.2">
      <c r="A21" s="312">
        <f t="shared" si="6"/>
        <v>44272</v>
      </c>
      <c r="B21" s="129">
        <f t="shared" si="0"/>
        <v>44272</v>
      </c>
      <c r="C21" s="262" t="str">
        <f t="shared" si="1"/>
        <v/>
      </c>
      <c r="D21" s="358"/>
      <c r="E21" s="352"/>
      <c r="F21" s="255"/>
      <c r="G21" s="309"/>
      <c r="H21" s="309"/>
      <c r="I21" s="348">
        <f>IFERROR(VLOOKUP(D21&amp;G21,tbl_Entfernung[[Verketten]:[Entfernung]],2,FALSE),"")</f>
        <v>0</v>
      </c>
      <c r="J21" s="361"/>
      <c r="K21" s="352"/>
      <c r="L21" s="309"/>
      <c r="M21" s="309"/>
      <c r="N21" s="321">
        <f>IFERROR(VLOOKUP(G21&amp;L21,tbl_Entfernung[[Verketten]:[Entfernung]],2,FALSE),"")</f>
        <v>0</v>
      </c>
      <c r="O21" s="316">
        <f>IF(S21&gt;PauseGTime,PauseGWert,IF(S21&gt;PauseKTime,PauseKWert,IF(S21&lt;=PauseKTime,0,WENN)))</f>
        <v>0</v>
      </c>
      <c r="P21" s="364"/>
      <c r="Q21" s="356">
        <f t="shared" si="2"/>
        <v>0</v>
      </c>
      <c r="R21" s="225">
        <f t="shared" ca="1" si="3"/>
        <v>0.29166666666666669</v>
      </c>
      <c r="S21" s="225">
        <f t="shared" si="7"/>
        <v>0</v>
      </c>
      <c r="T21" s="130">
        <f t="shared" ca="1" si="4"/>
        <v>-0.29166666666667002</v>
      </c>
      <c r="U21" s="251">
        <f t="shared" ca="1" si="5"/>
        <v>0.29166666666666669</v>
      </c>
      <c r="V21" s="131"/>
      <c r="W21" s="214" t="e">
        <f t="shared" ca="1" si="8"/>
        <v>#REF!</v>
      </c>
      <c r="AB21" s="345">
        <f t="shared" si="9"/>
        <v>0</v>
      </c>
      <c r="AC21" s="345">
        <f t="shared" si="10"/>
        <v>0</v>
      </c>
    </row>
    <row r="22" spans="1:29" s="19" customFormat="1" ht="12" x14ac:dyDescent="0.2">
      <c r="A22" s="312">
        <f t="shared" si="6"/>
        <v>44273</v>
      </c>
      <c r="B22" s="129">
        <f t="shared" si="0"/>
        <v>44273</v>
      </c>
      <c r="C22" s="262" t="str">
        <f t="shared" si="1"/>
        <v/>
      </c>
      <c r="D22" s="358"/>
      <c r="E22" s="352"/>
      <c r="F22" s="255"/>
      <c r="G22" s="309"/>
      <c r="H22" s="309"/>
      <c r="I22" s="348">
        <f>IFERROR(VLOOKUP(D22&amp;G22,tbl_Entfernung[[Verketten]:[Entfernung]],2,FALSE),"")</f>
        <v>0</v>
      </c>
      <c r="J22" s="361"/>
      <c r="K22" s="352"/>
      <c r="L22" s="309"/>
      <c r="M22" s="309"/>
      <c r="N22" s="321">
        <f>IFERROR(VLOOKUP(G22&amp;L22,tbl_Entfernung[[Verketten]:[Entfernung]],2,FALSE),"")</f>
        <v>0</v>
      </c>
      <c r="O22" s="316">
        <f>IF(S22&gt;PauseGTime,PauseGWert,IF(S22&gt;PauseKTime,PauseKWert,IF(S22&lt;=PauseKTime,0,WENN)))</f>
        <v>0</v>
      </c>
      <c r="P22" s="364"/>
      <c r="Q22" s="356">
        <f t="shared" si="2"/>
        <v>0</v>
      </c>
      <c r="R22" s="225">
        <f t="shared" ca="1" si="3"/>
        <v>0.29166666666666669</v>
      </c>
      <c r="S22" s="225">
        <f t="shared" si="7"/>
        <v>0</v>
      </c>
      <c r="T22" s="130">
        <f t="shared" ca="1" si="4"/>
        <v>-0.29166666666667002</v>
      </c>
      <c r="U22" s="251">
        <f t="shared" ca="1" si="5"/>
        <v>0.29166666666666669</v>
      </c>
      <c r="V22" s="131"/>
      <c r="W22" s="214" t="e">
        <f t="shared" ca="1" si="8"/>
        <v>#REF!</v>
      </c>
      <c r="AB22" s="345">
        <f t="shared" si="9"/>
        <v>0</v>
      </c>
      <c r="AC22" s="345">
        <f t="shared" si="10"/>
        <v>0</v>
      </c>
    </row>
    <row r="23" spans="1:29" s="19" customFormat="1" ht="12" x14ac:dyDescent="0.2">
      <c r="A23" s="312">
        <f t="shared" si="6"/>
        <v>44274</v>
      </c>
      <c r="B23" s="129">
        <f t="shared" si="0"/>
        <v>44274</v>
      </c>
      <c r="C23" s="262" t="str">
        <f t="shared" si="1"/>
        <v/>
      </c>
      <c r="D23" s="358"/>
      <c r="E23" s="352"/>
      <c r="F23" s="255"/>
      <c r="G23" s="309"/>
      <c r="H23" s="309"/>
      <c r="I23" s="349">
        <f>IFERROR(VLOOKUP(D23&amp;G23,tbl_Entfernung[[Verketten]:[Entfernung]],2,FALSE),"")</f>
        <v>0</v>
      </c>
      <c r="J23" s="361"/>
      <c r="K23" s="352"/>
      <c r="L23" s="309"/>
      <c r="M23" s="309"/>
      <c r="N23" s="322">
        <f>IFERROR(VLOOKUP(G23&amp;L23,tbl_Entfernung[[Verketten]:[Entfernung]],2,FALSE),"")</f>
        <v>0</v>
      </c>
      <c r="O23" s="316">
        <f>IF(S23&gt;PauseGTime,PauseGWert,IF(S23&gt;PauseKTime,PauseKWert,IF(S23&lt;=PauseKTime,0,WENN)))</f>
        <v>0</v>
      </c>
      <c r="P23" s="364"/>
      <c r="Q23" s="356">
        <f t="shared" si="2"/>
        <v>0</v>
      </c>
      <c r="R23" s="225">
        <f t="shared" ca="1" si="3"/>
        <v>0.29166666666666669</v>
      </c>
      <c r="S23" s="225">
        <f t="shared" si="7"/>
        <v>0</v>
      </c>
      <c r="T23" s="130">
        <f t="shared" ca="1" si="4"/>
        <v>-0.29166666666667002</v>
      </c>
      <c r="U23" s="251">
        <f t="shared" ca="1" si="5"/>
        <v>0.29166666666666669</v>
      </c>
      <c r="V23" s="131"/>
      <c r="W23" s="214" t="e">
        <f t="shared" ca="1" si="8"/>
        <v>#REF!</v>
      </c>
      <c r="AB23" s="345">
        <f t="shared" si="9"/>
        <v>0</v>
      </c>
      <c r="AC23" s="345">
        <f t="shared" si="10"/>
        <v>0</v>
      </c>
    </row>
    <row r="24" spans="1:29" s="19" customFormat="1" ht="12" x14ac:dyDescent="0.2">
      <c r="A24" s="312">
        <f t="shared" si="6"/>
        <v>44275</v>
      </c>
      <c r="B24" s="129">
        <f t="shared" si="0"/>
        <v>44275</v>
      </c>
      <c r="C24" s="262" t="str">
        <f t="shared" si="1"/>
        <v/>
      </c>
      <c r="D24" s="358"/>
      <c r="E24" s="352"/>
      <c r="F24" s="255"/>
      <c r="G24" s="309"/>
      <c r="H24" s="309"/>
      <c r="I24" s="349">
        <f>IFERROR(VLOOKUP(D24&amp;G24,tbl_Entfernung[[Verketten]:[Entfernung]],2,FALSE),"")</f>
        <v>0</v>
      </c>
      <c r="J24" s="361"/>
      <c r="K24" s="352"/>
      <c r="L24" s="309"/>
      <c r="M24" s="309"/>
      <c r="N24" s="322">
        <f>IFERROR(VLOOKUP(G24&amp;L24,tbl_Entfernung[[Verketten]:[Entfernung]],2,FALSE),"")</f>
        <v>0</v>
      </c>
      <c r="O24" s="316">
        <f>IF(S24&gt;PauseGTime,PauseGWert,IF(S24&gt;PauseKTime,PauseKWert,IF(S24&lt;=PauseKTime,0,WENN)))</f>
        <v>0</v>
      </c>
      <c r="P24" s="364"/>
      <c r="Q24" s="356">
        <f t="shared" si="2"/>
        <v>0</v>
      </c>
      <c r="R24" s="225">
        <f t="shared" ca="1" si="3"/>
        <v>0.29166666666666669</v>
      </c>
      <c r="S24" s="225">
        <f t="shared" si="7"/>
        <v>0</v>
      </c>
      <c r="T24" s="130">
        <f t="shared" ca="1" si="4"/>
        <v>-0.29166666666667002</v>
      </c>
      <c r="U24" s="251">
        <f t="shared" ca="1" si="5"/>
        <v>0.29166666666666669</v>
      </c>
      <c r="V24" s="131"/>
      <c r="W24" s="214" t="e">
        <f t="shared" ca="1" si="8"/>
        <v>#REF!</v>
      </c>
      <c r="AB24" s="345">
        <f t="shared" si="9"/>
        <v>0</v>
      </c>
      <c r="AC24" s="345">
        <f t="shared" si="10"/>
        <v>0</v>
      </c>
    </row>
    <row r="25" spans="1:29" s="19" customFormat="1" ht="12" x14ac:dyDescent="0.2">
      <c r="A25" s="312">
        <f t="shared" si="6"/>
        <v>44276</v>
      </c>
      <c r="B25" s="129">
        <f t="shared" si="0"/>
        <v>44276</v>
      </c>
      <c r="C25" s="262" t="str">
        <f t="shared" si="1"/>
        <v/>
      </c>
      <c r="D25" s="358"/>
      <c r="E25" s="352"/>
      <c r="F25" s="255"/>
      <c r="G25" s="309"/>
      <c r="H25" s="309"/>
      <c r="I25" s="348">
        <f>IFERROR(VLOOKUP(D25&amp;G25,tbl_Entfernung[[Verketten]:[Entfernung]],2,FALSE),"")</f>
        <v>0</v>
      </c>
      <c r="J25" s="361"/>
      <c r="K25" s="352"/>
      <c r="L25" s="309"/>
      <c r="M25" s="309"/>
      <c r="N25" s="321">
        <f>IFERROR(VLOOKUP(G25&amp;L25,tbl_Entfernung[[Verketten]:[Entfernung]],2,FALSE),"")</f>
        <v>0</v>
      </c>
      <c r="O25" s="316">
        <f>IF(S25&gt;PauseGTime,PauseGWert,IF(S25&gt;PauseKTime,PauseKWert,IF(S25&lt;=PauseKTime,0,WENN)))</f>
        <v>0</v>
      </c>
      <c r="P25" s="364"/>
      <c r="Q25" s="356">
        <f t="shared" si="2"/>
        <v>0</v>
      </c>
      <c r="R25" s="225">
        <f t="shared" ca="1" si="3"/>
        <v>0</v>
      </c>
      <c r="S25" s="225">
        <f t="shared" si="7"/>
        <v>0</v>
      </c>
      <c r="T25" s="130">
        <f t="shared" ca="1" si="4"/>
        <v>0</v>
      </c>
      <c r="U25" s="251">
        <f t="shared" ca="1" si="5"/>
        <v>0</v>
      </c>
      <c r="V25" s="131"/>
      <c r="W25" s="214" t="e">
        <f t="shared" ca="1" si="8"/>
        <v>#REF!</v>
      </c>
      <c r="AB25" s="345">
        <f t="shared" si="9"/>
        <v>0</v>
      </c>
      <c r="AC25" s="345">
        <f t="shared" si="10"/>
        <v>0</v>
      </c>
    </row>
    <row r="26" spans="1:29" s="19" customFormat="1" ht="12" x14ac:dyDescent="0.2">
      <c r="A26" s="312">
        <f t="shared" si="6"/>
        <v>44277</v>
      </c>
      <c r="B26" s="129">
        <f t="shared" si="0"/>
        <v>44277</v>
      </c>
      <c r="C26" s="262" t="str">
        <f t="shared" si="1"/>
        <v/>
      </c>
      <c r="D26" s="358"/>
      <c r="E26" s="352"/>
      <c r="F26" s="255"/>
      <c r="G26" s="309"/>
      <c r="H26" s="309"/>
      <c r="I26" s="348">
        <f>IFERROR(VLOOKUP(D26&amp;G26,tbl_Entfernung[[Verketten]:[Entfernung]],2,FALSE),"")</f>
        <v>0</v>
      </c>
      <c r="J26" s="361"/>
      <c r="K26" s="352"/>
      <c r="L26" s="309"/>
      <c r="M26" s="309"/>
      <c r="N26" s="321">
        <f>IFERROR(VLOOKUP(G26&amp;L26,tbl_Entfernung[[Verketten]:[Entfernung]],2,FALSE),"")</f>
        <v>0</v>
      </c>
      <c r="O26" s="316">
        <f>IF(S26&gt;PauseGTime,PauseGWert,IF(S26&gt;PauseKTime,PauseKWert,IF(S26&lt;=PauseKTime,0,WENN)))</f>
        <v>0</v>
      </c>
      <c r="P26" s="364"/>
      <c r="Q26" s="356">
        <f t="shared" si="2"/>
        <v>0</v>
      </c>
      <c r="R26" s="225">
        <f t="shared" ca="1" si="3"/>
        <v>0</v>
      </c>
      <c r="S26" s="225">
        <f t="shared" si="7"/>
        <v>0</v>
      </c>
      <c r="T26" s="130">
        <f t="shared" ca="1" si="4"/>
        <v>0</v>
      </c>
      <c r="U26" s="251">
        <f t="shared" ca="1" si="5"/>
        <v>0</v>
      </c>
      <c r="V26" s="131"/>
      <c r="W26" s="214" t="e">
        <f t="shared" ca="1" si="8"/>
        <v>#REF!</v>
      </c>
      <c r="AB26" s="345">
        <f t="shared" si="9"/>
        <v>0</v>
      </c>
      <c r="AC26" s="345">
        <f t="shared" si="10"/>
        <v>0</v>
      </c>
    </row>
    <row r="27" spans="1:29" s="19" customFormat="1" ht="12" x14ac:dyDescent="0.2">
      <c r="A27" s="312">
        <f t="shared" si="6"/>
        <v>44278</v>
      </c>
      <c r="B27" s="129">
        <f t="shared" si="0"/>
        <v>44278</v>
      </c>
      <c r="C27" s="262" t="str">
        <f t="shared" si="1"/>
        <v/>
      </c>
      <c r="D27" s="358"/>
      <c r="E27" s="352"/>
      <c r="F27" s="255"/>
      <c r="G27" s="309"/>
      <c r="H27" s="309"/>
      <c r="I27" s="348">
        <f>IFERROR(VLOOKUP(D27&amp;G27,tbl_Entfernung[[Verketten]:[Entfernung]],2,FALSE),"")</f>
        <v>0</v>
      </c>
      <c r="J27" s="361"/>
      <c r="K27" s="352"/>
      <c r="L27" s="309"/>
      <c r="M27" s="309"/>
      <c r="N27" s="321">
        <f>IFERROR(VLOOKUP(G27&amp;L27,tbl_Entfernung[[Verketten]:[Entfernung]],2,FALSE),"")</f>
        <v>0</v>
      </c>
      <c r="O27" s="316">
        <f>IF(S27&gt;PauseGTime,PauseGWert,IF(S27&gt;PauseKTime,PauseKWert,IF(S27&lt;=PauseKTime,0,WENN)))</f>
        <v>0</v>
      </c>
      <c r="P27" s="364"/>
      <c r="Q27" s="356">
        <f t="shared" si="2"/>
        <v>0</v>
      </c>
      <c r="R27" s="225">
        <f t="shared" ca="1" si="3"/>
        <v>0.29166666666666669</v>
      </c>
      <c r="S27" s="225">
        <f t="shared" si="7"/>
        <v>0</v>
      </c>
      <c r="T27" s="130">
        <f t="shared" ca="1" si="4"/>
        <v>-0.29166666666667002</v>
      </c>
      <c r="U27" s="251">
        <f t="shared" ca="1" si="5"/>
        <v>0.29166666666666669</v>
      </c>
      <c r="V27" s="131"/>
      <c r="W27" s="214" t="e">
        <f t="shared" ca="1" si="8"/>
        <v>#REF!</v>
      </c>
      <c r="AB27" s="345">
        <f t="shared" si="9"/>
        <v>0</v>
      </c>
      <c r="AC27" s="345">
        <f t="shared" si="10"/>
        <v>0</v>
      </c>
    </row>
    <row r="28" spans="1:29" s="19" customFormat="1" ht="12" x14ac:dyDescent="0.2">
      <c r="A28" s="312">
        <f t="shared" si="6"/>
        <v>44279</v>
      </c>
      <c r="B28" s="129">
        <f t="shared" si="0"/>
        <v>44279</v>
      </c>
      <c r="C28" s="262" t="str">
        <f t="shared" si="1"/>
        <v/>
      </c>
      <c r="D28" s="358"/>
      <c r="E28" s="352"/>
      <c r="F28" s="255"/>
      <c r="G28" s="309"/>
      <c r="H28" s="309"/>
      <c r="I28" s="348">
        <f>IFERROR(VLOOKUP(D28&amp;G28,tbl_Entfernung[[Verketten]:[Entfernung]],2,FALSE),"")</f>
        <v>0</v>
      </c>
      <c r="J28" s="361"/>
      <c r="K28" s="352"/>
      <c r="L28" s="309"/>
      <c r="M28" s="309"/>
      <c r="N28" s="321">
        <f>IFERROR(VLOOKUP(G28&amp;L28,tbl_Entfernung[[Verketten]:[Entfernung]],2,FALSE),"")</f>
        <v>0</v>
      </c>
      <c r="O28" s="316">
        <f>IF(S28&gt;PauseGTime,PauseGWert,IF(S28&gt;PauseKTime,PauseKWert,IF(S28&lt;=PauseKTime,0,WENN)))</f>
        <v>0</v>
      </c>
      <c r="P28" s="364"/>
      <c r="Q28" s="356">
        <f t="shared" si="2"/>
        <v>0</v>
      </c>
      <c r="R28" s="225">
        <f t="shared" ca="1" si="3"/>
        <v>0.29166666666666669</v>
      </c>
      <c r="S28" s="225">
        <f t="shared" si="7"/>
        <v>0</v>
      </c>
      <c r="T28" s="130">
        <f t="shared" ca="1" si="4"/>
        <v>-0.29166666666667002</v>
      </c>
      <c r="U28" s="251">
        <f t="shared" ca="1" si="5"/>
        <v>0.29166666666666669</v>
      </c>
      <c r="V28" s="131"/>
      <c r="W28" s="214" t="e">
        <f t="shared" ca="1" si="8"/>
        <v>#REF!</v>
      </c>
      <c r="AB28" s="345">
        <f t="shared" si="9"/>
        <v>0</v>
      </c>
      <c r="AC28" s="345">
        <f t="shared" si="10"/>
        <v>0</v>
      </c>
    </row>
    <row r="29" spans="1:29" s="19" customFormat="1" ht="12" x14ac:dyDescent="0.2">
      <c r="A29" s="312">
        <f t="shared" si="6"/>
        <v>44280</v>
      </c>
      <c r="B29" s="129">
        <f t="shared" si="0"/>
        <v>44280</v>
      </c>
      <c r="C29" s="262" t="str">
        <f t="shared" si="1"/>
        <v/>
      </c>
      <c r="D29" s="358"/>
      <c r="E29" s="352"/>
      <c r="F29" s="255"/>
      <c r="G29" s="309"/>
      <c r="H29" s="309"/>
      <c r="I29" s="348">
        <f>IFERROR(VLOOKUP(D29&amp;G29,tbl_Entfernung[[Verketten]:[Entfernung]],2,FALSE),"")</f>
        <v>0</v>
      </c>
      <c r="J29" s="361"/>
      <c r="K29" s="352"/>
      <c r="L29" s="309"/>
      <c r="M29" s="309"/>
      <c r="N29" s="321">
        <f>IFERROR(VLOOKUP(G29&amp;L29,tbl_Entfernung[[Verketten]:[Entfernung]],2,FALSE),"")</f>
        <v>0</v>
      </c>
      <c r="O29" s="316">
        <f>IF(S29&gt;PauseGTime,PauseGWert,IF(S29&gt;PauseKTime,PauseKWert,IF(S29&lt;=PauseKTime,0,WENN)))</f>
        <v>0</v>
      </c>
      <c r="P29" s="364"/>
      <c r="Q29" s="356">
        <f t="shared" si="2"/>
        <v>0</v>
      </c>
      <c r="R29" s="225">
        <f t="shared" ca="1" si="3"/>
        <v>0.29166666666666669</v>
      </c>
      <c r="S29" s="225">
        <f t="shared" si="7"/>
        <v>0</v>
      </c>
      <c r="T29" s="130">
        <f t="shared" ca="1" si="4"/>
        <v>-0.29166666666667002</v>
      </c>
      <c r="U29" s="251">
        <f t="shared" ca="1" si="5"/>
        <v>0.29166666666666669</v>
      </c>
      <c r="V29" s="131"/>
      <c r="W29" s="214" t="e">
        <f t="shared" ca="1" si="8"/>
        <v>#REF!</v>
      </c>
      <c r="AB29" s="345">
        <f t="shared" si="9"/>
        <v>0</v>
      </c>
      <c r="AC29" s="345">
        <f t="shared" si="10"/>
        <v>0</v>
      </c>
    </row>
    <row r="30" spans="1:29" s="19" customFormat="1" ht="12" x14ac:dyDescent="0.2">
      <c r="A30" s="312">
        <f t="shared" si="6"/>
        <v>44281</v>
      </c>
      <c r="B30" s="129">
        <f t="shared" si="0"/>
        <v>44281</v>
      </c>
      <c r="C30" s="262" t="str">
        <f t="shared" si="1"/>
        <v/>
      </c>
      <c r="D30" s="358"/>
      <c r="E30" s="352"/>
      <c r="F30" s="255"/>
      <c r="G30" s="309"/>
      <c r="H30" s="309"/>
      <c r="I30" s="349">
        <f>IFERROR(VLOOKUP(D30&amp;G30,tbl_Entfernung[[Verketten]:[Entfernung]],2,FALSE),"")</f>
        <v>0</v>
      </c>
      <c r="J30" s="361"/>
      <c r="K30" s="352"/>
      <c r="L30" s="309"/>
      <c r="M30" s="309"/>
      <c r="N30" s="322">
        <f>IFERROR(VLOOKUP(G30&amp;L30,tbl_Entfernung[[Verketten]:[Entfernung]],2,FALSE),"")</f>
        <v>0</v>
      </c>
      <c r="O30" s="316">
        <f>IF(S30&gt;PauseGTime,PauseGWert,IF(S30&gt;PauseKTime,PauseKWert,IF(S30&lt;=PauseKTime,0,WENN)))</f>
        <v>0</v>
      </c>
      <c r="P30" s="364"/>
      <c r="Q30" s="356">
        <f t="shared" si="2"/>
        <v>0</v>
      </c>
      <c r="R30" s="225">
        <f t="shared" ca="1" si="3"/>
        <v>0.29166666666666669</v>
      </c>
      <c r="S30" s="225">
        <f t="shared" si="7"/>
        <v>0</v>
      </c>
      <c r="T30" s="130">
        <f t="shared" ca="1" si="4"/>
        <v>-0.29166666666667002</v>
      </c>
      <c r="U30" s="251">
        <f t="shared" ca="1" si="5"/>
        <v>0.29166666666666669</v>
      </c>
      <c r="V30" s="131"/>
      <c r="W30" s="214" t="e">
        <f t="shared" ca="1" si="8"/>
        <v>#REF!</v>
      </c>
      <c r="AB30" s="345">
        <f t="shared" si="9"/>
        <v>0</v>
      </c>
      <c r="AC30" s="345">
        <f t="shared" si="10"/>
        <v>0</v>
      </c>
    </row>
    <row r="31" spans="1:29" s="19" customFormat="1" ht="12" x14ac:dyDescent="0.2">
      <c r="A31" s="312">
        <f t="shared" si="6"/>
        <v>44282</v>
      </c>
      <c r="B31" s="129">
        <f t="shared" si="0"/>
        <v>44282</v>
      </c>
      <c r="C31" s="262" t="str">
        <f t="shared" si="1"/>
        <v/>
      </c>
      <c r="D31" s="358"/>
      <c r="E31" s="352"/>
      <c r="F31" s="255"/>
      <c r="G31" s="309"/>
      <c r="H31" s="309"/>
      <c r="I31" s="349">
        <f>IFERROR(VLOOKUP(D31&amp;G31,tbl_Entfernung[[Verketten]:[Entfernung]],2,FALSE),"")</f>
        <v>0</v>
      </c>
      <c r="J31" s="361"/>
      <c r="K31" s="352"/>
      <c r="L31" s="309"/>
      <c r="M31" s="309"/>
      <c r="N31" s="322">
        <f>IFERROR(VLOOKUP(G31&amp;L31,tbl_Entfernung[[Verketten]:[Entfernung]],2,FALSE),"")</f>
        <v>0</v>
      </c>
      <c r="O31" s="316">
        <f>IF(S31&gt;PauseGTime,PauseGWert,IF(S31&gt;PauseKTime,PauseKWert,IF(S31&lt;=PauseKTime,0,WENN)))</f>
        <v>0</v>
      </c>
      <c r="P31" s="364"/>
      <c r="Q31" s="356">
        <f t="shared" si="2"/>
        <v>0</v>
      </c>
      <c r="R31" s="225">
        <f t="shared" ca="1" si="3"/>
        <v>0.29166666666666669</v>
      </c>
      <c r="S31" s="225">
        <f t="shared" si="7"/>
        <v>0</v>
      </c>
      <c r="T31" s="130">
        <f t="shared" ca="1" si="4"/>
        <v>-0.29166666666667002</v>
      </c>
      <c r="U31" s="251">
        <f t="shared" ca="1" si="5"/>
        <v>0.29166666666666669</v>
      </c>
      <c r="V31" s="131"/>
      <c r="W31" s="214" t="e">
        <f t="shared" ca="1" si="8"/>
        <v>#REF!</v>
      </c>
      <c r="AB31" s="345">
        <f t="shared" si="9"/>
        <v>0</v>
      </c>
      <c r="AC31" s="345">
        <f t="shared" si="10"/>
        <v>0</v>
      </c>
    </row>
    <row r="32" spans="1:29" s="19" customFormat="1" ht="12" x14ac:dyDescent="0.2">
      <c r="A32" s="312">
        <f>IF(MONTH(A31+1)&gt;MONTH(A31),"",A31+1)</f>
        <v>44283</v>
      </c>
      <c r="B32" s="129">
        <f t="shared" si="0"/>
        <v>44283</v>
      </c>
      <c r="C32" s="262" t="str">
        <f>IF(ISERROR(VLOOKUP(A32,Feiertage,2,FALSE)),"",(VLOOKUP(A32,Feiertage,2,FALSE)))</f>
        <v/>
      </c>
      <c r="D32" s="358"/>
      <c r="E32" s="352"/>
      <c r="F32" s="255"/>
      <c r="G32" s="309"/>
      <c r="H32" s="309"/>
      <c r="I32" s="349">
        <f>IFERROR(VLOOKUP(D32&amp;G32,tbl_Entfernung[[Verketten]:[Entfernung]],2,FALSE),"")</f>
        <v>0</v>
      </c>
      <c r="J32" s="361"/>
      <c r="K32" s="352"/>
      <c r="L32" s="309"/>
      <c r="M32" s="309"/>
      <c r="N32" s="322">
        <f>IFERROR(VLOOKUP(G32&amp;L32,tbl_Entfernung[[Verketten]:[Entfernung]],2,FALSE),"")</f>
        <v>0</v>
      </c>
      <c r="O32" s="316">
        <f>IF(S32&gt;PauseGTime,PauseGWert,IF(S32&gt;PauseKTime,PauseKWert,IF(S32&lt;=PauseKTime,0,WENN)))</f>
        <v>0</v>
      </c>
      <c r="P32" s="364"/>
      <c r="Q32" s="356">
        <f t="shared" si="2"/>
        <v>0</v>
      </c>
      <c r="R32" s="225">
        <f t="shared" ca="1" si="3"/>
        <v>0</v>
      </c>
      <c r="S32" s="225">
        <f t="shared" si="7"/>
        <v>0</v>
      </c>
      <c r="T32" s="130">
        <f t="shared" ca="1" si="4"/>
        <v>0</v>
      </c>
      <c r="U32" s="251">
        <f t="shared" ca="1" si="5"/>
        <v>0</v>
      </c>
      <c r="V32" s="131"/>
      <c r="W32" s="214" t="e">
        <f t="shared" ca="1" si="8"/>
        <v>#REF!</v>
      </c>
      <c r="AB32" s="345">
        <f t="shared" si="9"/>
        <v>0</v>
      </c>
      <c r="AC32" s="345">
        <f t="shared" si="10"/>
        <v>0</v>
      </c>
    </row>
    <row r="33" spans="1:29" s="19" customFormat="1" ht="12" x14ac:dyDescent="0.2">
      <c r="A33" s="312">
        <f>IF(MONTH(A31+2)&gt;MONTH(A31),"",A31+2)</f>
        <v>44284</v>
      </c>
      <c r="B33" s="129">
        <f t="shared" si="0"/>
        <v>44284</v>
      </c>
      <c r="C33" s="262" t="str">
        <f>IF(ISERROR(VLOOKUP(A33,Feiertage,2,FALSE)),"",(VLOOKUP(A33,Feiertage,2,FALSE)))</f>
        <v/>
      </c>
      <c r="D33" s="358"/>
      <c r="E33" s="352"/>
      <c r="F33" s="255"/>
      <c r="G33" s="309"/>
      <c r="H33" s="309"/>
      <c r="I33" s="349">
        <f>IFERROR(VLOOKUP(D33&amp;G33,tbl_Entfernung[[Verketten]:[Entfernung]],2,FALSE),"")</f>
        <v>0</v>
      </c>
      <c r="J33" s="361"/>
      <c r="K33" s="352"/>
      <c r="L33" s="309"/>
      <c r="M33" s="309"/>
      <c r="N33" s="322">
        <f>IFERROR(VLOOKUP(G33&amp;L33,tbl_Entfernung[[Verketten]:[Entfernung]],2,FALSE),"")</f>
        <v>0</v>
      </c>
      <c r="O33" s="316">
        <f>IF(S33&gt;PauseGTime,PauseGWert,IF(S33&gt;PauseKTime,PauseKWert,IF(S33&lt;=PauseKTime,0,WENN)))</f>
        <v>0</v>
      </c>
      <c r="P33" s="364"/>
      <c r="Q33" s="356">
        <f t="shared" si="2"/>
        <v>0</v>
      </c>
      <c r="R33" s="225">
        <f t="shared" ca="1" si="3"/>
        <v>0</v>
      </c>
      <c r="S33" s="225">
        <f t="shared" si="7"/>
        <v>0</v>
      </c>
      <c r="T33" s="130">
        <f t="shared" ca="1" si="4"/>
        <v>0</v>
      </c>
      <c r="U33" s="251">
        <f t="shared" ca="1" si="5"/>
        <v>0</v>
      </c>
      <c r="V33" s="131"/>
      <c r="W33" s="214" t="e">
        <f t="shared" ca="1" si="8"/>
        <v>#REF!</v>
      </c>
      <c r="AB33" s="345">
        <f t="shared" si="9"/>
        <v>0</v>
      </c>
      <c r="AC33" s="345">
        <f t="shared" si="10"/>
        <v>0</v>
      </c>
    </row>
    <row r="34" spans="1:29" s="19" customFormat="1" ht="12" x14ac:dyDescent="0.2">
      <c r="A34" s="313">
        <f>IF(MONTH(A31+3)&gt;MONTH(A31),"",A31+3)</f>
        <v>44285</v>
      </c>
      <c r="B34" s="215">
        <f t="shared" si="0"/>
        <v>44285</v>
      </c>
      <c r="C34" s="263" t="str">
        <f>IF(ISERROR(VLOOKUP(A34,Feiertage,2,FALSE)),"",(VLOOKUP(A34,Feiertage,2,FALSE)))</f>
        <v/>
      </c>
      <c r="D34" s="359"/>
      <c r="E34" s="353"/>
      <c r="F34" s="256"/>
      <c r="G34" s="310"/>
      <c r="H34" s="310"/>
      <c r="I34" s="350">
        <f>IFERROR(VLOOKUP(D34&amp;G34,tbl_Entfernung[[Verketten]:[Entfernung]],2,FALSE),"")</f>
        <v>0</v>
      </c>
      <c r="J34" s="362"/>
      <c r="K34" s="354"/>
      <c r="L34" s="310"/>
      <c r="M34" s="310"/>
      <c r="N34" s="323">
        <f>IFERROR(VLOOKUP(G34&amp;L34,tbl_Entfernung[[Verketten]:[Entfernung]],2,FALSE),"")</f>
        <v>0</v>
      </c>
      <c r="O34" s="317">
        <f>IF(S34&gt;PauseGTime,PauseGWert,IF(S34&gt;PauseKTime,PauseKWert,IF(S34&lt;=PauseKTime,0,WENN)))</f>
        <v>0</v>
      </c>
      <c r="P34" s="365"/>
      <c r="Q34" s="357">
        <f t="shared" si="2"/>
        <v>0</v>
      </c>
      <c r="R34" s="226">
        <f t="shared" ca="1" si="3"/>
        <v>0.29166666666666669</v>
      </c>
      <c r="S34" s="226">
        <f t="shared" si="7"/>
        <v>0</v>
      </c>
      <c r="T34" s="216">
        <f t="shared" ca="1" si="4"/>
        <v>-0.29166666666667002</v>
      </c>
      <c r="U34" s="252">
        <f t="shared" ca="1" si="5"/>
        <v>0.29166666666666669</v>
      </c>
      <c r="V34" s="217"/>
      <c r="W34" s="218" t="e">
        <f t="shared" ca="1" si="8"/>
        <v>#REF!</v>
      </c>
      <c r="AB34" s="345">
        <f t="shared" si="9"/>
        <v>0</v>
      </c>
      <c r="AC34" s="345">
        <f t="shared" si="10"/>
        <v>0</v>
      </c>
    </row>
    <row r="35" spans="1:29" s="19" customFormat="1" ht="4.5" customHeight="1" x14ac:dyDescent="0.2">
      <c r="B35" s="48"/>
      <c r="C35" s="48"/>
      <c r="D35" s="48"/>
      <c r="E35" s="48"/>
      <c r="F35" s="49"/>
      <c r="G35" s="49"/>
      <c r="H35" s="49"/>
      <c r="I35" s="49"/>
      <c r="J35" s="49"/>
      <c r="K35" s="49"/>
      <c r="L35" s="50"/>
      <c r="M35" s="50"/>
      <c r="N35" s="50"/>
      <c r="O35" s="50"/>
      <c r="P35" s="50"/>
      <c r="Q35" s="49"/>
      <c r="R35" s="51"/>
      <c r="S35" s="51"/>
      <c r="T35" s="51"/>
      <c r="U35" s="1"/>
      <c r="V35" s="1"/>
      <c r="W35" s="1"/>
    </row>
    <row r="36" spans="1:29" ht="12.75" customHeight="1" x14ac:dyDescent="0.2">
      <c r="A36" s="132"/>
      <c r="B36" s="133"/>
      <c r="C36" s="133"/>
      <c r="D36" s="290"/>
      <c r="E36" s="272"/>
      <c r="F36" s="291" t="str">
        <f>"Übertrag "&amp;TEXT(DATE(YEAR(A1),MONTH(A1)-1,1),"MMMM JJJJ")&amp;":"</f>
        <v>Übertrag Februar 2025:</v>
      </c>
      <c r="G36" s="272"/>
      <c r="H36" s="272"/>
      <c r="I36" s="272"/>
      <c r="J36" s="292" t="e">
        <f>#REF!</f>
        <v>#REF!</v>
      </c>
      <c r="K36" s="287"/>
      <c r="P36" s="293">
        <f>COUNTIF(P4:P34,Voreinstellungen!B21)+IF(COUNTIF(P4:P34,Voreinstellungen!B22)&gt;0,1-(SUMIF(P4:P34,Voreinstellungen!B22,R4:R34)/SUMIF(P4:P34,Voreinstellungen!B22,U4:U34)),0)</f>
        <v>0</v>
      </c>
      <c r="Q36" s="325" t="str">
        <f>Voreinstellungen!A21&amp;" ("&amp;Voreinstellungen!B21&amp;"/"&amp;Voreinstellungen!B22&amp;")"</f>
        <v>Krank (K/KK)</v>
      </c>
      <c r="R36" s="326"/>
      <c r="S36" s="326"/>
      <c r="T36" s="326"/>
      <c r="U36" s="326"/>
      <c r="V36" s="326"/>
      <c r="W36" s="173">
        <f>(SUMIF(P4:P34,Voreinstellungen!B21,R4:R34)-SUMIF(P4:P34,Voreinstellungen!B21,U4:U34)+SUMIF(P4:P34,Voreinstellungen!B22,R4:R34)-SUMIF(P4:P34,Voreinstellungen!B22,U4:U34))*-1</f>
        <v>0</v>
      </c>
      <c r="Y36" s="372" t="s">
        <v>145</v>
      </c>
      <c r="Z36" s="385" t="s">
        <v>150</v>
      </c>
      <c r="AA36" s="385" t="s">
        <v>151</v>
      </c>
      <c r="AB36" s="386" t="s">
        <v>152</v>
      </c>
    </row>
    <row r="37" spans="1:29" ht="12.75" customHeight="1" x14ac:dyDescent="0.2">
      <c r="A37" s="134"/>
      <c r="B37" s="135"/>
      <c r="C37" s="135"/>
      <c r="D37" s="135"/>
      <c r="E37" s="136"/>
      <c r="F37" s="294" t="str">
        <f>"SOLL Arbeitszeit ("&amp;TEXT(A1,"MMMM")&amp;"):"</f>
        <v>SOLL Arbeitszeit (März):</v>
      </c>
      <c r="G37" s="136"/>
      <c r="H37" s="136"/>
      <c r="I37" s="136"/>
      <c r="J37" s="295">
        <f ca="1">SUM(R4:R34)</f>
        <v>6.1250000000000018</v>
      </c>
      <c r="K37" s="287"/>
      <c r="P37" s="296">
        <f>COUNTIF(P4:P34,Voreinstellungen!B25)+(COUNTIF(P4:P34,Voreinstellungen!B26)*Voreinstellungen!C26)</f>
        <v>0</v>
      </c>
      <c r="Q37" s="327" t="str">
        <f>Voreinstellungen!A25&amp;" ("&amp;Voreinstellungen!B25&amp;"/"&amp;Voreinstellungen!B26&amp;") aktuell noch Verfügbar: "&amp;Voreinstellungen!C38&amp;" Tag(e)"</f>
        <v>Urlaub (U/UH) aktuell noch Verfügbar: 27 Tag(e)</v>
      </c>
      <c r="R37" s="328"/>
      <c r="S37" s="328"/>
      <c r="T37" s="328"/>
      <c r="U37" s="328"/>
      <c r="V37" s="328"/>
      <c r="W37" s="167">
        <f>SUMIF(P4:P34,Voreinstellungen!B25,U4:U34)+(SUMIF(P4:P34,Voreinstellungen!B26,U4:U34)*0.5)</f>
        <v>0</v>
      </c>
      <c r="Y37" s="374">
        <f>Voreinstellungen!J45</f>
        <v>0</v>
      </c>
      <c r="Z37" s="377">
        <f t="shared" ref="Z37:Z49" si="11">SUMIFS($AB$4:$AB$34,$G$4:$G$34,$Y37)+SUMIFS($AC$4:$AC$34,$L$4:$L$34,$Y37)</f>
        <v>0</v>
      </c>
      <c r="AA37" s="378">
        <f t="shared" ref="AA37:AA49" si="12">SUMIFS($I$4:$I$34,$G$4:$G$34,$Y37)+SUMIFS($N$4:$N$34,$L$4:$L$34,$Y37)</f>
        <v>0</v>
      </c>
      <c r="AB37" s="379">
        <f>SUM(AA37*Voreinstellungen!$C$44)</f>
        <v>0</v>
      </c>
    </row>
    <row r="38" spans="1:29" ht="12.75" customHeight="1" x14ac:dyDescent="0.2">
      <c r="A38" s="137"/>
      <c r="B38" s="138"/>
      <c r="C38" s="138"/>
      <c r="D38" s="138"/>
      <c r="E38" s="136"/>
      <c r="F38" s="294" t="str">
        <f>"IST Arbeitszeit ("&amp;TEXT(A1,"MMMM")&amp;"):"</f>
        <v>IST Arbeitszeit (März):</v>
      </c>
      <c r="G38" s="273"/>
      <c r="H38" s="273"/>
      <c r="I38" s="273"/>
      <c r="J38" s="297">
        <f>SUM(Q4:Q34)</f>
        <v>0</v>
      </c>
      <c r="K38" s="287"/>
      <c r="P38" s="296">
        <f>COUNTIF(P4:P34,Voreinstellungen!B20)</f>
        <v>0</v>
      </c>
      <c r="Q38" s="327" t="str">
        <f>Voreinstellungen!A20&amp;" ("&amp;Voreinstellungen!B20&amp;")"</f>
        <v>Gleittag (G)</v>
      </c>
      <c r="R38" s="328"/>
      <c r="S38" s="328"/>
      <c r="T38" s="328"/>
      <c r="U38" s="328"/>
      <c r="V38" s="328"/>
      <c r="W38" s="172"/>
      <c r="Y38" s="375">
        <f>Voreinstellungen!J46</f>
        <v>0</v>
      </c>
      <c r="Z38" s="380">
        <f t="shared" si="11"/>
        <v>0</v>
      </c>
      <c r="AA38" s="380">
        <f t="shared" si="12"/>
        <v>0</v>
      </c>
      <c r="AB38" s="381">
        <f>SUM(AA38*Voreinstellungen!$C$44)</f>
        <v>0</v>
      </c>
    </row>
    <row r="39" spans="1:29" ht="12.75" customHeight="1" x14ac:dyDescent="0.2">
      <c r="A39" s="137"/>
      <c r="B39" s="138"/>
      <c r="C39" s="138"/>
      <c r="D39" s="138"/>
      <c r="E39" s="136"/>
      <c r="F39" s="136" t="s">
        <v>84</v>
      </c>
      <c r="G39" s="274"/>
      <c r="H39" s="274"/>
      <c r="I39" s="274"/>
      <c r="J39" s="298"/>
      <c r="K39" s="287"/>
      <c r="P39" s="296">
        <f>COUNTIF(P4:P34,Voreinstellungen!B23)+IF(SUMIF(P4:P34,Voreinstellungen!B24,U4:U34)&lt;&gt;0,(1-(SUMIF(P4:P34,Voreinstellungen!B24,R4:R34)/SUMIF(P4:P34,Voreinstellungen!B24,U4:U34)))*COUNTIF(P4:P34,Voreinstellungen!B24),0)</f>
        <v>0</v>
      </c>
      <c r="Q39" s="327" t="str">
        <f>Voreinstellungen!A23&amp;" ("&amp;Voreinstellungen!B23&amp;")/("&amp;Voreinstellungen!B24&amp;")"</f>
        <v>Kurzarbeit (KU)/(KA)</v>
      </c>
      <c r="R39" s="329"/>
      <c r="S39" s="329"/>
      <c r="T39" s="329"/>
      <c r="U39" s="329"/>
      <c r="V39" s="329"/>
      <c r="W39" s="166">
        <f>(SUMIF(P4:P34,Voreinstellungen!B23,R4:R34)-SUMIF(P4:P34,Voreinstellungen!B23,U4:U34)+SUMIF(P4:P34,Voreinstellungen!B24,R4:R34)-SUMIF(P4:P34,Voreinstellungen!B24,U4:U34))*-1</f>
        <v>0</v>
      </c>
      <c r="Y39" s="375">
        <f>Voreinstellungen!J48</f>
        <v>0</v>
      </c>
      <c r="Z39" s="380">
        <f t="shared" si="11"/>
        <v>0</v>
      </c>
      <c r="AA39" s="380">
        <f t="shared" si="12"/>
        <v>0</v>
      </c>
      <c r="AB39" s="381">
        <f>SUM(AA39*Voreinstellungen!$C$44)</f>
        <v>0</v>
      </c>
    </row>
    <row r="40" spans="1:29" ht="12.75" customHeight="1" x14ac:dyDescent="0.2">
      <c r="A40" s="139"/>
      <c r="B40" s="140"/>
      <c r="C40" s="140"/>
      <c r="D40" s="140"/>
      <c r="E40" s="141"/>
      <c r="F40" s="299" t="s">
        <v>85</v>
      </c>
      <c r="G40" s="275"/>
      <c r="H40" s="275"/>
      <c r="I40" s="275"/>
      <c r="J40" s="300" t="e">
        <f ca="1">ROUND(J38+J36-J39-J37,14)</f>
        <v>#REF!</v>
      </c>
      <c r="K40" s="287"/>
      <c r="P40" s="296">
        <f>COUNTIF(Q4:Q34,"&gt;0")-IF(Voreinstellungen!C28="XTRA",COUNTIF(P4:P34,Voreinstellungen!B28),0)-IF(Voreinstellungen!C29="XTRA",COUNTIF(P4:P34,Voreinstellungen!B29),0)-IF(Voreinstellungen!C30="XTRA",COUNTIF(P4:P34,Voreinstellungen!B30),0)-IF(Voreinstellungen!C31="XTRA",COUNTIF(P4:P34,Voreinstellungen!B31),0)-IF(Voreinstellungen!C32="XTRA",COUNTIF(P4:P34,Voreinstellungen!B32),0)-IF(Voreinstellungen!C33="XTRA",COUNTIF(P4:P34,Voreinstellungen!B33),0)-COUNTIF(P4:P34,"H")</f>
        <v>0</v>
      </c>
      <c r="Q40" s="327" t="s">
        <v>86</v>
      </c>
      <c r="R40" s="328"/>
      <c r="S40" s="328"/>
      <c r="T40" s="328"/>
      <c r="U40" s="328"/>
      <c r="V40" s="328"/>
      <c r="W40" s="234"/>
      <c r="Y40" s="375">
        <f>Voreinstellungen!J49</f>
        <v>0</v>
      </c>
      <c r="Z40" s="380">
        <f t="shared" si="11"/>
        <v>0</v>
      </c>
      <c r="AA40" s="380">
        <f t="shared" si="12"/>
        <v>0</v>
      </c>
      <c r="AB40" s="381">
        <f>SUM(AA40*Voreinstellungen!$C$44)</f>
        <v>0</v>
      </c>
    </row>
    <row r="41" spans="1:29" ht="12.75" customHeight="1" x14ac:dyDescent="0.2">
      <c r="P41" s="296">
        <f>COUNTIF(P4:P34,Voreinstellungen!B27)</f>
        <v>0</v>
      </c>
      <c r="Q41" s="327" t="str">
        <f>Voreinstellungen!A27</f>
        <v>Homeoffice</v>
      </c>
      <c r="R41" s="328"/>
      <c r="S41" s="328"/>
      <c r="T41" s="328"/>
      <c r="U41" s="328"/>
      <c r="V41" s="328"/>
      <c r="W41" s="234"/>
      <c r="Y41" s="375">
        <f>Voreinstellungen!J50</f>
        <v>0</v>
      </c>
      <c r="Z41" s="380">
        <f t="shared" si="11"/>
        <v>0</v>
      </c>
      <c r="AA41" s="380">
        <f t="shared" si="12"/>
        <v>0</v>
      </c>
      <c r="AB41" s="381">
        <f>SUM(AA41*Voreinstellungen!$C$44)</f>
        <v>0</v>
      </c>
    </row>
    <row r="42" spans="1:29" ht="12.75" customHeight="1" x14ac:dyDescent="0.2">
      <c r="A42" s="169"/>
      <c r="B42" s="169"/>
      <c r="C42" s="169"/>
      <c r="D42" s="277"/>
      <c r="E42" s="277"/>
      <c r="F42" s="277"/>
      <c r="G42" s="277"/>
      <c r="H42" s="277"/>
      <c r="I42" s="277"/>
      <c r="J42" s="277"/>
      <c r="P42" s="302">
        <f>IF(Voreinstellungen!C28="","",IF(Voreinstellungen!C28="REST",IFERROR(SUMIF(P4:P34,Voreinstellungen!B28,Q4:Q34)/SUMIF(P4:P34,Voreinstellungen!B28,U4:U34),0),IF(Voreinstellungen!C28="NONE",COUNTIF(P4:P34,Voreinstellungen!B28),IF(Voreinstellungen!C28="XTRA",COUNTIF(P4:P34,Voreinstellungen!B28),COUNTIF(P4:P34,Voreinstellungen!B28)*IF(Voreinstellungen!C28=0,1,Voreinstellungen!C28)))))</f>
        <v>0</v>
      </c>
      <c r="Q42" s="330" t="str">
        <f>IF(Voreinstellungen!A28="","",REPT(Voreinstellungen!A28,1) &amp; " (" &amp; REPT(Voreinstellungen!B28,1) &amp; ")")</f>
        <v>Bereitschaft (B)</v>
      </c>
      <c r="R42" s="331"/>
      <c r="S42" s="331"/>
      <c r="T42" s="331"/>
      <c r="U42" s="331"/>
      <c r="V42" s="331"/>
      <c r="W42" s="168">
        <f>IF(ISBLANK(Voreinstellungen!C28),"",IF(Voreinstellungen!C28="REST",SUMIF(P4:P34,Voreinstellungen!B28,U4:U34)-SUMIF(P4:P34,Voreinstellungen!B28,Q4:Q34),IF(ISTEXT(Voreinstellungen!C28),SUMIF(P4:P34,Voreinstellungen!B28,Q4:Q34),"")))</f>
        <v>0</v>
      </c>
      <c r="Y42" s="375">
        <f>Voreinstellungen!J51</f>
        <v>0</v>
      </c>
      <c r="Z42" s="380">
        <f t="shared" si="11"/>
        <v>0</v>
      </c>
      <c r="AA42" s="380">
        <f t="shared" si="12"/>
        <v>0</v>
      </c>
      <c r="AB42" s="381">
        <f>SUM(AA42*Voreinstellungen!$C$44)</f>
        <v>0</v>
      </c>
    </row>
    <row r="43" spans="1:29" ht="12.75" customHeight="1" x14ac:dyDescent="0.2">
      <c r="A43" s="170"/>
      <c r="B43" s="170"/>
      <c r="C43" s="170"/>
      <c r="D43" s="278"/>
      <c r="E43" s="278"/>
      <c r="F43" s="278"/>
      <c r="G43" s="278"/>
      <c r="H43" s="278"/>
      <c r="I43" s="278"/>
      <c r="J43" s="278"/>
      <c r="P43" s="302">
        <f>IF(Voreinstellungen!C29="","",IF(Voreinstellungen!C29="REST",IFERROR(SUMIF(P4:P34,Voreinstellungen!B29,Q4:Q34)/SUMIF(P4:P34,Voreinstellungen!B29,U4:U34),0),IF(Voreinstellungen!C29="NONE",COUNTIF(P4:P34,Voreinstellungen!B29),IF(Voreinstellungen!C29="XTRA",COUNTIF(P4:P34,Voreinstellungen!B29),COUNTIF(P4:P34,Voreinstellungen!B29)*IF(Voreinstellungen!C29=0,1,Voreinstellungen!C29)))))</f>
        <v>0</v>
      </c>
      <c r="Q43" s="330" t="str">
        <f>IF(Voreinstellungen!A29="","",REPT(Voreinstellungen!A29,1) &amp; " (" &amp; REPT(Voreinstellungen!B29,1) &amp; ")")</f>
        <v>Eigener Code 1 (E1)</v>
      </c>
      <c r="R43" s="331"/>
      <c r="S43" s="331"/>
      <c r="T43" s="331"/>
      <c r="U43" s="331"/>
      <c r="V43" s="331"/>
      <c r="W43" s="168">
        <f>IF(ISBLANK(Voreinstellungen!C29),"",IF(Voreinstellungen!C29="REST",SUMIF(P4:P34,Voreinstellungen!B29,U4:U34)-SUMIF(P4:P34,Voreinstellungen!B29,Q4:Q34),IF(ISTEXT(Voreinstellungen!C29),SUMIF(P4:P34,Voreinstellungen!B29,Q4:Q34),"")))</f>
        <v>0</v>
      </c>
      <c r="Y43" s="375">
        <f>Voreinstellungen!J52</f>
        <v>0</v>
      </c>
      <c r="Z43" s="380">
        <f t="shared" si="11"/>
        <v>0</v>
      </c>
      <c r="AA43" s="380">
        <f t="shared" si="12"/>
        <v>0</v>
      </c>
      <c r="AB43" s="381">
        <f>SUM(AA43*Voreinstellungen!$C$44)</f>
        <v>0</v>
      </c>
    </row>
    <row r="44" spans="1:29" ht="12.75" customHeight="1" x14ac:dyDescent="0.2">
      <c r="A44" s="169" t="s">
        <v>46</v>
      </c>
      <c r="B44" s="169"/>
      <c r="C44" s="169"/>
      <c r="D44" s="277"/>
      <c r="E44" s="277"/>
      <c r="F44" s="277"/>
      <c r="G44" s="277"/>
      <c r="H44" s="277"/>
      <c r="I44" s="277"/>
      <c r="J44" s="277" t="s">
        <v>87</v>
      </c>
      <c r="P44" s="302">
        <f>IF(Voreinstellungen!C30="","",IF(Voreinstellungen!C30="REST",IFERROR(SUMIF(P4:P34,Voreinstellungen!B30,Q4:Q34)/SUMIF(P4:P34,Voreinstellungen!B30,U4:U34),0),IF(Voreinstellungen!C30="NONE",COUNTIF(P4:P34,Voreinstellungen!B30),IF(Voreinstellungen!C30="XTRA",COUNTIF(P4:P34,Voreinstellungen!B30),COUNTIF(P4:P34,Voreinstellungen!B30)*IF(Voreinstellungen!C30=0,1,Voreinstellungen!C30)))))</f>
        <v>0</v>
      </c>
      <c r="Q44" s="330" t="str">
        <f>IF(Voreinstellungen!A30="","",REPT(Voreinstellungen!A30,1) &amp; " (" &amp; REPT(Voreinstellungen!B30,1) &amp; ")")</f>
        <v>Eigener Code 2 (E2)</v>
      </c>
      <c r="R44" s="331"/>
      <c r="S44" s="331"/>
      <c r="T44" s="331"/>
      <c r="U44" s="331"/>
      <c r="V44" s="331"/>
      <c r="W44" s="168" t="str">
        <f>IF(ISBLANK(Voreinstellungen!C30),"",IF(Voreinstellungen!C30="REST",SUMIF(P4:P34,Voreinstellungen!B30,U4:U34)-SUMIF(P4:P34,Voreinstellungen!B30,Q4:Q34),IF(ISTEXT(Voreinstellungen!C30),SUMIF(P4:P34,Voreinstellungen!B30,Q4:Q34),"")))</f>
        <v/>
      </c>
      <c r="Y44" s="375">
        <f>Voreinstellungen!J53</f>
        <v>0</v>
      </c>
      <c r="Z44" s="380">
        <f t="shared" si="11"/>
        <v>0</v>
      </c>
      <c r="AA44" s="380">
        <f t="shared" si="12"/>
        <v>0</v>
      </c>
      <c r="AB44" s="381">
        <f>SUM(AA44*Voreinstellungen!$C$44)</f>
        <v>0</v>
      </c>
    </row>
    <row r="45" spans="1:29" ht="12.75" customHeight="1" x14ac:dyDescent="0.2">
      <c r="A45" s="169"/>
      <c r="B45" s="169"/>
      <c r="C45" s="169"/>
      <c r="D45" s="277"/>
      <c r="E45" s="277"/>
      <c r="F45" s="277"/>
      <c r="G45" s="277"/>
      <c r="H45" s="277"/>
      <c r="I45" s="277"/>
      <c r="J45" s="277"/>
      <c r="P45" s="302">
        <f>IF(Voreinstellungen!C31="","",IF(Voreinstellungen!C31="REST",IFERROR(SUMIF(P4:P34,Voreinstellungen!B31,Q4:Q34)/SUMIF(P4:P34,Voreinstellungen!B31,U4:U34),0),IF(Voreinstellungen!C31="NONE",COUNTIF(P4:P34,Voreinstellungen!B31),IF(Voreinstellungen!C31="XTRA",COUNTIF(P4:P34,Voreinstellungen!B31),COUNTIF(P4:P34,Voreinstellungen!B31)*IF(Voreinstellungen!C31=0,1,Voreinstellungen!C31)))))</f>
        <v>0</v>
      </c>
      <c r="Q45" s="330" t="str">
        <f>IF(Voreinstellungen!A31="","",REPT(Voreinstellungen!A31,1) &amp; " (" &amp; REPT(Voreinstellungen!B31,1) &amp; ")")</f>
        <v>Eigener Code 3 (E3)</v>
      </c>
      <c r="R45" s="331"/>
      <c r="S45" s="331"/>
      <c r="T45" s="331"/>
      <c r="U45" s="331"/>
      <c r="V45" s="331"/>
      <c r="W45" s="168" t="str">
        <f>IF(ISBLANK(Voreinstellungen!C31),"",IF(Voreinstellungen!C31="REST",SUMIF(P4:P34,Voreinstellungen!B31,U4:U34)-SUMIF(P4:P34,Voreinstellungen!B31,Q4:Q34),IF(ISTEXT(Voreinstellungen!C31),SUMIF(P4:P34,Voreinstellungen!B31,Q4:Q34),"")))</f>
        <v/>
      </c>
      <c r="Y45" s="375">
        <f>Voreinstellungen!J54</f>
        <v>0</v>
      </c>
      <c r="Z45" s="380">
        <f t="shared" si="11"/>
        <v>0</v>
      </c>
      <c r="AA45" s="380">
        <f t="shared" si="12"/>
        <v>0</v>
      </c>
      <c r="AB45" s="381">
        <f>SUM(AA45*Voreinstellungen!$C$44)</f>
        <v>0</v>
      </c>
    </row>
    <row r="46" spans="1:29" ht="12.75" customHeight="1" x14ac:dyDescent="0.2">
      <c r="A46" s="170"/>
      <c r="B46" s="170"/>
      <c r="C46" s="170"/>
      <c r="D46" s="278"/>
      <c r="E46" s="278"/>
      <c r="F46" s="278"/>
      <c r="G46" s="278"/>
      <c r="H46" s="278"/>
      <c r="I46" s="278"/>
      <c r="J46" s="278"/>
      <c r="P46" s="302">
        <f>IF(Voreinstellungen!C32="","",IF(Voreinstellungen!C32="REST",IFERROR(SUMIF(P4:P34,Voreinstellungen!B32,Q4:Q34)/SUMIF(P4:P34,Voreinstellungen!B32,U4:U34),0),IF(Voreinstellungen!C32="NONE",COUNTIF(P4:P34,Voreinstellungen!B32),IF(Voreinstellungen!C32="XTRA",COUNTIF(P4:P34,Voreinstellungen!B32),COUNTIF(P4:P34,Voreinstellungen!B32)*IF(Voreinstellungen!C32=0,1,Voreinstellungen!C32)))))</f>
        <v>0</v>
      </c>
      <c r="Q46" s="330" t="str">
        <f>IF(Voreinstellungen!A32="","",REPT(Voreinstellungen!A32,1) &amp; " (" &amp; REPT(Voreinstellungen!B32,1) &amp; ")")</f>
        <v>Eigener Code 4 (E4)</v>
      </c>
      <c r="R46" s="331"/>
      <c r="S46" s="331"/>
      <c r="T46" s="331"/>
      <c r="U46" s="331"/>
      <c r="V46" s="331"/>
      <c r="W46" s="168" t="str">
        <f>IF(ISBLANK(Voreinstellungen!C32),"",IF(Voreinstellungen!C32="REST",SUMIF(P4:P34,Voreinstellungen!B32,U4:U34)-SUMIF(P4:P34,Voreinstellungen!B32,Q4:Q34),IF(ISTEXT(Voreinstellungen!C32),SUMIF(P4:P34,Voreinstellungen!B32,Q4:Q34),"")))</f>
        <v/>
      </c>
      <c r="Y46" s="375">
        <f>Voreinstellungen!J55</f>
        <v>0</v>
      </c>
      <c r="Z46" s="380">
        <f t="shared" si="11"/>
        <v>0</v>
      </c>
      <c r="AA46" s="380">
        <f t="shared" si="12"/>
        <v>0</v>
      </c>
      <c r="AB46" s="381">
        <f>SUM(AA46*Voreinstellungen!$C$44)</f>
        <v>0</v>
      </c>
    </row>
    <row r="47" spans="1:29" ht="12.75" customHeight="1" x14ac:dyDescent="0.2">
      <c r="A47" s="169" t="s">
        <v>46</v>
      </c>
      <c r="B47" s="169"/>
      <c r="C47" s="169"/>
      <c r="D47" s="277"/>
      <c r="E47" s="277"/>
      <c r="F47" s="277"/>
      <c r="G47" s="277"/>
      <c r="H47" s="277"/>
      <c r="I47" s="277"/>
      <c r="J47" s="277" t="s">
        <v>88</v>
      </c>
      <c r="P47" s="303">
        <f>IF(Voreinstellungen!C33="","",IF(Voreinstellungen!C33="REST",IFERROR(SUMIF(P4:P34,Voreinstellungen!B33,Q4:Q34)/SUMIF(P4:P34,Voreinstellungen!B33,U4:U34),0),IF(Voreinstellungen!C33="NONE",COUNTIF(P4:P34,Voreinstellungen!B33),IF(Voreinstellungen!C33="XTRA",COUNTIF(P4:P34,Voreinstellungen!B33),COUNTIF(P4:P34,Voreinstellungen!B33)*IF(Voreinstellungen!C33=0,1,Voreinstellungen!C33)))))</f>
        <v>0</v>
      </c>
      <c r="Q47" s="332" t="str">
        <f>IF(Voreinstellungen!A33="","",REPT(Voreinstellungen!A33,1) &amp; " (" &amp; REPT(Voreinstellungen!B33,1) &amp; ")")</f>
        <v>Eigener Code 5 (E5)</v>
      </c>
      <c r="R47" s="333"/>
      <c r="S47" s="333"/>
      <c r="T47" s="333"/>
      <c r="U47" s="333"/>
      <c r="V47" s="333"/>
      <c r="W47" s="319" t="str">
        <f>IF(ISBLANK(Voreinstellungen!C33),"",IF(Voreinstellungen!C33="REST",SUMIF(P4:P34,Voreinstellungen!B33,U4:U34)-SUMIF(P4:P34,Voreinstellungen!B33,Q4:Q34),IF(ISTEXT(Voreinstellungen!C33),SUMIF(P4:P34,Voreinstellungen!B33,Q4:Q34),"")))</f>
        <v/>
      </c>
      <c r="Y47" s="375">
        <f>Voreinstellungen!J56</f>
        <v>0</v>
      </c>
      <c r="Z47" s="380">
        <f t="shared" si="11"/>
        <v>0</v>
      </c>
      <c r="AA47" s="380">
        <f t="shared" si="12"/>
        <v>0</v>
      </c>
      <c r="AB47" s="381">
        <f>SUM(AA47*Voreinstellungen!$C$44)</f>
        <v>0</v>
      </c>
    </row>
    <row r="48" spans="1:29" x14ac:dyDescent="0.2">
      <c r="P48" s="334"/>
      <c r="Q48" s="45" t="s">
        <v>148</v>
      </c>
      <c r="R48" s="335"/>
      <c r="S48" s="335"/>
      <c r="T48" s="335"/>
      <c r="U48" s="335"/>
      <c r="V48" s="336"/>
      <c r="W48" s="337">
        <f>SUM(I7:I34,N7:N34)</f>
        <v>0</v>
      </c>
      <c r="X48" s="338"/>
      <c r="Y48" s="375">
        <f>Voreinstellungen!J57</f>
        <v>0</v>
      </c>
      <c r="Z48" s="380">
        <f t="shared" si="11"/>
        <v>0</v>
      </c>
      <c r="AA48" s="380">
        <f t="shared" si="12"/>
        <v>0</v>
      </c>
      <c r="AB48" s="381">
        <f>SUM(AA48*Voreinstellungen!$C$44)</f>
        <v>0</v>
      </c>
    </row>
    <row r="49" spans="1:30" x14ac:dyDescent="0.2">
      <c r="Q49" s="339"/>
      <c r="R49" s="340"/>
      <c r="S49" s="340"/>
      <c r="T49" s="340"/>
      <c r="U49" s="339"/>
      <c r="V49" s="339"/>
      <c r="Y49" s="376">
        <f>Voreinstellungen!J58</f>
        <v>0</v>
      </c>
      <c r="Z49" s="382">
        <f t="shared" si="11"/>
        <v>0</v>
      </c>
      <c r="AA49" s="382">
        <f t="shared" si="12"/>
        <v>0</v>
      </c>
      <c r="AB49" s="383">
        <f>SUM(AA49*Voreinstellungen!$C$44)</f>
        <v>0</v>
      </c>
    </row>
    <row r="51" spans="1:30" s="373" customFormat="1" x14ac:dyDescent="0.2">
      <c r="A51" s="45"/>
      <c r="B51" s="45"/>
      <c r="C51" s="45"/>
      <c r="D51" s="276"/>
      <c r="E51" s="301"/>
      <c r="F51" s="276"/>
      <c r="G51" s="276"/>
      <c r="H51" s="276"/>
      <c r="I51" s="276"/>
      <c r="J51" s="276"/>
      <c r="K51" s="276"/>
      <c r="L51" s="287"/>
      <c r="M51" s="287"/>
      <c r="N51" s="287"/>
      <c r="O51" s="287"/>
      <c r="P51" s="287"/>
      <c r="Q51" s="45"/>
      <c r="R51" s="46"/>
      <c r="S51" s="46"/>
      <c r="T51" s="46"/>
      <c r="U51" s="45"/>
      <c r="V51" s="45"/>
      <c r="W51" s="45"/>
      <c r="X51" s="45"/>
      <c r="Y51" s="367"/>
      <c r="Z51" s="368"/>
      <c r="AA51" s="368"/>
      <c r="AB51" s="369"/>
      <c r="AC51" s="45"/>
      <c r="AD51" s="45"/>
    </row>
    <row r="52" spans="1:30" x14ac:dyDescent="0.2">
      <c r="Y52" s="341" t="s">
        <v>153</v>
      </c>
      <c r="Z52" s="346">
        <f>SUM(Z37:Z49)</f>
        <v>0</v>
      </c>
      <c r="AA52" s="342">
        <f>SUM(AA37:AA49)</f>
        <v>0</v>
      </c>
      <c r="AB52" s="343">
        <f>SUM(AB37:AB49)</f>
        <v>0</v>
      </c>
    </row>
  </sheetData>
  <mergeCells count="3">
    <mergeCell ref="A1:C2"/>
    <mergeCell ref="V1:W1"/>
    <mergeCell ref="V2:W2"/>
  </mergeCells>
  <conditionalFormatting sqref="E4:E34">
    <cfRule type="expression" dxfId="389" priority="7">
      <formula>ISTEXT($E4)</formula>
    </cfRule>
  </conditionalFormatting>
  <conditionalFormatting sqref="F4:I34">
    <cfRule type="expression" dxfId="388" priority="6">
      <formula>ISTEXT($F4)</formula>
    </cfRule>
  </conditionalFormatting>
  <conditionalFormatting sqref="J4:J34">
    <cfRule type="expression" dxfId="387" priority="5">
      <formula>ISTEXT($J4)</formula>
    </cfRule>
  </conditionalFormatting>
  <conditionalFormatting sqref="K4:K34">
    <cfRule type="expression" dxfId="386" priority="4">
      <formula>ISTEXT($K4)</formula>
    </cfRule>
  </conditionalFormatting>
  <conditionalFormatting sqref="M5:O34">
    <cfRule type="expression" dxfId="385" priority="3">
      <formula>ISTEXT($F5)</formula>
    </cfRule>
  </conditionalFormatting>
  <conditionalFormatting sqref="N4:N34">
    <cfRule type="expression" dxfId="384" priority="2">
      <formula>ISTEXT($F4)</formula>
    </cfRule>
  </conditionalFormatting>
  <conditionalFormatting sqref="P36:P47">
    <cfRule type="expression" dxfId="383" priority="1">
      <formula>MOD(P36,1)=0</formula>
    </cfRule>
  </conditionalFormatting>
  <conditionalFormatting sqref="Q4:W34 A4:O34">
    <cfRule type="expression" dxfId="382" priority="16">
      <formula>WEEKDAY($A4,2)=6</formula>
    </cfRule>
    <cfRule type="expression" dxfId="381" priority="17">
      <formula>OR(WEEKDAY($A4,2)=7,$C4&lt;&gt;"")</formula>
    </cfRule>
  </conditionalFormatting>
  <conditionalFormatting sqref="P4:P34">
    <cfRule type="expression" dxfId="380" priority="26">
      <formula>WEEKDAY($A4,2)=6</formula>
    </cfRule>
    <cfRule type="expression" dxfId="379" priority="27">
      <formula>OR(WEEKDAY($A4,2)=7,$C4&lt;&gt;"")</formula>
    </cfRule>
  </conditionalFormatting>
  <dataValidations count="3">
    <dataValidation type="list" showErrorMessage="1" sqref="P4:P34" xr:uid="{00000000-0002-0000-0400-000000000000}">
      <formula1>CodeList</formula1>
    </dataValidation>
    <dataValidation type="list" allowBlank="1" showInputMessage="1" showErrorMessage="1" sqref="D4:D34 G4:G34 L4:L34" xr:uid="{3074DFE1-0F6E-455C-92FC-D511D186E360}">
      <formula1>Einsatzorte</formula1>
    </dataValidation>
    <dataValidation type="list" allowBlank="1" showInputMessage="1" showErrorMessage="1" sqref="H4:H34 M4:M34" xr:uid="{FBBFCF2D-C5A9-4897-96F1-E4ABFEB04956}">
      <formula1>Tätigkeiten</formula1>
    </dataValidation>
  </dataValidations>
  <printOptions horizontalCentered="1" verticalCentered="1"/>
  <pageMargins left="0.23622047244094491" right="0.23622047244094491" top="0.23622047244094491" bottom="0.23622047244094491" header="0.11811023622047245" footer="0.11811023622047245"/>
  <pageSetup paperSize="9" scale="95" firstPageNumber="0" orientation="landscape" r:id="rId1"/>
  <headerFooter alignWithMargins="0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8" id="{060F3102-EBAA-4649-A660-D926B1C4EF7D}">
            <xm:f>$P4=Voreinstellungen!$B$25</xm:f>
            <x14:dxf>
              <fill>
                <patternFill>
                  <bgColor rgb="FF0070C0"/>
                </patternFill>
              </fill>
            </x14:dxf>
          </x14:cfRule>
          <x14:cfRule type="expression" priority="9" id="{68AB06AC-5423-4EB2-A7B9-98E522303C2D}">
            <xm:f>$P4=Voreinstellungen!$B$26</xm:f>
            <x14:dxf>
              <fill>
                <patternFill>
                  <bgColor rgb="FF00B0F0"/>
                </patternFill>
              </fill>
            </x14:dxf>
          </x14:cfRule>
          <x14:cfRule type="expression" priority="10" id="{0F65C21C-EAD2-446F-9F1A-18CAAB0BFB75}">
            <xm:f>$P4=Voreinstellungen!$B$20</xm:f>
            <x14:dxf>
              <fill>
                <patternFill>
                  <bgColor theme="4" tint="0.59996337778862885"/>
                </patternFill>
              </fill>
            </x14:dxf>
          </x14:cfRule>
          <x14:cfRule type="expression" priority="11" id="{429FB9EC-89EE-42F7-8FC2-22E420FDA2CA}">
            <xm:f>$P4=Voreinstellungen!$B$21</xm:f>
            <x14:dxf>
              <fill>
                <patternFill>
                  <bgColor indexed="13"/>
                </patternFill>
              </fill>
            </x14:dxf>
          </x14:cfRule>
          <x14:cfRule type="expression" priority="12" id="{3639687F-C5EE-4D89-8207-CD590042448A}">
            <xm:f>$P4=Voreinstellungen!$B$22</xm:f>
            <x14:dxf>
              <fill>
                <patternFill>
                  <bgColor rgb="FFFFFF66"/>
                </patternFill>
              </fill>
            </x14:dxf>
          </x14:cfRule>
          <x14:cfRule type="expression" priority="13" id="{D9D5E81D-B521-42B0-BFFB-A5C9F1DD25EC}">
            <xm:f>$P4=Voreinstellungen!$B$31</xm:f>
            <x14:dxf>
              <fill>
                <patternFill>
                  <bgColor theme="3" tint="0.59996337778862885"/>
                </patternFill>
              </fill>
            </x14:dxf>
          </x14:cfRule>
          <x14:cfRule type="expression" priority="14" id="{6D9E80C6-2946-4E60-864E-88A5C702C2C4}">
            <xm:f>$P4=Voreinstellungen!$B$32</xm:f>
            <x14:dxf>
              <fill>
                <patternFill>
                  <bgColor rgb="FF92D050"/>
                </patternFill>
              </fill>
            </x14:dxf>
          </x14:cfRule>
          <x14:cfRule type="expression" priority="15" id="{E49C2665-A8AC-4AC9-93B5-5E82C93D0642}">
            <xm:f>$P4=Voreinstellungen!$B$33</xm:f>
            <x14:dxf>
              <fill>
                <patternFill>
                  <bgColor theme="9" tint="0.39994506668294322"/>
                </patternFill>
              </fill>
            </x14:dxf>
          </x14:cfRule>
          <xm:sqref>Q4:W34 A4:O34</xm:sqref>
        </x14:conditionalFormatting>
        <x14:conditionalFormatting xmlns:xm="http://schemas.microsoft.com/office/excel/2006/main">
          <x14:cfRule type="expression" priority="18" id="{6AABB0FB-B8A0-4B9D-97D2-2AB4037E5A38}">
            <xm:f>$L4=Voreinstellungen!$B$25</xm:f>
            <x14:dxf>
              <fill>
                <patternFill>
                  <bgColor rgb="FF0070C0"/>
                </patternFill>
              </fill>
            </x14:dxf>
          </x14:cfRule>
          <x14:cfRule type="expression" priority="19" id="{75C6FFEC-A6D4-4837-977F-DF41186141F3}">
            <xm:f>$L4=Voreinstellungen!$B$26</xm:f>
            <x14:dxf>
              <fill>
                <patternFill>
                  <bgColor rgb="FF00B0F0"/>
                </patternFill>
              </fill>
            </x14:dxf>
          </x14:cfRule>
          <x14:cfRule type="expression" priority="20" id="{E382D3DF-E388-4997-B03B-8405AA5AD273}">
            <xm:f>$L4=Voreinstellungen!$B$20</xm:f>
            <x14:dxf>
              <fill>
                <patternFill>
                  <bgColor theme="4" tint="0.59996337778862885"/>
                </patternFill>
              </fill>
            </x14:dxf>
          </x14:cfRule>
          <x14:cfRule type="expression" priority="21" id="{32239D18-1A30-494C-860B-657B7390B427}">
            <xm:f>$L4=Voreinstellungen!$B$21</xm:f>
            <x14:dxf>
              <fill>
                <patternFill>
                  <bgColor indexed="13"/>
                </patternFill>
              </fill>
            </x14:dxf>
          </x14:cfRule>
          <x14:cfRule type="expression" priority="22" id="{0672F8A4-5C91-4B0D-B2BD-0DD38730934A}">
            <xm:f>$L4=Voreinstellungen!$B$22</xm:f>
            <x14:dxf>
              <fill>
                <patternFill>
                  <bgColor rgb="FFFFFF66"/>
                </patternFill>
              </fill>
            </x14:dxf>
          </x14:cfRule>
          <x14:cfRule type="expression" priority="23" id="{21D74E55-B366-434C-9A2C-BDCA0F098210}">
            <xm:f>$L4=Voreinstellungen!$B$31</xm:f>
            <x14:dxf>
              <fill>
                <patternFill>
                  <bgColor theme="3" tint="0.59996337778862885"/>
                </patternFill>
              </fill>
            </x14:dxf>
          </x14:cfRule>
          <x14:cfRule type="expression" priority="24" id="{73841FA7-CB2B-461C-A32D-4E7A8A7F2DD3}">
            <xm:f>$L4=Voreinstellungen!$B$32</xm:f>
            <x14:dxf>
              <fill>
                <patternFill>
                  <bgColor rgb="FF92D050"/>
                </patternFill>
              </fill>
            </x14:dxf>
          </x14:cfRule>
          <x14:cfRule type="expression" priority="25" id="{B813A715-6A20-4D33-AA69-6CD1AD9A2CD7}">
            <xm:f>$L4=Voreinstellungen!$B$33</xm:f>
            <x14:dxf>
              <fill>
                <patternFill>
                  <bgColor theme="9" tint="0.39994506668294322"/>
                </patternFill>
              </fill>
            </x14:dxf>
          </x14:cfRule>
          <xm:sqref>P4:P34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05">
    <tabColor theme="2" tint="-0.249977111117893"/>
    <pageSetUpPr fitToPage="1"/>
  </sheetPr>
  <dimension ref="A1:AD52"/>
  <sheetViews>
    <sheetView showGridLines="0" showZeros="0" zoomScale="90" zoomScaleNormal="90" workbookViewId="0">
      <pane ySplit="3" topLeftCell="A4" activePane="bottomLeft" state="frozen"/>
      <selection activeCell="T6" sqref="T6"/>
      <selection pane="bottomLeft" activeCell="T6" sqref="T6"/>
    </sheetView>
  </sheetViews>
  <sheetFormatPr baseColWidth="10" defaultColWidth="11.5703125" defaultRowHeight="12.75" x14ac:dyDescent="0.2"/>
  <cols>
    <col min="1" max="1" width="9.28515625" style="45" customWidth="1"/>
    <col min="2" max="2" width="5.7109375" style="45" customWidth="1"/>
    <col min="3" max="3" width="18.7109375" style="45" customWidth="1"/>
    <col min="4" max="4" width="11.140625" style="276" bestFit="1" customWidth="1"/>
    <col min="5" max="5" width="7.7109375" style="301" customWidth="1"/>
    <col min="6" max="6" width="7.7109375" style="276" customWidth="1"/>
    <col min="7" max="8" width="12.7109375" style="276" customWidth="1"/>
    <col min="9" max="9" width="4.7109375" style="276" customWidth="1"/>
    <col min="10" max="11" width="7.7109375" style="276" customWidth="1"/>
    <col min="12" max="13" width="12.7109375" style="287" customWidth="1"/>
    <col min="14" max="14" width="4.7109375" style="287" customWidth="1"/>
    <col min="15" max="15" width="6.42578125" style="287" customWidth="1"/>
    <col min="16" max="16" width="3.7109375" style="287" customWidth="1"/>
    <col min="17" max="17" width="7.7109375" style="45" customWidth="1"/>
    <col min="18" max="20" width="7.7109375" style="46" customWidth="1"/>
    <col min="21" max="21" width="4.28515625" style="45" bestFit="1" customWidth="1"/>
    <col min="22" max="22" width="20.7109375" style="45" customWidth="1"/>
    <col min="23" max="23" width="7.7109375" style="45" customWidth="1"/>
    <col min="24" max="24" width="0.7109375" style="45" customWidth="1"/>
    <col min="25" max="25" width="14.7109375" style="45" customWidth="1"/>
    <col min="26" max="27" width="11.5703125" style="45"/>
    <col min="28" max="28" width="13.7109375" style="45" bestFit="1" customWidth="1"/>
    <col min="29" max="29" width="0.7109375" style="45" customWidth="1"/>
    <col min="30" max="16384" width="11.5703125" style="45"/>
  </cols>
  <sheetData>
    <row r="1" spans="1:29" ht="15" customHeight="1" x14ac:dyDescent="0.2">
      <c r="A1" s="678">
        <f>DATE(Jahr,4,1)</f>
        <v>44286</v>
      </c>
      <c r="B1" s="679"/>
      <c r="C1" s="679"/>
      <c r="D1" s="370"/>
      <c r="E1" s="370"/>
      <c r="F1" s="370"/>
      <c r="G1" s="370"/>
      <c r="H1" s="370"/>
      <c r="I1" s="370"/>
      <c r="J1" s="285"/>
      <c r="K1" s="285"/>
      <c r="L1" s="285"/>
      <c r="M1" s="285" t="str">
        <f>"Nettoarbeitstage: "&amp;NETWORKDAYS(A1,EOMONTH(A1,0),Feiertage!A4:A39)</f>
        <v>Nettoarbeitstage: 20</v>
      </c>
      <c r="N1" s="285"/>
      <c r="O1" s="285"/>
      <c r="P1" s="288"/>
      <c r="Q1" s="260"/>
      <c r="R1" s="260"/>
      <c r="S1" s="260"/>
      <c r="T1" s="260"/>
      <c r="U1" s="260"/>
      <c r="V1" s="684" t="str">
        <f>Voreinstellungen!C3</f>
        <v>Vivien Günther</v>
      </c>
      <c r="W1" s="685"/>
    </row>
    <row r="2" spans="1:29" ht="15" customHeight="1" x14ac:dyDescent="0.2">
      <c r="A2" s="680"/>
      <c r="B2" s="681"/>
      <c r="C2" s="681"/>
      <c r="D2" s="371"/>
      <c r="E2" s="371"/>
      <c r="F2" s="371"/>
      <c r="G2" s="371"/>
      <c r="H2" s="371"/>
      <c r="I2" s="371"/>
      <c r="J2" s="371"/>
      <c r="K2" s="371"/>
      <c r="L2" s="286"/>
      <c r="M2" s="286"/>
      <c r="N2" s="286"/>
      <c r="O2" s="286"/>
      <c r="P2" s="289"/>
      <c r="Q2" s="259"/>
      <c r="R2" s="259"/>
      <c r="S2" s="259"/>
      <c r="T2" s="259"/>
      <c r="U2" s="259"/>
      <c r="V2" s="686" t="str">
        <f>IF(ISBLANK(Voreinstellungen!C4),"","Personal-Nr.: "&amp;Voreinstellungen!C4)</f>
        <v>Personal-Nr.: 60161</v>
      </c>
      <c r="W2" s="687"/>
    </row>
    <row r="3" spans="1:29" s="47" customFormat="1" ht="36" customHeight="1" x14ac:dyDescent="0.2">
      <c r="A3" s="204" t="s">
        <v>73</v>
      </c>
      <c r="B3" s="205"/>
      <c r="C3" s="204" t="s">
        <v>26</v>
      </c>
      <c r="D3" s="284" t="s">
        <v>143</v>
      </c>
      <c r="E3" s="282" t="s">
        <v>74</v>
      </c>
      <c r="F3" s="253" t="s">
        <v>75</v>
      </c>
      <c r="G3" s="253" t="s">
        <v>141</v>
      </c>
      <c r="H3" s="110" t="s">
        <v>134</v>
      </c>
      <c r="I3" s="257" t="s">
        <v>135</v>
      </c>
      <c r="J3" s="282" t="s">
        <v>76</v>
      </c>
      <c r="K3" s="206" t="s">
        <v>77</v>
      </c>
      <c r="L3" s="258" t="s">
        <v>142</v>
      </c>
      <c r="M3" s="279" t="s">
        <v>134</v>
      </c>
      <c r="N3" s="257" t="s">
        <v>135</v>
      </c>
      <c r="O3" s="282" t="s">
        <v>144</v>
      </c>
      <c r="P3" s="283" t="s">
        <v>24</v>
      </c>
      <c r="Q3" s="171" t="s">
        <v>78</v>
      </c>
      <c r="R3" s="171" t="s">
        <v>79</v>
      </c>
      <c r="S3" s="171" t="s">
        <v>147</v>
      </c>
      <c r="T3" s="207" t="s">
        <v>80</v>
      </c>
      <c r="U3" s="208" t="s">
        <v>81</v>
      </c>
      <c r="V3" s="209" t="s">
        <v>82</v>
      </c>
      <c r="W3" s="171" t="s">
        <v>83</v>
      </c>
      <c r="X3" s="306">
        <f>PauseGWert</f>
        <v>3.125E-2</v>
      </c>
    </row>
    <row r="4" spans="1:29" s="19" customFormat="1" ht="12" x14ac:dyDescent="0.2">
      <c r="A4" s="311">
        <f>A1</f>
        <v>44286</v>
      </c>
      <c r="B4" s="210">
        <f t="shared" ref="B4:B34" si="0">A4</f>
        <v>44286</v>
      </c>
      <c r="C4" s="261" t="str">
        <f t="shared" ref="C4:C31" si="1">IF(ISERROR(VLOOKUP(B4,Feiertage,2,FALSE)),"",(VLOOKUP(B4,Feiertage,2,FALSE)))</f>
        <v/>
      </c>
      <c r="D4" s="366"/>
      <c r="E4" s="351"/>
      <c r="F4" s="254"/>
      <c r="G4" s="307"/>
      <c r="H4" s="318"/>
      <c r="I4" s="347">
        <f>IFERROR(VLOOKUP(D4&amp;G4,tbl_Entfernung[[Verketten]:[Entfernung]],2,FALSE),"")</f>
        <v>0</v>
      </c>
      <c r="J4" s="360"/>
      <c r="K4" s="351"/>
      <c r="L4" s="307"/>
      <c r="M4" s="314"/>
      <c r="N4" s="320">
        <f>IFERROR(VLOOKUP(G4&amp;L4,tbl_Entfernung[[Verketten]:[Entfernung]],2,FALSE),"")</f>
        <v>0</v>
      </c>
      <c r="O4" s="315">
        <f>IF(S4&gt;PauseGTime,PauseGWert,IF(S4&gt;PauseKTime,PauseKWert,IF(S4&lt;=PauseKTime,0,WENN)))</f>
        <v>0</v>
      </c>
      <c r="P4" s="363"/>
      <c r="Q4" s="355">
        <f t="shared" ref="Q4:Q34" si="2">IF(A4="",0,IF(IF(E4&lt;F4,F4-E4,IF(F4="",0,F4-E4+1))+IF(J4&lt;K4,K4-J4,IF(K4="",0,K4-J4+1))-O4&gt;0,IF(E4&lt;F4,F4-E4,IF(F4="",0,F4-E4+1))+IF(J4&lt;K4,K4-J4,IF(K4="",0,K4-J4+1))-O4,0))</f>
        <v>0</v>
      </c>
      <c r="R4" s="224">
        <f t="shared" ref="R4:R34" ca="1" si="3">IF(AND(C4&lt;&gt;"",P4=""),IF(ISERROR(VLOOKUP(B4,Feiertage,2,FALSE)),0,VLOOKUP(B4,Feiertage,3,FALSE)*U4),IF(A4="",0,IF(P4&lt;&gt;"",IF(UPPER(P4)=VLOOKUP(UPPER(P4),Code,1,FALSE),IF(OR(VLOOKUP(P4,Code,2,FALSE)="NONE",VLOOKUP(P4,Code,2,FALSE)="XTRA",VLOOKUP(P4,Code,2,FALSE)="REST"),Q4,IF(ISERROR(VLOOKUP(B4,Feiertage,2,FALSE)),VLOOKUP(P4,Code,2,FALSE)*U4,IF(VLOOKUP(B4,Feiertage,3,FALSE)=0.5,IF(OR(UPPER(P4)="G",UPPER(P4)="H"),VLOOKUP(B4,Feiertage,3,FALSE)*VLOOKUP(P4,Code,2,FALSE)*U4,0),VLOOKUP(B4,Feiertage,3,FALSE)*VLOOKUP(P4,Code,2,FALSE)*U4))),U4),U4)))</f>
        <v>0.29166666666666669</v>
      </c>
      <c r="S4" s="224">
        <f>IF(A4="",0,IF(IF(E4&lt;F4,F4-E4,IF(F4="",0,F4-E4+1))+IF(J4&lt;K4,K4-J4,IF(K4="",0,K4-J4+1))&gt;0,IF(E4&lt;F4,F4-E4,IF(F4="",0,F4-E4+1))+IF(J4&lt;K4,K4-J4,IF(K4="",0,K4-J4+1)),0))</f>
        <v>0</v>
      </c>
      <c r="T4" s="211">
        <f t="shared" ref="T4:T34" ca="1" si="4">IF(A4="",0,ROUND(Q4-R4,14))</f>
        <v>-0.29166666666667002</v>
      </c>
      <c r="U4" s="250">
        <f t="shared" ref="U4:U34" ca="1" si="5">IF(A4="",0,INDIRECT(ADDRESS(MATCH(A4,SOLL_AZ_Ab,1)+11,WEEKDAY(A4,2)+3,,,"Voreinstellungen"),TRUE))</f>
        <v>0.29166666666666669</v>
      </c>
      <c r="V4" s="212"/>
      <c r="W4" s="213" t="e">
        <f ca="1">IF(A4="","",IF(T4&lt;&gt;"",ROUND(J36+T4,14),J36))</f>
        <v>#REF!</v>
      </c>
      <c r="Y4" s="305"/>
      <c r="AB4" s="344">
        <f>MOD(F4-E4,1)*24</f>
        <v>0</v>
      </c>
      <c r="AC4" s="344">
        <f>MOD(K4-J4,1)*24</f>
        <v>0</v>
      </c>
    </row>
    <row r="5" spans="1:29" s="19" customFormat="1" ht="12" x14ac:dyDescent="0.2">
      <c r="A5" s="312">
        <f t="shared" ref="A5:A31" si="6">A4+1</f>
        <v>44287</v>
      </c>
      <c r="B5" s="129">
        <f t="shared" si="0"/>
        <v>44287</v>
      </c>
      <c r="C5" s="262" t="str">
        <f t="shared" si="1"/>
        <v/>
      </c>
      <c r="D5" s="358"/>
      <c r="E5" s="352"/>
      <c r="F5" s="255"/>
      <c r="G5" s="308"/>
      <c r="H5" s="308"/>
      <c r="I5" s="348">
        <f>IFERROR(VLOOKUP(D5&amp;G5,tbl_Entfernung[[Verketten]:[Entfernung]],2,FALSE),"")</f>
        <v>0</v>
      </c>
      <c r="J5" s="361"/>
      <c r="K5" s="352"/>
      <c r="L5" s="308"/>
      <c r="M5" s="308"/>
      <c r="N5" s="321">
        <f>IFERROR(VLOOKUP(G5&amp;L5,tbl_Entfernung[[Verketten]:[Entfernung]],2,FALSE),"")</f>
        <v>0</v>
      </c>
      <c r="O5" s="316">
        <f>IF(S5&gt;PauseGTime,PauseGWert,IF(S5&gt;PauseKTime,PauseKWert,IF(S5&lt;=PauseKTime,0,WENN)))</f>
        <v>0</v>
      </c>
      <c r="P5" s="364"/>
      <c r="Q5" s="356">
        <f t="shared" si="2"/>
        <v>0</v>
      </c>
      <c r="R5" s="225">
        <f t="shared" ca="1" si="3"/>
        <v>0.29166666666666669</v>
      </c>
      <c r="S5" s="225">
        <f t="shared" ref="S5:S34" si="7">IF(A5="",0,IF(IF(E5&lt;F5,F5-E5,IF(F5="",0,F5-E5+1))+IF(J5&lt;K5,K5-J5,IF(K5="",0,K5-J5+1))&gt;0,IF(E5&lt;F5,F5-E5,IF(F5="",0,F5-E5+1))+IF(J5&lt;K5,K5-J5,IF(K5="",0,K5-J5+1)),0))</f>
        <v>0</v>
      </c>
      <c r="T5" s="130">
        <f t="shared" ca="1" si="4"/>
        <v>-0.29166666666667002</v>
      </c>
      <c r="U5" s="251">
        <f t="shared" ca="1" si="5"/>
        <v>0.29166666666666669</v>
      </c>
      <c r="V5" s="131"/>
      <c r="W5" s="214" t="e">
        <f t="shared" ref="W5:W34" ca="1" si="8">IF(A5="","",IF(T5&lt;&gt;"",ROUND(W4+T5,14),W4))</f>
        <v>#REF!</v>
      </c>
      <c r="AB5" s="345">
        <f t="shared" ref="AB5:AB34" si="9">MOD(F5-E5,1)*24</f>
        <v>0</v>
      </c>
      <c r="AC5" s="345">
        <f t="shared" ref="AC5:AC34" si="10">MOD(K5-J5,1)*24</f>
        <v>0</v>
      </c>
    </row>
    <row r="6" spans="1:29" s="19" customFormat="1" ht="12" x14ac:dyDescent="0.2">
      <c r="A6" s="312">
        <f t="shared" si="6"/>
        <v>44288</v>
      </c>
      <c r="B6" s="129">
        <f t="shared" si="0"/>
        <v>44288</v>
      </c>
      <c r="C6" s="262" t="str">
        <f t="shared" si="1"/>
        <v/>
      </c>
      <c r="D6" s="358"/>
      <c r="E6" s="352"/>
      <c r="F6" s="255"/>
      <c r="G6" s="309"/>
      <c r="H6" s="309"/>
      <c r="I6" s="348">
        <f>IFERROR(VLOOKUP(D6&amp;G6,tbl_Entfernung[[Verketten]:[Entfernung]],2,FALSE),"")</f>
        <v>0</v>
      </c>
      <c r="J6" s="361"/>
      <c r="K6" s="352"/>
      <c r="L6" s="309"/>
      <c r="M6" s="309"/>
      <c r="N6" s="321">
        <f>IFERROR(VLOOKUP(G6&amp;L6,tbl_Entfernung[[Verketten]:[Entfernung]],2,FALSE),"")</f>
        <v>0</v>
      </c>
      <c r="O6" s="316">
        <f>IF(S6&gt;PauseGTime,PauseGWert,IF(S6&gt;PauseKTime,PauseKWert,IF(S6&lt;=PauseKTime,0,WENN)))</f>
        <v>0</v>
      </c>
      <c r="P6" s="364"/>
      <c r="Q6" s="356">
        <f t="shared" si="2"/>
        <v>0</v>
      </c>
      <c r="R6" s="225">
        <f t="shared" ca="1" si="3"/>
        <v>0.29166666666666669</v>
      </c>
      <c r="S6" s="225">
        <f t="shared" si="7"/>
        <v>0</v>
      </c>
      <c r="T6" s="130">
        <f t="shared" ca="1" si="4"/>
        <v>-0.29166666666667002</v>
      </c>
      <c r="U6" s="251">
        <f t="shared" ca="1" si="5"/>
        <v>0.29166666666666669</v>
      </c>
      <c r="V6" s="131"/>
      <c r="W6" s="214" t="e">
        <f t="shared" ca="1" si="8"/>
        <v>#REF!</v>
      </c>
      <c r="AB6" s="345">
        <f t="shared" si="9"/>
        <v>0</v>
      </c>
      <c r="AC6" s="345">
        <f t="shared" si="10"/>
        <v>0</v>
      </c>
    </row>
    <row r="7" spans="1:29" s="19" customFormat="1" ht="12" x14ac:dyDescent="0.2">
      <c r="A7" s="312">
        <f t="shared" si="6"/>
        <v>44289</v>
      </c>
      <c r="B7" s="129">
        <f t="shared" si="0"/>
        <v>44289</v>
      </c>
      <c r="C7" s="262" t="str">
        <f t="shared" si="1"/>
        <v/>
      </c>
      <c r="D7" s="358"/>
      <c r="E7" s="352"/>
      <c r="F7" s="255"/>
      <c r="G7" s="309"/>
      <c r="H7" s="309"/>
      <c r="I7" s="348">
        <f>IFERROR(VLOOKUP(D7&amp;G7,tbl_Entfernung[[Verketten]:[Entfernung]],2,FALSE),"")</f>
        <v>0</v>
      </c>
      <c r="J7" s="361"/>
      <c r="K7" s="352"/>
      <c r="L7" s="309"/>
      <c r="M7" s="309"/>
      <c r="N7" s="321">
        <f>IFERROR(VLOOKUP(G7&amp;L7,tbl_Entfernung[[Verketten]:[Entfernung]],2,FALSE),"")</f>
        <v>0</v>
      </c>
      <c r="O7" s="316">
        <f>IF(S7&gt;PauseGTime,PauseGWert,IF(S7&gt;PauseKTime,PauseKWert,IF(S7&lt;=PauseKTime,0,WENN)))</f>
        <v>0</v>
      </c>
      <c r="P7" s="364"/>
      <c r="Q7" s="356">
        <f t="shared" si="2"/>
        <v>0</v>
      </c>
      <c r="R7" s="225">
        <f t="shared" ca="1" si="3"/>
        <v>0.29166666666666669</v>
      </c>
      <c r="S7" s="225">
        <f t="shared" si="7"/>
        <v>0</v>
      </c>
      <c r="T7" s="130">
        <f t="shared" ca="1" si="4"/>
        <v>-0.29166666666667002</v>
      </c>
      <c r="U7" s="251">
        <f t="shared" ca="1" si="5"/>
        <v>0.29166666666666669</v>
      </c>
      <c r="V7" s="131"/>
      <c r="W7" s="214" t="e">
        <f t="shared" ca="1" si="8"/>
        <v>#REF!</v>
      </c>
      <c r="AB7" s="345">
        <f t="shared" si="9"/>
        <v>0</v>
      </c>
      <c r="AC7" s="345">
        <f t="shared" si="10"/>
        <v>0</v>
      </c>
    </row>
    <row r="8" spans="1:29" s="19" customFormat="1" ht="12" x14ac:dyDescent="0.2">
      <c r="A8" s="312">
        <f t="shared" si="6"/>
        <v>44290</v>
      </c>
      <c r="B8" s="129">
        <f t="shared" si="0"/>
        <v>44290</v>
      </c>
      <c r="C8" s="262" t="str">
        <f t="shared" si="1"/>
        <v/>
      </c>
      <c r="D8" s="358"/>
      <c r="E8" s="352"/>
      <c r="F8" s="255"/>
      <c r="G8" s="309"/>
      <c r="H8" s="309"/>
      <c r="I8" s="348">
        <f>IFERROR(VLOOKUP(D8&amp;G8,tbl_Entfernung[[Verketten]:[Entfernung]],2,FALSE),"")</f>
        <v>0</v>
      </c>
      <c r="J8" s="361"/>
      <c r="K8" s="352"/>
      <c r="L8" s="309"/>
      <c r="M8" s="309"/>
      <c r="N8" s="321">
        <f>IFERROR(VLOOKUP(G8&amp;L8,tbl_Entfernung[[Verketten]:[Entfernung]],2,FALSE),"")</f>
        <v>0</v>
      </c>
      <c r="O8" s="316">
        <f>IF(S8&gt;PauseGTime,PauseGWert,IF(S8&gt;PauseKTime,PauseKWert,IF(S8&lt;=PauseKTime,0,WENN)))</f>
        <v>0</v>
      </c>
      <c r="P8" s="364"/>
      <c r="Q8" s="356">
        <f t="shared" si="2"/>
        <v>0</v>
      </c>
      <c r="R8" s="225">
        <f t="shared" ca="1" si="3"/>
        <v>0</v>
      </c>
      <c r="S8" s="225">
        <f t="shared" si="7"/>
        <v>0</v>
      </c>
      <c r="T8" s="130">
        <f t="shared" ca="1" si="4"/>
        <v>0</v>
      </c>
      <c r="U8" s="251">
        <f t="shared" ca="1" si="5"/>
        <v>0</v>
      </c>
      <c r="V8" s="131"/>
      <c r="W8" s="214" t="e">
        <f t="shared" ca="1" si="8"/>
        <v>#REF!</v>
      </c>
      <c r="AB8" s="345">
        <f t="shared" si="9"/>
        <v>0</v>
      </c>
      <c r="AC8" s="345">
        <f t="shared" si="10"/>
        <v>0</v>
      </c>
    </row>
    <row r="9" spans="1:29" s="19" customFormat="1" ht="12" x14ac:dyDescent="0.2">
      <c r="A9" s="312">
        <f t="shared" si="6"/>
        <v>44291</v>
      </c>
      <c r="B9" s="129">
        <f t="shared" si="0"/>
        <v>44291</v>
      </c>
      <c r="C9" s="262" t="str">
        <f t="shared" si="1"/>
        <v/>
      </c>
      <c r="D9" s="358"/>
      <c r="E9" s="352"/>
      <c r="F9" s="255"/>
      <c r="G9" s="309"/>
      <c r="H9" s="309"/>
      <c r="I9" s="349">
        <f>IFERROR(VLOOKUP(D9&amp;G9,tbl_Entfernung[[Verketten]:[Entfernung]],2,FALSE),"")</f>
        <v>0</v>
      </c>
      <c r="J9" s="361"/>
      <c r="K9" s="352"/>
      <c r="L9" s="309"/>
      <c r="M9" s="309"/>
      <c r="N9" s="322">
        <f>IFERROR(VLOOKUP(G9&amp;L9,tbl_Entfernung[[Verketten]:[Entfernung]],2,FALSE),"")</f>
        <v>0</v>
      </c>
      <c r="O9" s="316">
        <f>IF(S9&gt;PauseGTime,PauseGWert,IF(S9&gt;PauseKTime,PauseKWert,IF(S9&lt;=PauseKTime,0,WENN)))</f>
        <v>0</v>
      </c>
      <c r="P9" s="364"/>
      <c r="Q9" s="356">
        <f t="shared" si="2"/>
        <v>0</v>
      </c>
      <c r="R9" s="225">
        <f t="shared" ca="1" si="3"/>
        <v>0</v>
      </c>
      <c r="S9" s="225">
        <f t="shared" si="7"/>
        <v>0</v>
      </c>
      <c r="T9" s="130">
        <f t="shared" ca="1" si="4"/>
        <v>0</v>
      </c>
      <c r="U9" s="251">
        <f t="shared" ca="1" si="5"/>
        <v>0</v>
      </c>
      <c r="V9" s="131"/>
      <c r="W9" s="214" t="e">
        <f t="shared" ca="1" si="8"/>
        <v>#REF!</v>
      </c>
      <c r="AB9" s="345">
        <f t="shared" si="9"/>
        <v>0</v>
      </c>
      <c r="AC9" s="345">
        <f t="shared" si="10"/>
        <v>0</v>
      </c>
    </row>
    <row r="10" spans="1:29" s="19" customFormat="1" ht="12" x14ac:dyDescent="0.2">
      <c r="A10" s="312">
        <f t="shared" si="6"/>
        <v>44292</v>
      </c>
      <c r="B10" s="129">
        <f t="shared" si="0"/>
        <v>44292</v>
      </c>
      <c r="C10" s="262" t="str">
        <f t="shared" si="1"/>
        <v/>
      </c>
      <c r="D10" s="358"/>
      <c r="E10" s="352"/>
      <c r="F10" s="255"/>
      <c r="G10" s="309"/>
      <c r="H10" s="309"/>
      <c r="I10" s="349">
        <f>IFERROR(VLOOKUP(D10&amp;G10,tbl_Entfernung[[Verketten]:[Entfernung]],2,FALSE),"")</f>
        <v>0</v>
      </c>
      <c r="J10" s="361"/>
      <c r="K10" s="352"/>
      <c r="L10" s="309"/>
      <c r="M10" s="309"/>
      <c r="N10" s="322">
        <f>IFERROR(VLOOKUP(G10&amp;L10,tbl_Entfernung[[Verketten]:[Entfernung]],2,FALSE),"")</f>
        <v>0</v>
      </c>
      <c r="O10" s="316">
        <f>IF(S10&gt;PauseGTime,PauseGWert,IF(S10&gt;PauseKTime,PauseKWert,IF(S10&lt;=PauseKTime,0,WENN)))</f>
        <v>0</v>
      </c>
      <c r="P10" s="364"/>
      <c r="Q10" s="356">
        <f t="shared" si="2"/>
        <v>0</v>
      </c>
      <c r="R10" s="225">
        <f t="shared" ca="1" si="3"/>
        <v>0.29166666666666669</v>
      </c>
      <c r="S10" s="225">
        <f t="shared" si="7"/>
        <v>0</v>
      </c>
      <c r="T10" s="130">
        <f t="shared" ca="1" si="4"/>
        <v>-0.29166666666667002</v>
      </c>
      <c r="U10" s="251">
        <f t="shared" ca="1" si="5"/>
        <v>0.29166666666666669</v>
      </c>
      <c r="V10" s="131"/>
      <c r="W10" s="214" t="e">
        <f t="shared" ca="1" si="8"/>
        <v>#REF!</v>
      </c>
      <c r="AB10" s="345">
        <f t="shared" si="9"/>
        <v>0</v>
      </c>
      <c r="AC10" s="345">
        <f t="shared" si="10"/>
        <v>0</v>
      </c>
    </row>
    <row r="11" spans="1:29" s="19" customFormat="1" ht="12" x14ac:dyDescent="0.2">
      <c r="A11" s="312">
        <f t="shared" si="6"/>
        <v>44293</v>
      </c>
      <c r="B11" s="129">
        <f t="shared" si="0"/>
        <v>44293</v>
      </c>
      <c r="C11" s="262" t="str">
        <f t="shared" si="1"/>
        <v/>
      </c>
      <c r="D11" s="358"/>
      <c r="E11" s="352"/>
      <c r="F11" s="255"/>
      <c r="G11" s="309"/>
      <c r="H11" s="309"/>
      <c r="I11" s="348">
        <f>IFERROR(VLOOKUP(D11&amp;G11,tbl_Entfernung[[Verketten]:[Entfernung]],2,FALSE),"")</f>
        <v>0</v>
      </c>
      <c r="J11" s="361"/>
      <c r="K11" s="352"/>
      <c r="L11" s="309"/>
      <c r="M11" s="309"/>
      <c r="N11" s="321">
        <f>IFERROR(VLOOKUP(G11&amp;L11,tbl_Entfernung[[Verketten]:[Entfernung]],2,FALSE),"")</f>
        <v>0</v>
      </c>
      <c r="O11" s="316">
        <f>IF(S11&gt;PauseGTime,PauseGWert,IF(S11&gt;PauseKTime,PauseKWert,IF(S11&lt;=PauseKTime,0,WENN)))</f>
        <v>0</v>
      </c>
      <c r="P11" s="364"/>
      <c r="Q11" s="356">
        <f t="shared" si="2"/>
        <v>0</v>
      </c>
      <c r="R11" s="225">
        <f t="shared" ca="1" si="3"/>
        <v>0.29166666666666669</v>
      </c>
      <c r="S11" s="225">
        <f t="shared" si="7"/>
        <v>0</v>
      </c>
      <c r="T11" s="130">
        <f t="shared" ca="1" si="4"/>
        <v>-0.29166666666667002</v>
      </c>
      <c r="U11" s="251">
        <f t="shared" ca="1" si="5"/>
        <v>0.29166666666666669</v>
      </c>
      <c r="V11" s="131"/>
      <c r="W11" s="214" t="e">
        <f t="shared" ca="1" si="8"/>
        <v>#REF!</v>
      </c>
      <c r="AB11" s="345">
        <f t="shared" si="9"/>
        <v>0</v>
      </c>
      <c r="AC11" s="345">
        <f t="shared" si="10"/>
        <v>0</v>
      </c>
    </row>
    <row r="12" spans="1:29" s="19" customFormat="1" ht="12" x14ac:dyDescent="0.2">
      <c r="A12" s="312">
        <f t="shared" si="6"/>
        <v>44294</v>
      </c>
      <c r="B12" s="129">
        <f t="shared" si="0"/>
        <v>44294</v>
      </c>
      <c r="C12" s="262" t="str">
        <f t="shared" si="1"/>
        <v/>
      </c>
      <c r="D12" s="358"/>
      <c r="E12" s="352"/>
      <c r="F12" s="255"/>
      <c r="G12" s="309"/>
      <c r="H12" s="309"/>
      <c r="I12" s="348">
        <f>IFERROR(VLOOKUP(D12&amp;G12,tbl_Entfernung[[Verketten]:[Entfernung]],2,FALSE),"")</f>
        <v>0</v>
      </c>
      <c r="J12" s="361"/>
      <c r="K12" s="352"/>
      <c r="L12" s="309"/>
      <c r="M12" s="309"/>
      <c r="N12" s="321">
        <f>IFERROR(VLOOKUP(G12&amp;L12,tbl_Entfernung[[Verketten]:[Entfernung]],2,FALSE),"")</f>
        <v>0</v>
      </c>
      <c r="O12" s="316">
        <f>IF(S12&gt;PauseGTime,PauseGWert,IF(S12&gt;PauseKTime,PauseKWert,IF(S12&lt;=PauseKTime,0,WENN)))</f>
        <v>0</v>
      </c>
      <c r="P12" s="364"/>
      <c r="Q12" s="356">
        <f t="shared" si="2"/>
        <v>0</v>
      </c>
      <c r="R12" s="225">
        <f t="shared" ca="1" si="3"/>
        <v>0.29166666666666669</v>
      </c>
      <c r="S12" s="225">
        <f t="shared" si="7"/>
        <v>0</v>
      </c>
      <c r="T12" s="130">
        <f t="shared" ca="1" si="4"/>
        <v>-0.29166666666667002</v>
      </c>
      <c r="U12" s="251">
        <f t="shared" ca="1" si="5"/>
        <v>0.29166666666666669</v>
      </c>
      <c r="V12" s="131"/>
      <c r="W12" s="214" t="e">
        <f t="shared" ca="1" si="8"/>
        <v>#REF!</v>
      </c>
      <c r="AB12" s="345">
        <f t="shared" si="9"/>
        <v>0</v>
      </c>
      <c r="AC12" s="345">
        <f t="shared" si="10"/>
        <v>0</v>
      </c>
    </row>
    <row r="13" spans="1:29" s="19" customFormat="1" ht="12" x14ac:dyDescent="0.2">
      <c r="A13" s="312">
        <f t="shared" si="6"/>
        <v>44295</v>
      </c>
      <c r="B13" s="129">
        <f t="shared" si="0"/>
        <v>44295</v>
      </c>
      <c r="C13" s="262" t="str">
        <f t="shared" si="1"/>
        <v/>
      </c>
      <c r="D13" s="358"/>
      <c r="E13" s="352"/>
      <c r="F13" s="255"/>
      <c r="G13" s="309"/>
      <c r="H13" s="309"/>
      <c r="I13" s="348">
        <f>IFERROR(VLOOKUP(D13&amp;G13,tbl_Entfernung[[Verketten]:[Entfernung]],2,FALSE),"")</f>
        <v>0</v>
      </c>
      <c r="J13" s="361"/>
      <c r="K13" s="352"/>
      <c r="L13" s="309"/>
      <c r="M13" s="309"/>
      <c r="N13" s="321">
        <f>IFERROR(VLOOKUP(G13&amp;L13,tbl_Entfernung[[Verketten]:[Entfernung]],2,FALSE),"")</f>
        <v>0</v>
      </c>
      <c r="O13" s="316">
        <f>IF(S13&gt;PauseGTime,PauseGWert,IF(S13&gt;PauseKTime,PauseKWert,IF(S13&lt;=PauseKTime,0,WENN)))</f>
        <v>0</v>
      </c>
      <c r="P13" s="364"/>
      <c r="Q13" s="356">
        <f t="shared" si="2"/>
        <v>0</v>
      </c>
      <c r="R13" s="225">
        <f t="shared" ca="1" si="3"/>
        <v>0.29166666666666669</v>
      </c>
      <c r="S13" s="225">
        <f t="shared" si="7"/>
        <v>0</v>
      </c>
      <c r="T13" s="130">
        <f t="shared" ca="1" si="4"/>
        <v>-0.29166666666667002</v>
      </c>
      <c r="U13" s="251">
        <f t="shared" ca="1" si="5"/>
        <v>0.29166666666666669</v>
      </c>
      <c r="V13" s="131"/>
      <c r="W13" s="214" t="e">
        <f t="shared" ca="1" si="8"/>
        <v>#REF!</v>
      </c>
      <c r="AB13" s="345">
        <f t="shared" si="9"/>
        <v>0</v>
      </c>
      <c r="AC13" s="345">
        <f t="shared" si="10"/>
        <v>0</v>
      </c>
    </row>
    <row r="14" spans="1:29" s="19" customFormat="1" ht="12" x14ac:dyDescent="0.2">
      <c r="A14" s="312">
        <f t="shared" si="6"/>
        <v>44296</v>
      </c>
      <c r="B14" s="129">
        <f t="shared" si="0"/>
        <v>44296</v>
      </c>
      <c r="C14" s="262" t="str">
        <f t="shared" si="1"/>
        <v/>
      </c>
      <c r="D14" s="358"/>
      <c r="E14" s="352"/>
      <c r="F14" s="255"/>
      <c r="G14" s="309"/>
      <c r="H14" s="309"/>
      <c r="I14" s="348">
        <f>IFERROR(VLOOKUP(D14&amp;G14,tbl_Entfernung[[Verketten]:[Entfernung]],2,FALSE),"")</f>
        <v>0</v>
      </c>
      <c r="J14" s="361"/>
      <c r="K14" s="352"/>
      <c r="L14" s="309"/>
      <c r="M14" s="309"/>
      <c r="N14" s="321">
        <f>IFERROR(VLOOKUP(G14&amp;L14,tbl_Entfernung[[Verketten]:[Entfernung]],2,FALSE),"")</f>
        <v>0</v>
      </c>
      <c r="O14" s="316">
        <f>IF(S14&gt;PauseGTime,PauseGWert,IF(S14&gt;PauseKTime,PauseKWert,IF(S14&lt;=PauseKTime,0,WENN)))</f>
        <v>0</v>
      </c>
      <c r="P14" s="364"/>
      <c r="Q14" s="356">
        <f t="shared" si="2"/>
        <v>0</v>
      </c>
      <c r="R14" s="225">
        <f t="shared" ca="1" si="3"/>
        <v>0.29166666666666669</v>
      </c>
      <c r="S14" s="225">
        <f t="shared" si="7"/>
        <v>0</v>
      </c>
      <c r="T14" s="130">
        <f t="shared" ca="1" si="4"/>
        <v>-0.29166666666667002</v>
      </c>
      <c r="U14" s="251">
        <f t="shared" ca="1" si="5"/>
        <v>0.29166666666666669</v>
      </c>
      <c r="V14" s="131"/>
      <c r="W14" s="214" t="e">
        <f t="shared" ca="1" si="8"/>
        <v>#REF!</v>
      </c>
      <c r="AB14" s="345">
        <f t="shared" si="9"/>
        <v>0</v>
      </c>
      <c r="AC14" s="345">
        <f t="shared" si="10"/>
        <v>0</v>
      </c>
    </row>
    <row r="15" spans="1:29" s="19" customFormat="1" ht="12" x14ac:dyDescent="0.2">
      <c r="A15" s="312">
        <f t="shared" si="6"/>
        <v>44297</v>
      </c>
      <c r="B15" s="129">
        <f t="shared" si="0"/>
        <v>44297</v>
      </c>
      <c r="C15" s="262" t="str">
        <f t="shared" si="1"/>
        <v/>
      </c>
      <c r="D15" s="358"/>
      <c r="E15" s="352"/>
      <c r="F15" s="255"/>
      <c r="G15" s="309"/>
      <c r="H15" s="309"/>
      <c r="I15" s="348">
        <f>IFERROR(VLOOKUP(D15&amp;G15,tbl_Entfernung[[Verketten]:[Entfernung]],2,FALSE),"")</f>
        <v>0</v>
      </c>
      <c r="J15" s="361"/>
      <c r="K15" s="352"/>
      <c r="L15" s="309"/>
      <c r="M15" s="309"/>
      <c r="N15" s="321">
        <f>IFERROR(VLOOKUP(G15&amp;L15,tbl_Entfernung[[Verketten]:[Entfernung]],2,FALSE),"")</f>
        <v>0</v>
      </c>
      <c r="O15" s="316">
        <f>IF(S15&gt;PauseGTime,PauseGWert,IF(S15&gt;PauseKTime,PauseKWert,IF(S15&lt;=PauseKTime,0,WENN)))</f>
        <v>0</v>
      </c>
      <c r="P15" s="364"/>
      <c r="Q15" s="356">
        <f t="shared" si="2"/>
        <v>0</v>
      </c>
      <c r="R15" s="225">
        <f t="shared" ca="1" si="3"/>
        <v>0</v>
      </c>
      <c r="S15" s="225">
        <f t="shared" si="7"/>
        <v>0</v>
      </c>
      <c r="T15" s="130">
        <f t="shared" ca="1" si="4"/>
        <v>0</v>
      </c>
      <c r="U15" s="251">
        <f t="shared" ca="1" si="5"/>
        <v>0</v>
      </c>
      <c r="V15" s="131"/>
      <c r="W15" s="214" t="e">
        <f t="shared" ca="1" si="8"/>
        <v>#REF!</v>
      </c>
      <c r="AB15" s="345">
        <f t="shared" si="9"/>
        <v>0</v>
      </c>
      <c r="AC15" s="345">
        <f t="shared" si="10"/>
        <v>0</v>
      </c>
    </row>
    <row r="16" spans="1:29" s="19" customFormat="1" ht="12" x14ac:dyDescent="0.2">
      <c r="A16" s="312">
        <f t="shared" si="6"/>
        <v>44298</v>
      </c>
      <c r="B16" s="129">
        <f t="shared" si="0"/>
        <v>44298</v>
      </c>
      <c r="C16" s="262" t="str">
        <f t="shared" si="1"/>
        <v/>
      </c>
      <c r="D16" s="358"/>
      <c r="E16" s="352"/>
      <c r="F16" s="255"/>
      <c r="G16" s="309"/>
      <c r="H16" s="309"/>
      <c r="I16" s="349">
        <f>IFERROR(VLOOKUP(D16&amp;G16,tbl_Entfernung[[Verketten]:[Entfernung]],2,FALSE),"")</f>
        <v>0</v>
      </c>
      <c r="J16" s="361"/>
      <c r="K16" s="352"/>
      <c r="L16" s="309"/>
      <c r="M16" s="309"/>
      <c r="N16" s="322">
        <f>IFERROR(VLOOKUP(G16&amp;L16,tbl_Entfernung[[Verketten]:[Entfernung]],2,FALSE),"")</f>
        <v>0</v>
      </c>
      <c r="O16" s="316">
        <f>IF(S16&gt;PauseGTime,PauseGWert,IF(S16&gt;PauseKTime,PauseKWert,IF(S16&lt;=PauseKTime,0,WENN)))</f>
        <v>0</v>
      </c>
      <c r="P16" s="364"/>
      <c r="Q16" s="356">
        <f t="shared" si="2"/>
        <v>0</v>
      </c>
      <c r="R16" s="225">
        <f t="shared" ca="1" si="3"/>
        <v>0</v>
      </c>
      <c r="S16" s="225">
        <f t="shared" si="7"/>
        <v>0</v>
      </c>
      <c r="T16" s="130">
        <f t="shared" ca="1" si="4"/>
        <v>0</v>
      </c>
      <c r="U16" s="251">
        <f t="shared" ca="1" si="5"/>
        <v>0</v>
      </c>
      <c r="V16" s="131"/>
      <c r="W16" s="214" t="e">
        <f t="shared" ca="1" si="8"/>
        <v>#REF!</v>
      </c>
      <c r="AB16" s="345">
        <f t="shared" si="9"/>
        <v>0</v>
      </c>
      <c r="AC16" s="345">
        <f t="shared" si="10"/>
        <v>0</v>
      </c>
    </row>
    <row r="17" spans="1:29" s="19" customFormat="1" ht="12" x14ac:dyDescent="0.2">
      <c r="A17" s="312">
        <f t="shared" si="6"/>
        <v>44299</v>
      </c>
      <c r="B17" s="129">
        <f t="shared" si="0"/>
        <v>44299</v>
      </c>
      <c r="C17" s="262" t="str">
        <f t="shared" si="1"/>
        <v/>
      </c>
      <c r="D17" s="358"/>
      <c r="E17" s="352"/>
      <c r="F17" s="255"/>
      <c r="G17" s="309"/>
      <c r="H17" s="309"/>
      <c r="I17" s="349">
        <f>IFERROR(VLOOKUP(D17&amp;G17,tbl_Entfernung[[Verketten]:[Entfernung]],2,FALSE),"")</f>
        <v>0</v>
      </c>
      <c r="J17" s="361"/>
      <c r="K17" s="352"/>
      <c r="L17" s="309"/>
      <c r="M17" s="309"/>
      <c r="N17" s="322">
        <f>IFERROR(VLOOKUP(G17&amp;L17,tbl_Entfernung[[Verketten]:[Entfernung]],2,FALSE),"")</f>
        <v>0</v>
      </c>
      <c r="O17" s="316">
        <f>IF(S17&gt;PauseGTime,PauseGWert,IF(S17&gt;PauseKTime,PauseKWert,IF(S17&lt;=PauseKTime,0,WENN)))</f>
        <v>0</v>
      </c>
      <c r="P17" s="364"/>
      <c r="Q17" s="356">
        <f t="shared" si="2"/>
        <v>0</v>
      </c>
      <c r="R17" s="225">
        <f t="shared" ca="1" si="3"/>
        <v>0.29166666666666669</v>
      </c>
      <c r="S17" s="225">
        <f t="shared" si="7"/>
        <v>0</v>
      </c>
      <c r="T17" s="130">
        <f t="shared" ca="1" si="4"/>
        <v>-0.29166666666667002</v>
      </c>
      <c r="U17" s="251">
        <f t="shared" ca="1" si="5"/>
        <v>0.29166666666666669</v>
      </c>
      <c r="V17" s="131"/>
      <c r="W17" s="214" t="e">
        <f t="shared" ca="1" si="8"/>
        <v>#REF!</v>
      </c>
      <c r="AB17" s="345">
        <f t="shared" si="9"/>
        <v>0</v>
      </c>
      <c r="AC17" s="345">
        <f t="shared" si="10"/>
        <v>0</v>
      </c>
    </row>
    <row r="18" spans="1:29" s="19" customFormat="1" ht="12" x14ac:dyDescent="0.2">
      <c r="A18" s="312">
        <f t="shared" si="6"/>
        <v>44300</v>
      </c>
      <c r="B18" s="129">
        <f t="shared" si="0"/>
        <v>44300</v>
      </c>
      <c r="C18" s="262" t="str">
        <f t="shared" si="1"/>
        <v/>
      </c>
      <c r="D18" s="358"/>
      <c r="E18" s="352"/>
      <c r="F18" s="255"/>
      <c r="G18" s="309"/>
      <c r="H18" s="309"/>
      <c r="I18" s="348">
        <f>IFERROR(VLOOKUP(D18&amp;G18,tbl_Entfernung[[Verketten]:[Entfernung]],2,FALSE),"")</f>
        <v>0</v>
      </c>
      <c r="J18" s="361"/>
      <c r="K18" s="352"/>
      <c r="L18" s="309"/>
      <c r="M18" s="309"/>
      <c r="N18" s="321">
        <f>IFERROR(VLOOKUP(G18&amp;L18,tbl_Entfernung[[Verketten]:[Entfernung]],2,FALSE),"")</f>
        <v>0</v>
      </c>
      <c r="O18" s="316">
        <f>IF(S18&gt;PauseGTime,PauseGWert,IF(S18&gt;PauseKTime,PauseKWert,IF(S18&lt;=PauseKTime,0,WENN)))</f>
        <v>0</v>
      </c>
      <c r="P18" s="364"/>
      <c r="Q18" s="356">
        <f t="shared" si="2"/>
        <v>0</v>
      </c>
      <c r="R18" s="225">
        <f t="shared" ca="1" si="3"/>
        <v>0.29166666666666669</v>
      </c>
      <c r="S18" s="225">
        <f t="shared" si="7"/>
        <v>0</v>
      </c>
      <c r="T18" s="130">
        <f t="shared" ca="1" si="4"/>
        <v>-0.29166666666667002</v>
      </c>
      <c r="U18" s="251">
        <f t="shared" ca="1" si="5"/>
        <v>0.29166666666666669</v>
      </c>
      <c r="V18" s="131"/>
      <c r="W18" s="214" t="e">
        <f t="shared" ca="1" si="8"/>
        <v>#REF!</v>
      </c>
      <c r="AB18" s="345">
        <f t="shared" si="9"/>
        <v>0</v>
      </c>
      <c r="AC18" s="345">
        <f t="shared" si="10"/>
        <v>0</v>
      </c>
    </row>
    <row r="19" spans="1:29" s="19" customFormat="1" ht="12" x14ac:dyDescent="0.2">
      <c r="A19" s="312">
        <f t="shared" si="6"/>
        <v>44301</v>
      </c>
      <c r="B19" s="129">
        <f t="shared" si="0"/>
        <v>44301</v>
      </c>
      <c r="C19" s="262" t="str">
        <f t="shared" si="1"/>
        <v/>
      </c>
      <c r="D19" s="358"/>
      <c r="E19" s="352"/>
      <c r="F19" s="255"/>
      <c r="G19" s="309"/>
      <c r="H19" s="309"/>
      <c r="I19" s="348">
        <f>IFERROR(VLOOKUP(D19&amp;G19,tbl_Entfernung[[Verketten]:[Entfernung]],2,FALSE),"")</f>
        <v>0</v>
      </c>
      <c r="J19" s="361"/>
      <c r="K19" s="352"/>
      <c r="L19" s="309"/>
      <c r="M19" s="309"/>
      <c r="N19" s="321">
        <f>IFERROR(VLOOKUP(G19&amp;L19,tbl_Entfernung[[Verketten]:[Entfernung]],2,FALSE),"")</f>
        <v>0</v>
      </c>
      <c r="O19" s="316">
        <f>IF(S19&gt;PauseGTime,PauseGWert,IF(S19&gt;PauseKTime,PauseKWert,IF(S19&lt;=PauseKTime,0,WENN)))</f>
        <v>0</v>
      </c>
      <c r="P19" s="364"/>
      <c r="Q19" s="356">
        <f t="shared" si="2"/>
        <v>0</v>
      </c>
      <c r="R19" s="225">
        <f t="shared" ca="1" si="3"/>
        <v>0.29166666666666669</v>
      </c>
      <c r="S19" s="225">
        <f t="shared" si="7"/>
        <v>0</v>
      </c>
      <c r="T19" s="130">
        <f t="shared" ca="1" si="4"/>
        <v>-0.29166666666667002</v>
      </c>
      <c r="U19" s="251">
        <f t="shared" ca="1" si="5"/>
        <v>0.29166666666666669</v>
      </c>
      <c r="V19" s="131"/>
      <c r="W19" s="214" t="e">
        <f t="shared" ca="1" si="8"/>
        <v>#REF!</v>
      </c>
      <c r="AB19" s="345">
        <f t="shared" si="9"/>
        <v>0</v>
      </c>
      <c r="AC19" s="345">
        <f t="shared" si="10"/>
        <v>0</v>
      </c>
    </row>
    <row r="20" spans="1:29" s="19" customFormat="1" ht="12" x14ac:dyDescent="0.2">
      <c r="A20" s="312">
        <f t="shared" si="6"/>
        <v>44302</v>
      </c>
      <c r="B20" s="129">
        <f t="shared" si="0"/>
        <v>44302</v>
      </c>
      <c r="C20" s="262" t="str">
        <f t="shared" si="1"/>
        <v/>
      </c>
      <c r="D20" s="358"/>
      <c r="E20" s="352"/>
      <c r="F20" s="255"/>
      <c r="G20" s="309"/>
      <c r="H20" s="309"/>
      <c r="I20" s="348">
        <f>IFERROR(VLOOKUP(D20&amp;G20,tbl_Entfernung[[Verketten]:[Entfernung]],2,FALSE),"")</f>
        <v>0</v>
      </c>
      <c r="J20" s="361"/>
      <c r="K20" s="352"/>
      <c r="L20" s="309"/>
      <c r="M20" s="309"/>
      <c r="N20" s="321">
        <f>IFERROR(VLOOKUP(G20&amp;L20,tbl_Entfernung[[Verketten]:[Entfernung]],2,FALSE),"")</f>
        <v>0</v>
      </c>
      <c r="O20" s="316">
        <f>IF(S20&gt;PauseGTime,PauseGWert,IF(S20&gt;PauseKTime,PauseKWert,IF(S20&lt;=PauseKTime,0,WENN)))</f>
        <v>0</v>
      </c>
      <c r="P20" s="364"/>
      <c r="Q20" s="356">
        <f t="shared" si="2"/>
        <v>0</v>
      </c>
      <c r="R20" s="225">
        <f t="shared" ca="1" si="3"/>
        <v>0.29166666666666669</v>
      </c>
      <c r="S20" s="225">
        <f t="shared" si="7"/>
        <v>0</v>
      </c>
      <c r="T20" s="130">
        <f t="shared" ca="1" si="4"/>
        <v>-0.29166666666667002</v>
      </c>
      <c r="U20" s="251">
        <f t="shared" ca="1" si="5"/>
        <v>0.29166666666666669</v>
      </c>
      <c r="V20" s="131"/>
      <c r="W20" s="214" t="e">
        <f t="shared" ca="1" si="8"/>
        <v>#REF!</v>
      </c>
      <c r="AB20" s="345">
        <f t="shared" si="9"/>
        <v>0</v>
      </c>
      <c r="AC20" s="345">
        <f t="shared" si="10"/>
        <v>0</v>
      </c>
    </row>
    <row r="21" spans="1:29" s="19" customFormat="1" ht="12" x14ac:dyDescent="0.2">
      <c r="A21" s="312">
        <f t="shared" si="6"/>
        <v>44303</v>
      </c>
      <c r="B21" s="129">
        <f t="shared" si="0"/>
        <v>44303</v>
      </c>
      <c r="C21" s="262" t="str">
        <f t="shared" si="1"/>
        <v>Karfreitag</v>
      </c>
      <c r="D21" s="358"/>
      <c r="E21" s="352"/>
      <c r="F21" s="255"/>
      <c r="G21" s="309"/>
      <c r="H21" s="309"/>
      <c r="I21" s="348">
        <f>IFERROR(VLOOKUP(D21&amp;G21,tbl_Entfernung[[Verketten]:[Entfernung]],2,FALSE),"")</f>
        <v>0</v>
      </c>
      <c r="J21" s="361"/>
      <c r="K21" s="352"/>
      <c r="L21" s="309"/>
      <c r="M21" s="309"/>
      <c r="N21" s="321">
        <f>IFERROR(VLOOKUP(G21&amp;L21,tbl_Entfernung[[Verketten]:[Entfernung]],2,FALSE),"")</f>
        <v>0</v>
      </c>
      <c r="O21" s="316">
        <f>IF(S21&gt;PauseGTime,PauseGWert,IF(S21&gt;PauseKTime,PauseKWert,IF(S21&lt;=PauseKTime,0,WENN)))</f>
        <v>0</v>
      </c>
      <c r="P21" s="364"/>
      <c r="Q21" s="356">
        <f t="shared" si="2"/>
        <v>0</v>
      </c>
      <c r="R21" s="225">
        <f t="shared" ca="1" si="3"/>
        <v>0</v>
      </c>
      <c r="S21" s="225">
        <f t="shared" si="7"/>
        <v>0</v>
      </c>
      <c r="T21" s="130">
        <f t="shared" ca="1" si="4"/>
        <v>0</v>
      </c>
      <c r="U21" s="251">
        <f t="shared" ca="1" si="5"/>
        <v>0.29166666666666669</v>
      </c>
      <c r="V21" s="131"/>
      <c r="W21" s="214" t="e">
        <f t="shared" ca="1" si="8"/>
        <v>#REF!</v>
      </c>
      <c r="AB21" s="345">
        <f t="shared" si="9"/>
        <v>0</v>
      </c>
      <c r="AC21" s="345">
        <f t="shared" si="10"/>
        <v>0</v>
      </c>
    </row>
    <row r="22" spans="1:29" s="19" customFormat="1" ht="12" x14ac:dyDescent="0.2">
      <c r="A22" s="312">
        <f t="shared" si="6"/>
        <v>44304</v>
      </c>
      <c r="B22" s="129">
        <f t="shared" si="0"/>
        <v>44304</v>
      </c>
      <c r="C22" s="262" t="str">
        <f t="shared" si="1"/>
        <v/>
      </c>
      <c r="D22" s="358"/>
      <c r="E22" s="352"/>
      <c r="F22" s="255"/>
      <c r="G22" s="309"/>
      <c r="H22" s="309"/>
      <c r="I22" s="348">
        <f>IFERROR(VLOOKUP(D22&amp;G22,tbl_Entfernung[[Verketten]:[Entfernung]],2,FALSE),"")</f>
        <v>0</v>
      </c>
      <c r="J22" s="361"/>
      <c r="K22" s="352"/>
      <c r="L22" s="309"/>
      <c r="M22" s="309"/>
      <c r="N22" s="321">
        <f>IFERROR(VLOOKUP(G22&amp;L22,tbl_Entfernung[[Verketten]:[Entfernung]],2,FALSE),"")</f>
        <v>0</v>
      </c>
      <c r="O22" s="316">
        <f>IF(S22&gt;PauseGTime,PauseGWert,IF(S22&gt;PauseKTime,PauseKWert,IF(S22&lt;=PauseKTime,0,WENN)))</f>
        <v>0</v>
      </c>
      <c r="P22" s="364"/>
      <c r="Q22" s="356">
        <f t="shared" si="2"/>
        <v>0</v>
      </c>
      <c r="R22" s="225">
        <f t="shared" ca="1" si="3"/>
        <v>0</v>
      </c>
      <c r="S22" s="225">
        <f t="shared" si="7"/>
        <v>0</v>
      </c>
      <c r="T22" s="130">
        <f t="shared" ca="1" si="4"/>
        <v>0</v>
      </c>
      <c r="U22" s="251">
        <f t="shared" ca="1" si="5"/>
        <v>0</v>
      </c>
      <c r="V22" s="131"/>
      <c r="W22" s="214" t="e">
        <f t="shared" ca="1" si="8"/>
        <v>#REF!</v>
      </c>
      <c r="AB22" s="345">
        <f t="shared" si="9"/>
        <v>0</v>
      </c>
      <c r="AC22" s="345">
        <f t="shared" si="10"/>
        <v>0</v>
      </c>
    </row>
    <row r="23" spans="1:29" s="19" customFormat="1" ht="12" x14ac:dyDescent="0.2">
      <c r="A23" s="312">
        <f t="shared" si="6"/>
        <v>44305</v>
      </c>
      <c r="B23" s="129">
        <f t="shared" si="0"/>
        <v>44305</v>
      </c>
      <c r="C23" s="262" t="str">
        <f t="shared" si="1"/>
        <v>Ostersonntag</v>
      </c>
      <c r="D23" s="358"/>
      <c r="E23" s="352"/>
      <c r="F23" s="255"/>
      <c r="G23" s="309"/>
      <c r="H23" s="309"/>
      <c r="I23" s="349">
        <f>IFERROR(VLOOKUP(D23&amp;G23,tbl_Entfernung[[Verketten]:[Entfernung]],2,FALSE),"")</f>
        <v>0</v>
      </c>
      <c r="J23" s="361"/>
      <c r="K23" s="352"/>
      <c r="L23" s="309"/>
      <c r="M23" s="309"/>
      <c r="N23" s="322">
        <f>IFERROR(VLOOKUP(G23&amp;L23,tbl_Entfernung[[Verketten]:[Entfernung]],2,FALSE),"")</f>
        <v>0</v>
      </c>
      <c r="O23" s="316">
        <f>IF(S23&gt;PauseGTime,PauseGWert,IF(S23&gt;PauseKTime,PauseKWert,IF(S23&lt;=PauseKTime,0,WENN)))</f>
        <v>0</v>
      </c>
      <c r="P23" s="364"/>
      <c r="Q23" s="356">
        <f t="shared" si="2"/>
        <v>0</v>
      </c>
      <c r="R23" s="225">
        <f t="shared" ca="1" si="3"/>
        <v>0</v>
      </c>
      <c r="S23" s="225">
        <f t="shared" si="7"/>
        <v>0</v>
      </c>
      <c r="T23" s="130">
        <f t="shared" ca="1" si="4"/>
        <v>0</v>
      </c>
      <c r="U23" s="251">
        <f t="shared" ca="1" si="5"/>
        <v>0</v>
      </c>
      <c r="V23" s="131"/>
      <c r="W23" s="214" t="e">
        <f t="shared" ca="1" si="8"/>
        <v>#REF!</v>
      </c>
      <c r="AB23" s="345">
        <f t="shared" si="9"/>
        <v>0</v>
      </c>
      <c r="AC23" s="345">
        <f t="shared" si="10"/>
        <v>0</v>
      </c>
    </row>
    <row r="24" spans="1:29" s="19" customFormat="1" ht="12" x14ac:dyDescent="0.2">
      <c r="A24" s="312">
        <f t="shared" si="6"/>
        <v>44306</v>
      </c>
      <c r="B24" s="129">
        <f t="shared" si="0"/>
        <v>44306</v>
      </c>
      <c r="C24" s="262" t="str">
        <f t="shared" si="1"/>
        <v>Ostermontag</v>
      </c>
      <c r="D24" s="358"/>
      <c r="E24" s="352"/>
      <c r="F24" s="255"/>
      <c r="G24" s="309"/>
      <c r="H24" s="309"/>
      <c r="I24" s="349">
        <f>IFERROR(VLOOKUP(D24&amp;G24,tbl_Entfernung[[Verketten]:[Entfernung]],2,FALSE),"")</f>
        <v>0</v>
      </c>
      <c r="J24" s="361"/>
      <c r="K24" s="352"/>
      <c r="L24" s="309"/>
      <c r="M24" s="309"/>
      <c r="N24" s="322">
        <f>IFERROR(VLOOKUP(G24&amp;L24,tbl_Entfernung[[Verketten]:[Entfernung]],2,FALSE),"")</f>
        <v>0</v>
      </c>
      <c r="O24" s="316">
        <f>IF(S24&gt;PauseGTime,PauseGWert,IF(S24&gt;PauseKTime,PauseKWert,IF(S24&lt;=PauseKTime,0,WENN)))</f>
        <v>0</v>
      </c>
      <c r="P24" s="364"/>
      <c r="Q24" s="356">
        <f t="shared" si="2"/>
        <v>0</v>
      </c>
      <c r="R24" s="225">
        <f t="shared" ca="1" si="3"/>
        <v>0</v>
      </c>
      <c r="S24" s="225">
        <f t="shared" si="7"/>
        <v>0</v>
      </c>
      <c r="T24" s="130">
        <f t="shared" ca="1" si="4"/>
        <v>0</v>
      </c>
      <c r="U24" s="251">
        <f t="shared" ca="1" si="5"/>
        <v>0.29166666666666669</v>
      </c>
      <c r="V24" s="131"/>
      <c r="W24" s="214" t="e">
        <f t="shared" ca="1" si="8"/>
        <v>#REF!</v>
      </c>
      <c r="AB24" s="345">
        <f t="shared" si="9"/>
        <v>0</v>
      </c>
      <c r="AC24" s="345">
        <f t="shared" si="10"/>
        <v>0</v>
      </c>
    </row>
    <row r="25" spans="1:29" s="19" customFormat="1" ht="12" x14ac:dyDescent="0.2">
      <c r="A25" s="312">
        <f t="shared" si="6"/>
        <v>44307</v>
      </c>
      <c r="B25" s="129">
        <f t="shared" si="0"/>
        <v>44307</v>
      </c>
      <c r="C25" s="262" t="str">
        <f t="shared" si="1"/>
        <v/>
      </c>
      <c r="D25" s="358"/>
      <c r="E25" s="352"/>
      <c r="F25" s="255"/>
      <c r="G25" s="309"/>
      <c r="H25" s="309"/>
      <c r="I25" s="348">
        <f>IFERROR(VLOOKUP(D25&amp;G25,tbl_Entfernung[[Verketten]:[Entfernung]],2,FALSE),"")</f>
        <v>0</v>
      </c>
      <c r="J25" s="361"/>
      <c r="K25" s="352"/>
      <c r="L25" s="309"/>
      <c r="M25" s="309"/>
      <c r="N25" s="321">
        <f>IFERROR(VLOOKUP(G25&amp;L25,tbl_Entfernung[[Verketten]:[Entfernung]],2,FALSE),"")</f>
        <v>0</v>
      </c>
      <c r="O25" s="316">
        <f>IF(S25&gt;PauseGTime,PauseGWert,IF(S25&gt;PauseKTime,PauseKWert,IF(S25&lt;=PauseKTime,0,WENN)))</f>
        <v>0</v>
      </c>
      <c r="P25" s="364"/>
      <c r="Q25" s="356">
        <f t="shared" si="2"/>
        <v>0</v>
      </c>
      <c r="R25" s="225">
        <f t="shared" ca="1" si="3"/>
        <v>0.29166666666666669</v>
      </c>
      <c r="S25" s="225">
        <f t="shared" si="7"/>
        <v>0</v>
      </c>
      <c r="T25" s="130">
        <f t="shared" ca="1" si="4"/>
        <v>-0.29166666666667002</v>
      </c>
      <c r="U25" s="251">
        <f t="shared" ca="1" si="5"/>
        <v>0.29166666666666669</v>
      </c>
      <c r="V25" s="131"/>
      <c r="W25" s="214" t="e">
        <f t="shared" ca="1" si="8"/>
        <v>#REF!</v>
      </c>
      <c r="AB25" s="345">
        <f t="shared" si="9"/>
        <v>0</v>
      </c>
      <c r="AC25" s="345">
        <f t="shared" si="10"/>
        <v>0</v>
      </c>
    </row>
    <row r="26" spans="1:29" s="19" customFormat="1" ht="12" x14ac:dyDescent="0.2">
      <c r="A26" s="312">
        <f t="shared" si="6"/>
        <v>44308</v>
      </c>
      <c r="B26" s="129">
        <f t="shared" si="0"/>
        <v>44308</v>
      </c>
      <c r="C26" s="262" t="str">
        <f t="shared" si="1"/>
        <v/>
      </c>
      <c r="D26" s="358"/>
      <c r="E26" s="352"/>
      <c r="F26" s="255"/>
      <c r="G26" s="309"/>
      <c r="H26" s="309"/>
      <c r="I26" s="348">
        <f>IFERROR(VLOOKUP(D26&amp;G26,tbl_Entfernung[[Verketten]:[Entfernung]],2,FALSE),"")</f>
        <v>0</v>
      </c>
      <c r="J26" s="361"/>
      <c r="K26" s="352"/>
      <c r="L26" s="309"/>
      <c r="M26" s="309"/>
      <c r="N26" s="321">
        <f>IFERROR(VLOOKUP(G26&amp;L26,tbl_Entfernung[[Verketten]:[Entfernung]],2,FALSE),"")</f>
        <v>0</v>
      </c>
      <c r="O26" s="316">
        <f>IF(S26&gt;PauseGTime,PauseGWert,IF(S26&gt;PauseKTime,PauseKWert,IF(S26&lt;=PauseKTime,0,WENN)))</f>
        <v>0</v>
      </c>
      <c r="P26" s="364"/>
      <c r="Q26" s="356">
        <f t="shared" si="2"/>
        <v>0</v>
      </c>
      <c r="R26" s="225">
        <f t="shared" ca="1" si="3"/>
        <v>0.29166666666666669</v>
      </c>
      <c r="S26" s="225">
        <f t="shared" si="7"/>
        <v>0</v>
      </c>
      <c r="T26" s="130">
        <f t="shared" ca="1" si="4"/>
        <v>-0.29166666666667002</v>
      </c>
      <c r="U26" s="251">
        <f t="shared" ca="1" si="5"/>
        <v>0.29166666666666669</v>
      </c>
      <c r="V26" s="131"/>
      <c r="W26" s="214" t="e">
        <f t="shared" ca="1" si="8"/>
        <v>#REF!</v>
      </c>
      <c r="AB26" s="345">
        <f t="shared" si="9"/>
        <v>0</v>
      </c>
      <c r="AC26" s="345">
        <f t="shared" si="10"/>
        <v>0</v>
      </c>
    </row>
    <row r="27" spans="1:29" s="19" customFormat="1" ht="12" x14ac:dyDescent="0.2">
      <c r="A27" s="312">
        <f t="shared" si="6"/>
        <v>44309</v>
      </c>
      <c r="B27" s="129">
        <f t="shared" si="0"/>
        <v>44309</v>
      </c>
      <c r="C27" s="262" t="str">
        <f t="shared" si="1"/>
        <v/>
      </c>
      <c r="D27" s="358"/>
      <c r="E27" s="352"/>
      <c r="F27" s="255"/>
      <c r="G27" s="309"/>
      <c r="H27" s="309"/>
      <c r="I27" s="348">
        <f>IFERROR(VLOOKUP(D27&amp;G27,tbl_Entfernung[[Verketten]:[Entfernung]],2,FALSE),"")</f>
        <v>0</v>
      </c>
      <c r="J27" s="361"/>
      <c r="K27" s="352"/>
      <c r="L27" s="309"/>
      <c r="M27" s="309"/>
      <c r="N27" s="321">
        <f>IFERROR(VLOOKUP(G27&amp;L27,tbl_Entfernung[[Verketten]:[Entfernung]],2,FALSE),"")</f>
        <v>0</v>
      </c>
      <c r="O27" s="316">
        <f>IF(S27&gt;PauseGTime,PauseGWert,IF(S27&gt;PauseKTime,PauseKWert,IF(S27&lt;=PauseKTime,0,WENN)))</f>
        <v>0</v>
      </c>
      <c r="P27" s="364"/>
      <c r="Q27" s="356">
        <f t="shared" si="2"/>
        <v>0</v>
      </c>
      <c r="R27" s="225">
        <f t="shared" ca="1" si="3"/>
        <v>0.29166666666666669</v>
      </c>
      <c r="S27" s="225">
        <f t="shared" si="7"/>
        <v>0</v>
      </c>
      <c r="T27" s="130">
        <f t="shared" ca="1" si="4"/>
        <v>-0.29166666666667002</v>
      </c>
      <c r="U27" s="251">
        <f t="shared" ca="1" si="5"/>
        <v>0.29166666666666669</v>
      </c>
      <c r="V27" s="131"/>
      <c r="W27" s="214" t="e">
        <f t="shared" ca="1" si="8"/>
        <v>#REF!</v>
      </c>
      <c r="AB27" s="345">
        <f t="shared" si="9"/>
        <v>0</v>
      </c>
      <c r="AC27" s="345">
        <f t="shared" si="10"/>
        <v>0</v>
      </c>
    </row>
    <row r="28" spans="1:29" s="19" customFormat="1" ht="12" x14ac:dyDescent="0.2">
      <c r="A28" s="312">
        <f t="shared" si="6"/>
        <v>44310</v>
      </c>
      <c r="B28" s="129">
        <f t="shared" si="0"/>
        <v>44310</v>
      </c>
      <c r="C28" s="262" t="str">
        <f t="shared" si="1"/>
        <v/>
      </c>
      <c r="D28" s="358"/>
      <c r="E28" s="352"/>
      <c r="F28" s="255"/>
      <c r="G28" s="309"/>
      <c r="H28" s="309"/>
      <c r="I28" s="348">
        <f>IFERROR(VLOOKUP(D28&amp;G28,tbl_Entfernung[[Verketten]:[Entfernung]],2,FALSE),"")</f>
        <v>0</v>
      </c>
      <c r="J28" s="361"/>
      <c r="K28" s="352"/>
      <c r="L28" s="309"/>
      <c r="M28" s="309"/>
      <c r="N28" s="321">
        <f>IFERROR(VLOOKUP(G28&amp;L28,tbl_Entfernung[[Verketten]:[Entfernung]],2,FALSE),"")</f>
        <v>0</v>
      </c>
      <c r="O28" s="316">
        <f>IF(S28&gt;PauseGTime,PauseGWert,IF(S28&gt;PauseKTime,PauseKWert,IF(S28&lt;=PauseKTime,0,WENN)))</f>
        <v>0</v>
      </c>
      <c r="P28" s="364"/>
      <c r="Q28" s="356">
        <f t="shared" si="2"/>
        <v>0</v>
      </c>
      <c r="R28" s="225">
        <f t="shared" ca="1" si="3"/>
        <v>0.29166666666666669</v>
      </c>
      <c r="S28" s="225">
        <f t="shared" si="7"/>
        <v>0</v>
      </c>
      <c r="T28" s="130">
        <f t="shared" ca="1" si="4"/>
        <v>-0.29166666666667002</v>
      </c>
      <c r="U28" s="251">
        <f t="shared" ca="1" si="5"/>
        <v>0.29166666666666669</v>
      </c>
      <c r="V28" s="131"/>
      <c r="W28" s="214" t="e">
        <f t="shared" ca="1" si="8"/>
        <v>#REF!</v>
      </c>
      <c r="AB28" s="345">
        <f t="shared" si="9"/>
        <v>0</v>
      </c>
      <c r="AC28" s="345">
        <f t="shared" si="10"/>
        <v>0</v>
      </c>
    </row>
    <row r="29" spans="1:29" s="19" customFormat="1" ht="12" x14ac:dyDescent="0.2">
      <c r="A29" s="312">
        <f t="shared" si="6"/>
        <v>44311</v>
      </c>
      <c r="B29" s="129">
        <f t="shared" si="0"/>
        <v>44311</v>
      </c>
      <c r="C29" s="262" t="str">
        <f t="shared" si="1"/>
        <v/>
      </c>
      <c r="D29" s="358"/>
      <c r="E29" s="352"/>
      <c r="F29" s="255"/>
      <c r="G29" s="309"/>
      <c r="H29" s="309"/>
      <c r="I29" s="348">
        <f>IFERROR(VLOOKUP(D29&amp;G29,tbl_Entfernung[[Verketten]:[Entfernung]],2,FALSE),"")</f>
        <v>0</v>
      </c>
      <c r="J29" s="361"/>
      <c r="K29" s="352"/>
      <c r="L29" s="309"/>
      <c r="M29" s="309"/>
      <c r="N29" s="321">
        <f>IFERROR(VLOOKUP(G29&amp;L29,tbl_Entfernung[[Verketten]:[Entfernung]],2,FALSE),"")</f>
        <v>0</v>
      </c>
      <c r="O29" s="316">
        <f>IF(S29&gt;PauseGTime,PauseGWert,IF(S29&gt;PauseKTime,PauseKWert,IF(S29&lt;=PauseKTime,0,WENN)))</f>
        <v>0</v>
      </c>
      <c r="P29" s="364"/>
      <c r="Q29" s="356">
        <f t="shared" si="2"/>
        <v>0</v>
      </c>
      <c r="R29" s="225">
        <f t="shared" ca="1" si="3"/>
        <v>0</v>
      </c>
      <c r="S29" s="225">
        <f t="shared" si="7"/>
        <v>0</v>
      </c>
      <c r="T29" s="130">
        <f t="shared" ca="1" si="4"/>
        <v>0</v>
      </c>
      <c r="U29" s="251">
        <f t="shared" ca="1" si="5"/>
        <v>0</v>
      </c>
      <c r="V29" s="131"/>
      <c r="W29" s="214" t="e">
        <f t="shared" ca="1" si="8"/>
        <v>#REF!</v>
      </c>
      <c r="AB29" s="345">
        <f t="shared" si="9"/>
        <v>0</v>
      </c>
      <c r="AC29" s="345">
        <f t="shared" si="10"/>
        <v>0</v>
      </c>
    </row>
    <row r="30" spans="1:29" s="19" customFormat="1" ht="12" x14ac:dyDescent="0.2">
      <c r="A30" s="312">
        <f t="shared" si="6"/>
        <v>44312</v>
      </c>
      <c r="B30" s="129">
        <f t="shared" si="0"/>
        <v>44312</v>
      </c>
      <c r="C30" s="262" t="str">
        <f t="shared" si="1"/>
        <v/>
      </c>
      <c r="D30" s="358"/>
      <c r="E30" s="352"/>
      <c r="F30" s="255"/>
      <c r="G30" s="309"/>
      <c r="H30" s="309"/>
      <c r="I30" s="349">
        <f>IFERROR(VLOOKUP(D30&amp;G30,tbl_Entfernung[[Verketten]:[Entfernung]],2,FALSE),"")</f>
        <v>0</v>
      </c>
      <c r="J30" s="361"/>
      <c r="K30" s="352"/>
      <c r="L30" s="309"/>
      <c r="M30" s="309"/>
      <c r="N30" s="322">
        <f>IFERROR(VLOOKUP(G30&amp;L30,tbl_Entfernung[[Verketten]:[Entfernung]],2,FALSE),"")</f>
        <v>0</v>
      </c>
      <c r="O30" s="316">
        <f>IF(S30&gt;PauseGTime,PauseGWert,IF(S30&gt;PauseKTime,PauseKWert,IF(S30&lt;=PauseKTime,0,WENN)))</f>
        <v>0</v>
      </c>
      <c r="P30" s="364"/>
      <c r="Q30" s="356">
        <f t="shared" si="2"/>
        <v>0</v>
      </c>
      <c r="R30" s="225">
        <f t="shared" ca="1" si="3"/>
        <v>0</v>
      </c>
      <c r="S30" s="225">
        <f t="shared" si="7"/>
        <v>0</v>
      </c>
      <c r="T30" s="130">
        <f t="shared" ca="1" si="4"/>
        <v>0</v>
      </c>
      <c r="U30" s="251">
        <f t="shared" ca="1" si="5"/>
        <v>0</v>
      </c>
      <c r="V30" s="131"/>
      <c r="W30" s="214" t="e">
        <f t="shared" ca="1" si="8"/>
        <v>#REF!</v>
      </c>
      <c r="AB30" s="345">
        <f t="shared" si="9"/>
        <v>0</v>
      </c>
      <c r="AC30" s="345">
        <f t="shared" si="10"/>
        <v>0</v>
      </c>
    </row>
    <row r="31" spans="1:29" s="19" customFormat="1" ht="12" x14ac:dyDescent="0.2">
      <c r="A31" s="312">
        <f t="shared" si="6"/>
        <v>44313</v>
      </c>
      <c r="B31" s="129">
        <f t="shared" si="0"/>
        <v>44313</v>
      </c>
      <c r="C31" s="262" t="str">
        <f t="shared" si="1"/>
        <v/>
      </c>
      <c r="D31" s="358"/>
      <c r="E31" s="352"/>
      <c r="F31" s="255"/>
      <c r="G31" s="309"/>
      <c r="H31" s="309"/>
      <c r="I31" s="349">
        <f>IFERROR(VLOOKUP(D31&amp;G31,tbl_Entfernung[[Verketten]:[Entfernung]],2,FALSE),"")</f>
        <v>0</v>
      </c>
      <c r="J31" s="361"/>
      <c r="K31" s="352"/>
      <c r="L31" s="309"/>
      <c r="M31" s="309"/>
      <c r="N31" s="322">
        <f>IFERROR(VLOOKUP(G31&amp;L31,tbl_Entfernung[[Verketten]:[Entfernung]],2,FALSE),"")</f>
        <v>0</v>
      </c>
      <c r="O31" s="316">
        <f>IF(S31&gt;PauseGTime,PauseGWert,IF(S31&gt;PauseKTime,PauseKWert,IF(S31&lt;=PauseKTime,0,WENN)))</f>
        <v>0</v>
      </c>
      <c r="P31" s="364"/>
      <c r="Q31" s="356">
        <f t="shared" si="2"/>
        <v>0</v>
      </c>
      <c r="R31" s="225">
        <f t="shared" ca="1" si="3"/>
        <v>0.29166666666666669</v>
      </c>
      <c r="S31" s="225">
        <f t="shared" si="7"/>
        <v>0</v>
      </c>
      <c r="T31" s="130">
        <f t="shared" ca="1" si="4"/>
        <v>-0.29166666666667002</v>
      </c>
      <c r="U31" s="251">
        <f t="shared" ca="1" si="5"/>
        <v>0.29166666666666669</v>
      </c>
      <c r="V31" s="131"/>
      <c r="W31" s="214" t="e">
        <f t="shared" ca="1" si="8"/>
        <v>#REF!</v>
      </c>
      <c r="AB31" s="345">
        <f t="shared" si="9"/>
        <v>0</v>
      </c>
      <c r="AC31" s="345">
        <f t="shared" si="10"/>
        <v>0</v>
      </c>
    </row>
    <row r="32" spans="1:29" s="19" customFormat="1" ht="12" x14ac:dyDescent="0.2">
      <c r="A32" s="312">
        <f>IF(MONTH(A31+1)&gt;MONTH(A31),"",A31+1)</f>
        <v>44314</v>
      </c>
      <c r="B32" s="129">
        <f t="shared" si="0"/>
        <v>44314</v>
      </c>
      <c r="C32" s="262" t="str">
        <f>IF(ISERROR(VLOOKUP(A32,Feiertage,2,FALSE)),"",(VLOOKUP(A32,Feiertage,2,FALSE)))</f>
        <v/>
      </c>
      <c r="D32" s="358"/>
      <c r="E32" s="352"/>
      <c r="F32" s="255"/>
      <c r="G32" s="309"/>
      <c r="H32" s="309"/>
      <c r="I32" s="349">
        <f>IFERROR(VLOOKUP(D32&amp;G32,tbl_Entfernung[[Verketten]:[Entfernung]],2,FALSE),"")</f>
        <v>0</v>
      </c>
      <c r="J32" s="361"/>
      <c r="K32" s="352"/>
      <c r="L32" s="309"/>
      <c r="M32" s="309"/>
      <c r="N32" s="322">
        <f>IFERROR(VLOOKUP(G32&amp;L32,tbl_Entfernung[[Verketten]:[Entfernung]],2,FALSE),"")</f>
        <v>0</v>
      </c>
      <c r="O32" s="316">
        <f>IF(S32&gt;PauseGTime,PauseGWert,IF(S32&gt;PauseKTime,PauseKWert,IF(S32&lt;=PauseKTime,0,WENN)))</f>
        <v>0</v>
      </c>
      <c r="P32" s="364"/>
      <c r="Q32" s="356">
        <f t="shared" si="2"/>
        <v>0</v>
      </c>
      <c r="R32" s="225">
        <f t="shared" ca="1" si="3"/>
        <v>0.29166666666666669</v>
      </c>
      <c r="S32" s="225">
        <f t="shared" si="7"/>
        <v>0</v>
      </c>
      <c r="T32" s="130">
        <f t="shared" ca="1" si="4"/>
        <v>-0.29166666666667002</v>
      </c>
      <c r="U32" s="251">
        <f t="shared" ca="1" si="5"/>
        <v>0.29166666666666669</v>
      </c>
      <c r="V32" s="131"/>
      <c r="W32" s="214" t="e">
        <f t="shared" ca="1" si="8"/>
        <v>#REF!</v>
      </c>
      <c r="AB32" s="345">
        <f t="shared" si="9"/>
        <v>0</v>
      </c>
      <c r="AC32" s="345">
        <f t="shared" si="10"/>
        <v>0</v>
      </c>
    </row>
    <row r="33" spans="1:29" s="19" customFormat="1" ht="12" x14ac:dyDescent="0.2">
      <c r="A33" s="312">
        <f>IF(MONTH(A31+2)&gt;MONTH(A31),"",A31+2)</f>
        <v>44315</v>
      </c>
      <c r="B33" s="129">
        <f t="shared" si="0"/>
        <v>44315</v>
      </c>
      <c r="C33" s="262" t="str">
        <f>IF(ISERROR(VLOOKUP(A33,Feiertage,2,FALSE)),"",(VLOOKUP(A33,Feiertage,2,FALSE)))</f>
        <v/>
      </c>
      <c r="D33" s="358"/>
      <c r="E33" s="352"/>
      <c r="F33" s="255"/>
      <c r="G33" s="309"/>
      <c r="H33" s="309"/>
      <c r="I33" s="349">
        <f>IFERROR(VLOOKUP(D33&amp;G33,tbl_Entfernung[[Verketten]:[Entfernung]],2,FALSE),"")</f>
        <v>0</v>
      </c>
      <c r="J33" s="361"/>
      <c r="K33" s="352"/>
      <c r="L33" s="309"/>
      <c r="M33" s="309"/>
      <c r="N33" s="322">
        <f>IFERROR(VLOOKUP(G33&amp;L33,tbl_Entfernung[[Verketten]:[Entfernung]],2,FALSE),"")</f>
        <v>0</v>
      </c>
      <c r="O33" s="316">
        <f>IF(S33&gt;PauseGTime,PauseGWert,IF(S33&gt;PauseKTime,PauseKWert,IF(S33&lt;=PauseKTime,0,WENN)))</f>
        <v>0</v>
      </c>
      <c r="P33" s="364"/>
      <c r="Q33" s="356">
        <f t="shared" si="2"/>
        <v>0</v>
      </c>
      <c r="R33" s="225">
        <f t="shared" ca="1" si="3"/>
        <v>0.29166666666666669</v>
      </c>
      <c r="S33" s="225">
        <f t="shared" si="7"/>
        <v>0</v>
      </c>
      <c r="T33" s="130">
        <f t="shared" ca="1" si="4"/>
        <v>-0.29166666666667002</v>
      </c>
      <c r="U33" s="251">
        <f t="shared" ca="1" si="5"/>
        <v>0.29166666666666669</v>
      </c>
      <c r="V33" s="131"/>
      <c r="W33" s="214" t="e">
        <f t="shared" ca="1" si="8"/>
        <v>#REF!</v>
      </c>
      <c r="AB33" s="345">
        <f t="shared" si="9"/>
        <v>0</v>
      </c>
      <c r="AC33" s="345">
        <f t="shared" si="10"/>
        <v>0</v>
      </c>
    </row>
    <row r="34" spans="1:29" s="19" customFormat="1" ht="12" x14ac:dyDescent="0.2">
      <c r="A34" s="313" t="str">
        <f>IF(MONTH(A31+3)&gt;MONTH(A31),"",A31+3)</f>
        <v/>
      </c>
      <c r="B34" s="215" t="str">
        <f t="shared" si="0"/>
        <v/>
      </c>
      <c r="C34" s="263" t="str">
        <f>IF(ISERROR(VLOOKUP(A34,Feiertage,2,FALSE)),"",(VLOOKUP(A34,Feiertage,2,FALSE)))</f>
        <v/>
      </c>
      <c r="D34" s="359"/>
      <c r="E34" s="353"/>
      <c r="F34" s="256"/>
      <c r="G34" s="310"/>
      <c r="H34" s="310"/>
      <c r="I34" s="350">
        <f>IFERROR(VLOOKUP(D34&amp;G34,tbl_Entfernung[[Verketten]:[Entfernung]],2,FALSE),"")</f>
        <v>0</v>
      </c>
      <c r="J34" s="362"/>
      <c r="K34" s="354"/>
      <c r="L34" s="310"/>
      <c r="M34" s="310"/>
      <c r="N34" s="323">
        <f>IFERROR(VLOOKUP(G34&amp;L34,tbl_Entfernung[[Verketten]:[Entfernung]],2,FALSE),"")</f>
        <v>0</v>
      </c>
      <c r="O34" s="317">
        <f>IF(S34&gt;PauseGTime,PauseGWert,IF(S34&gt;PauseKTime,PauseKWert,IF(S34&lt;=PauseKTime,0,WENN)))</f>
        <v>0</v>
      </c>
      <c r="P34" s="365"/>
      <c r="Q34" s="357">
        <f t="shared" si="2"/>
        <v>0</v>
      </c>
      <c r="R34" s="226">
        <f t="shared" si="3"/>
        <v>0</v>
      </c>
      <c r="S34" s="226">
        <f t="shared" si="7"/>
        <v>0</v>
      </c>
      <c r="T34" s="216">
        <f t="shared" si="4"/>
        <v>0</v>
      </c>
      <c r="U34" s="252">
        <f t="shared" ca="1" si="5"/>
        <v>0</v>
      </c>
      <c r="V34" s="217"/>
      <c r="W34" s="218" t="str">
        <f t="shared" si="8"/>
        <v/>
      </c>
      <c r="AB34" s="345">
        <f t="shared" si="9"/>
        <v>0</v>
      </c>
      <c r="AC34" s="345">
        <f t="shared" si="10"/>
        <v>0</v>
      </c>
    </row>
    <row r="35" spans="1:29" s="19" customFormat="1" ht="4.5" customHeight="1" x14ac:dyDescent="0.2">
      <c r="B35" s="48"/>
      <c r="C35" s="48"/>
      <c r="D35" s="48"/>
      <c r="E35" s="48"/>
      <c r="F35" s="49"/>
      <c r="G35" s="49"/>
      <c r="H35" s="49"/>
      <c r="I35" s="49"/>
      <c r="J35" s="49"/>
      <c r="K35" s="49"/>
      <c r="L35" s="50"/>
      <c r="M35" s="50"/>
      <c r="N35" s="50"/>
      <c r="O35" s="50"/>
      <c r="P35" s="50"/>
      <c r="Q35" s="49"/>
      <c r="R35" s="51"/>
      <c r="S35" s="51"/>
      <c r="T35" s="51"/>
      <c r="U35" s="1"/>
      <c r="V35" s="1"/>
      <c r="W35" s="1"/>
    </row>
    <row r="36" spans="1:29" ht="12.75" customHeight="1" x14ac:dyDescent="0.2">
      <c r="A36" s="132"/>
      <c r="B36" s="133"/>
      <c r="C36" s="133"/>
      <c r="D36" s="290"/>
      <c r="E36" s="272"/>
      <c r="F36" s="291" t="str">
        <f>"Übertrag "&amp;TEXT(DATE(YEAR(A1),MONTH(A1)-1,1),"MMMM JJJJ")&amp;":"</f>
        <v>Übertrag März 2025:</v>
      </c>
      <c r="G36" s="272"/>
      <c r="H36" s="272"/>
      <c r="I36" s="272"/>
      <c r="J36" s="292" t="e">
        <f ca="1">März!J40</f>
        <v>#REF!</v>
      </c>
      <c r="K36" s="287"/>
      <c r="P36" s="293">
        <f>COUNTIF(P4:P34,Voreinstellungen!B21)+IF(COUNTIF(P4:P34,Voreinstellungen!B22)&gt;0,1-(SUMIF(P4:P34,Voreinstellungen!B22,R4:R34)/SUMIF(P4:P34,Voreinstellungen!B22,U4:U34)),0)</f>
        <v>0</v>
      </c>
      <c r="Q36" s="325" t="str">
        <f>Voreinstellungen!A21&amp;" ("&amp;Voreinstellungen!B21&amp;"/"&amp;Voreinstellungen!B22&amp;")"</f>
        <v>Krank (K/KK)</v>
      </c>
      <c r="R36" s="326"/>
      <c r="S36" s="326"/>
      <c r="T36" s="326"/>
      <c r="U36" s="326"/>
      <c r="V36" s="326"/>
      <c r="W36" s="173">
        <f>(SUMIF(P4:P34,Voreinstellungen!B21,R4:R34)-SUMIF(P4:P34,Voreinstellungen!B21,U4:U34)+SUMIF(P4:P34,Voreinstellungen!B22,R4:R34)-SUMIF(P4:P34,Voreinstellungen!B22,U4:U34))*-1</f>
        <v>0</v>
      </c>
      <c r="Y36" s="372" t="s">
        <v>145</v>
      </c>
      <c r="Z36" s="385" t="s">
        <v>150</v>
      </c>
      <c r="AA36" s="385" t="s">
        <v>151</v>
      </c>
      <c r="AB36" s="386" t="s">
        <v>152</v>
      </c>
    </row>
    <row r="37" spans="1:29" ht="12.75" customHeight="1" x14ac:dyDescent="0.2">
      <c r="A37" s="134"/>
      <c r="B37" s="135"/>
      <c r="C37" s="135"/>
      <c r="D37" s="135"/>
      <c r="E37" s="136"/>
      <c r="F37" s="294" t="str">
        <f>"SOLL Arbeitszeit ("&amp;TEXT(A1,"MMMM")&amp;"):"</f>
        <v>SOLL Arbeitszeit (April):</v>
      </c>
      <c r="G37" s="136"/>
      <c r="H37" s="136"/>
      <c r="I37" s="136"/>
      <c r="J37" s="295">
        <f ca="1">SUM(R4:R34)</f>
        <v>5.8333333333333348</v>
      </c>
      <c r="K37" s="287"/>
      <c r="P37" s="296">
        <f>COUNTIF(P4:P34,Voreinstellungen!B25)+(COUNTIF(P4:P34,Voreinstellungen!B26)*Voreinstellungen!C26)</f>
        <v>0</v>
      </c>
      <c r="Q37" s="327" t="str">
        <f>Voreinstellungen!A25&amp;" ("&amp;Voreinstellungen!B25&amp;"/"&amp;Voreinstellungen!B26&amp;") aktuell noch Verfügbar: "&amp;Voreinstellungen!C38&amp;" Tag(e)"</f>
        <v>Urlaub (U/UH) aktuell noch Verfügbar: 27 Tag(e)</v>
      </c>
      <c r="R37" s="328"/>
      <c r="S37" s="328"/>
      <c r="T37" s="328"/>
      <c r="U37" s="328"/>
      <c r="V37" s="328"/>
      <c r="W37" s="167">
        <f>SUMIF(P4:P34,Voreinstellungen!B25,U4:U34)+(SUMIF(P4:P34,Voreinstellungen!B26,U4:U34)*0.5)</f>
        <v>0</v>
      </c>
      <c r="Y37" s="374">
        <f>Voreinstellungen!J45</f>
        <v>0</v>
      </c>
      <c r="Z37" s="377">
        <f t="shared" ref="Z37:Z49" si="11">SUMIFS($AB$4:$AB$34,$G$4:$G$34,$Y37)+SUMIFS($AC$4:$AC$34,$L$4:$L$34,$Y37)</f>
        <v>0</v>
      </c>
      <c r="AA37" s="378">
        <f t="shared" ref="AA37:AA49" si="12">SUMIFS($I$4:$I$34,$G$4:$G$34,$Y37)+SUMIFS($N$4:$N$34,$L$4:$L$34,$Y37)</f>
        <v>0</v>
      </c>
      <c r="AB37" s="379">
        <f>SUM(AA37*Voreinstellungen!$C$44)</f>
        <v>0</v>
      </c>
    </row>
    <row r="38" spans="1:29" ht="12.75" customHeight="1" x14ac:dyDescent="0.2">
      <c r="A38" s="137"/>
      <c r="B38" s="138"/>
      <c r="C38" s="138"/>
      <c r="D38" s="138"/>
      <c r="E38" s="136"/>
      <c r="F38" s="294" t="str">
        <f>"IST Arbeitszeit ("&amp;TEXT(A1,"MMMM")&amp;"):"</f>
        <v>IST Arbeitszeit (April):</v>
      </c>
      <c r="G38" s="273"/>
      <c r="H38" s="273"/>
      <c r="I38" s="273"/>
      <c r="J38" s="297">
        <f>SUM(Q4:Q34)</f>
        <v>0</v>
      </c>
      <c r="K38" s="287"/>
      <c r="P38" s="296">
        <f>COUNTIF(P4:P34,Voreinstellungen!B20)</f>
        <v>0</v>
      </c>
      <c r="Q38" s="327" t="str">
        <f>Voreinstellungen!A20&amp;" ("&amp;Voreinstellungen!B20&amp;")"</f>
        <v>Gleittag (G)</v>
      </c>
      <c r="R38" s="328"/>
      <c r="S38" s="328"/>
      <c r="T38" s="328"/>
      <c r="U38" s="328"/>
      <c r="V38" s="328"/>
      <c r="W38" s="172"/>
      <c r="Y38" s="375">
        <f>Voreinstellungen!J46</f>
        <v>0</v>
      </c>
      <c r="Z38" s="380">
        <f t="shared" si="11"/>
        <v>0</v>
      </c>
      <c r="AA38" s="380">
        <f t="shared" si="12"/>
        <v>0</v>
      </c>
      <c r="AB38" s="381">
        <f>SUM(AA38*Voreinstellungen!$C$44)</f>
        <v>0</v>
      </c>
    </row>
    <row r="39" spans="1:29" ht="12.75" customHeight="1" x14ac:dyDescent="0.2">
      <c r="A39" s="137"/>
      <c r="B39" s="138"/>
      <c r="C39" s="138"/>
      <c r="D39" s="138"/>
      <c r="E39" s="136"/>
      <c r="F39" s="136" t="s">
        <v>84</v>
      </c>
      <c r="G39" s="274"/>
      <c r="H39" s="274"/>
      <c r="I39" s="274"/>
      <c r="J39" s="298"/>
      <c r="K39" s="287"/>
      <c r="P39" s="296">
        <f>COUNTIF(P4:P34,Voreinstellungen!B23)+IF(SUMIF(P4:P34,Voreinstellungen!B24,U4:U34)&lt;&gt;0,(1-(SUMIF(P4:P34,Voreinstellungen!B24,R4:R34)/SUMIF(P4:P34,Voreinstellungen!B24,U4:U34)))*COUNTIF(P4:P34,Voreinstellungen!B24),0)</f>
        <v>0</v>
      </c>
      <c r="Q39" s="327" t="str">
        <f>Voreinstellungen!A23&amp;" ("&amp;Voreinstellungen!B23&amp;")/("&amp;Voreinstellungen!B24&amp;")"</f>
        <v>Kurzarbeit (KU)/(KA)</v>
      </c>
      <c r="R39" s="329"/>
      <c r="S39" s="329"/>
      <c r="T39" s="329"/>
      <c r="U39" s="329"/>
      <c r="V39" s="329"/>
      <c r="W39" s="166">
        <f>(SUMIF(P4:P34,Voreinstellungen!B23,R4:R34)-SUMIF(P4:P34,Voreinstellungen!B23,U4:U34)+SUMIF(P4:P34,Voreinstellungen!B24,R4:R34)-SUMIF(P4:P34,Voreinstellungen!B24,U4:U34))*-1</f>
        <v>0</v>
      </c>
      <c r="Y39" s="375">
        <f>Voreinstellungen!J48</f>
        <v>0</v>
      </c>
      <c r="Z39" s="380">
        <f t="shared" si="11"/>
        <v>0</v>
      </c>
      <c r="AA39" s="380">
        <f t="shared" si="12"/>
        <v>0</v>
      </c>
      <c r="AB39" s="381">
        <f>SUM(AA39*Voreinstellungen!$C$44)</f>
        <v>0</v>
      </c>
    </row>
    <row r="40" spans="1:29" ht="12.75" customHeight="1" x14ac:dyDescent="0.2">
      <c r="A40" s="139"/>
      <c r="B40" s="140"/>
      <c r="C40" s="140"/>
      <c r="D40" s="140"/>
      <c r="E40" s="141"/>
      <c r="F40" s="299" t="s">
        <v>85</v>
      </c>
      <c r="G40" s="275"/>
      <c r="H40" s="275"/>
      <c r="I40" s="275"/>
      <c r="J40" s="300" t="e">
        <f ca="1">ROUND(J38+J36-J39-J37,14)</f>
        <v>#REF!</v>
      </c>
      <c r="K40" s="287"/>
      <c r="P40" s="296">
        <f>COUNTIF(Q4:Q34,"&gt;0")-IF(Voreinstellungen!C28="XTRA",COUNTIF(P4:P34,Voreinstellungen!B28),0)-IF(Voreinstellungen!C29="XTRA",COUNTIF(P4:P34,Voreinstellungen!B29),0)-IF(Voreinstellungen!C30="XTRA",COUNTIF(P4:P34,Voreinstellungen!B30),0)-IF(Voreinstellungen!C31="XTRA",COUNTIF(P4:P34,Voreinstellungen!B31),0)-IF(Voreinstellungen!C32="XTRA",COUNTIF(P4:P34,Voreinstellungen!B32),0)-IF(Voreinstellungen!C33="XTRA",COUNTIF(P4:P34,Voreinstellungen!B33),0)-COUNTIF(P4:P34,"H")</f>
        <v>0</v>
      </c>
      <c r="Q40" s="327" t="s">
        <v>86</v>
      </c>
      <c r="R40" s="328"/>
      <c r="S40" s="328"/>
      <c r="T40" s="328"/>
      <c r="U40" s="328"/>
      <c r="V40" s="328"/>
      <c r="W40" s="234"/>
      <c r="Y40" s="375">
        <f>Voreinstellungen!J49</f>
        <v>0</v>
      </c>
      <c r="Z40" s="380">
        <f t="shared" si="11"/>
        <v>0</v>
      </c>
      <c r="AA40" s="380">
        <f t="shared" si="12"/>
        <v>0</v>
      </c>
      <c r="AB40" s="381">
        <f>SUM(AA40*Voreinstellungen!$C$44)</f>
        <v>0</v>
      </c>
    </row>
    <row r="41" spans="1:29" ht="12.75" customHeight="1" x14ac:dyDescent="0.2">
      <c r="P41" s="296">
        <f>COUNTIF(P4:P34,Voreinstellungen!B27)</f>
        <v>0</v>
      </c>
      <c r="Q41" s="327" t="str">
        <f>Voreinstellungen!A27</f>
        <v>Homeoffice</v>
      </c>
      <c r="R41" s="328"/>
      <c r="S41" s="328"/>
      <c r="T41" s="328"/>
      <c r="U41" s="328"/>
      <c r="V41" s="328"/>
      <c r="W41" s="234"/>
      <c r="Y41" s="375">
        <f>Voreinstellungen!J50</f>
        <v>0</v>
      </c>
      <c r="Z41" s="380">
        <f t="shared" si="11"/>
        <v>0</v>
      </c>
      <c r="AA41" s="380">
        <f t="shared" si="12"/>
        <v>0</v>
      </c>
      <c r="AB41" s="381">
        <f>SUM(AA41*Voreinstellungen!$C$44)</f>
        <v>0</v>
      </c>
    </row>
    <row r="42" spans="1:29" ht="12.75" customHeight="1" x14ac:dyDescent="0.2">
      <c r="A42" s="169"/>
      <c r="B42" s="169"/>
      <c r="C42" s="169"/>
      <c r="D42" s="277"/>
      <c r="E42" s="277"/>
      <c r="F42" s="277"/>
      <c r="G42" s="277"/>
      <c r="H42" s="277"/>
      <c r="I42" s="277"/>
      <c r="J42" s="277"/>
      <c r="P42" s="302">
        <f>IF(Voreinstellungen!C28="","",IF(Voreinstellungen!C28="REST",IFERROR(SUMIF(P4:P34,Voreinstellungen!B28,Q4:Q34)/SUMIF(P4:P34,Voreinstellungen!B28,U4:U34),0),IF(Voreinstellungen!C28="NONE",COUNTIF(P4:P34,Voreinstellungen!B28),IF(Voreinstellungen!C28="XTRA",COUNTIF(P4:P34,Voreinstellungen!B28),COUNTIF(P4:P34,Voreinstellungen!B28)*IF(Voreinstellungen!C28=0,1,Voreinstellungen!C28)))))</f>
        <v>0</v>
      </c>
      <c r="Q42" s="330" t="str">
        <f>IF(Voreinstellungen!A28="","",REPT(Voreinstellungen!A28,1) &amp; " (" &amp; REPT(Voreinstellungen!B28,1) &amp; ")")</f>
        <v>Bereitschaft (B)</v>
      </c>
      <c r="R42" s="331"/>
      <c r="S42" s="331"/>
      <c r="T42" s="331"/>
      <c r="U42" s="331"/>
      <c r="V42" s="331"/>
      <c r="W42" s="168">
        <f>IF(ISBLANK(Voreinstellungen!C28),"",IF(Voreinstellungen!C28="REST",SUMIF(P4:P34,Voreinstellungen!B28,U4:U34)-SUMIF(P4:P34,Voreinstellungen!B28,Q4:Q34),IF(ISTEXT(Voreinstellungen!C28),SUMIF(P4:P34,Voreinstellungen!B28,Q4:Q34),"")))</f>
        <v>0</v>
      </c>
      <c r="Y42" s="375">
        <f>Voreinstellungen!J51</f>
        <v>0</v>
      </c>
      <c r="Z42" s="380">
        <f t="shared" si="11"/>
        <v>0</v>
      </c>
      <c r="AA42" s="380">
        <f t="shared" si="12"/>
        <v>0</v>
      </c>
      <c r="AB42" s="381">
        <f>SUM(AA42*Voreinstellungen!$C$44)</f>
        <v>0</v>
      </c>
    </row>
    <row r="43" spans="1:29" ht="12.75" customHeight="1" x14ac:dyDescent="0.2">
      <c r="A43" s="170"/>
      <c r="B43" s="170"/>
      <c r="C43" s="170"/>
      <c r="D43" s="278"/>
      <c r="E43" s="278"/>
      <c r="F43" s="278"/>
      <c r="G43" s="278"/>
      <c r="H43" s="278"/>
      <c r="I43" s="278"/>
      <c r="J43" s="278"/>
      <c r="P43" s="302">
        <f>IF(Voreinstellungen!C29="","",IF(Voreinstellungen!C29="REST",IFERROR(SUMIF(P4:P34,Voreinstellungen!B29,Q4:Q34)/SUMIF(P4:P34,Voreinstellungen!B29,U4:U34),0),IF(Voreinstellungen!C29="NONE",COUNTIF(P4:P34,Voreinstellungen!B29),IF(Voreinstellungen!C29="XTRA",COUNTIF(P4:P34,Voreinstellungen!B29),COUNTIF(P4:P34,Voreinstellungen!B29)*IF(Voreinstellungen!C29=0,1,Voreinstellungen!C29)))))</f>
        <v>0</v>
      </c>
      <c r="Q43" s="330" t="str">
        <f>IF(Voreinstellungen!A29="","",REPT(Voreinstellungen!A29,1) &amp; " (" &amp; REPT(Voreinstellungen!B29,1) &amp; ")")</f>
        <v>Eigener Code 1 (E1)</v>
      </c>
      <c r="R43" s="331"/>
      <c r="S43" s="331"/>
      <c r="T43" s="331"/>
      <c r="U43" s="331"/>
      <c r="V43" s="331"/>
      <c r="W43" s="168">
        <f>IF(ISBLANK(Voreinstellungen!C29),"",IF(Voreinstellungen!C29="REST",SUMIF(P4:P34,Voreinstellungen!B29,U4:U34)-SUMIF(P4:P34,Voreinstellungen!B29,Q4:Q34),IF(ISTEXT(Voreinstellungen!C29),SUMIF(P4:P34,Voreinstellungen!B29,Q4:Q34),"")))</f>
        <v>0</v>
      </c>
      <c r="Y43" s="375">
        <f>Voreinstellungen!J52</f>
        <v>0</v>
      </c>
      <c r="Z43" s="380">
        <f t="shared" si="11"/>
        <v>0</v>
      </c>
      <c r="AA43" s="380">
        <f t="shared" si="12"/>
        <v>0</v>
      </c>
      <c r="AB43" s="381">
        <f>SUM(AA43*Voreinstellungen!$C$44)</f>
        <v>0</v>
      </c>
    </row>
    <row r="44" spans="1:29" ht="12.75" customHeight="1" x14ac:dyDescent="0.2">
      <c r="A44" s="169" t="s">
        <v>46</v>
      </c>
      <c r="B44" s="169"/>
      <c r="C44" s="169"/>
      <c r="D44" s="277"/>
      <c r="E44" s="277"/>
      <c r="F44" s="277"/>
      <c r="G44" s="277"/>
      <c r="H44" s="277"/>
      <c r="I44" s="277"/>
      <c r="J44" s="277" t="s">
        <v>87</v>
      </c>
      <c r="P44" s="302">
        <f>IF(Voreinstellungen!C30="","",IF(Voreinstellungen!C30="REST",IFERROR(SUMIF(P4:P34,Voreinstellungen!B30,Q4:Q34)/SUMIF(P4:P34,Voreinstellungen!B30,U4:U34),0),IF(Voreinstellungen!C30="NONE",COUNTIF(P4:P34,Voreinstellungen!B30),IF(Voreinstellungen!C30="XTRA",COUNTIF(P4:P34,Voreinstellungen!B30),COUNTIF(P4:P34,Voreinstellungen!B30)*IF(Voreinstellungen!C30=0,1,Voreinstellungen!C30)))))</f>
        <v>0</v>
      </c>
      <c r="Q44" s="330" t="str">
        <f>IF(Voreinstellungen!A30="","",REPT(Voreinstellungen!A30,1) &amp; " (" &amp; REPT(Voreinstellungen!B30,1) &amp; ")")</f>
        <v>Eigener Code 2 (E2)</v>
      </c>
      <c r="R44" s="331"/>
      <c r="S44" s="331"/>
      <c r="T44" s="331"/>
      <c r="U44" s="331"/>
      <c r="V44" s="331"/>
      <c r="W44" s="168" t="str">
        <f>IF(ISBLANK(Voreinstellungen!C30),"",IF(Voreinstellungen!C30="REST",SUMIF(P4:P34,Voreinstellungen!B30,U4:U34)-SUMIF(P4:P34,Voreinstellungen!B30,Q4:Q34),IF(ISTEXT(Voreinstellungen!C30),SUMIF(P4:P34,Voreinstellungen!B30,Q4:Q34),"")))</f>
        <v/>
      </c>
      <c r="Y44" s="375">
        <f>Voreinstellungen!J53</f>
        <v>0</v>
      </c>
      <c r="Z44" s="380">
        <f t="shared" si="11"/>
        <v>0</v>
      </c>
      <c r="AA44" s="380">
        <f t="shared" si="12"/>
        <v>0</v>
      </c>
      <c r="AB44" s="381">
        <f>SUM(AA44*Voreinstellungen!$C$44)</f>
        <v>0</v>
      </c>
    </row>
    <row r="45" spans="1:29" ht="12.75" customHeight="1" x14ac:dyDescent="0.2">
      <c r="A45" s="169"/>
      <c r="B45" s="169"/>
      <c r="C45" s="169"/>
      <c r="D45" s="277"/>
      <c r="E45" s="277"/>
      <c r="F45" s="277"/>
      <c r="G45" s="277"/>
      <c r="H45" s="277"/>
      <c r="I45" s="277"/>
      <c r="J45" s="277"/>
      <c r="P45" s="302">
        <f>IF(Voreinstellungen!C31="","",IF(Voreinstellungen!C31="REST",IFERROR(SUMIF(P4:P34,Voreinstellungen!B31,Q4:Q34)/SUMIF(P4:P34,Voreinstellungen!B31,U4:U34),0),IF(Voreinstellungen!C31="NONE",COUNTIF(P4:P34,Voreinstellungen!B31),IF(Voreinstellungen!C31="XTRA",COUNTIF(P4:P34,Voreinstellungen!B31),COUNTIF(P4:P34,Voreinstellungen!B31)*IF(Voreinstellungen!C31=0,1,Voreinstellungen!C31)))))</f>
        <v>0</v>
      </c>
      <c r="Q45" s="330" t="str">
        <f>IF(Voreinstellungen!A31="","",REPT(Voreinstellungen!A31,1) &amp; " (" &amp; REPT(Voreinstellungen!B31,1) &amp; ")")</f>
        <v>Eigener Code 3 (E3)</v>
      </c>
      <c r="R45" s="331"/>
      <c r="S45" s="331"/>
      <c r="T45" s="331"/>
      <c r="U45" s="331"/>
      <c r="V45" s="331"/>
      <c r="W45" s="168" t="str">
        <f>IF(ISBLANK(Voreinstellungen!C31),"",IF(Voreinstellungen!C31="REST",SUMIF(P4:P34,Voreinstellungen!B31,U4:U34)-SUMIF(P4:P34,Voreinstellungen!B31,Q4:Q34),IF(ISTEXT(Voreinstellungen!C31),SUMIF(P4:P34,Voreinstellungen!B31,Q4:Q34),"")))</f>
        <v/>
      </c>
      <c r="Y45" s="375">
        <f>Voreinstellungen!J54</f>
        <v>0</v>
      </c>
      <c r="Z45" s="380">
        <f t="shared" si="11"/>
        <v>0</v>
      </c>
      <c r="AA45" s="380">
        <f t="shared" si="12"/>
        <v>0</v>
      </c>
      <c r="AB45" s="381">
        <f>SUM(AA45*Voreinstellungen!$C$44)</f>
        <v>0</v>
      </c>
    </row>
    <row r="46" spans="1:29" ht="12.75" customHeight="1" x14ac:dyDescent="0.2">
      <c r="A46" s="170"/>
      <c r="B46" s="170"/>
      <c r="C46" s="170"/>
      <c r="D46" s="278"/>
      <c r="E46" s="278"/>
      <c r="F46" s="278"/>
      <c r="G46" s="278"/>
      <c r="H46" s="278"/>
      <c r="I46" s="278"/>
      <c r="J46" s="278"/>
      <c r="P46" s="302">
        <f>IF(Voreinstellungen!C32="","",IF(Voreinstellungen!C32="REST",IFERROR(SUMIF(P4:P34,Voreinstellungen!B32,Q4:Q34)/SUMIF(P4:P34,Voreinstellungen!B32,U4:U34),0),IF(Voreinstellungen!C32="NONE",COUNTIF(P4:P34,Voreinstellungen!B32),IF(Voreinstellungen!C32="XTRA",COUNTIF(P4:P34,Voreinstellungen!B32),COUNTIF(P4:P34,Voreinstellungen!B32)*IF(Voreinstellungen!C32=0,1,Voreinstellungen!C32)))))</f>
        <v>0</v>
      </c>
      <c r="Q46" s="330" t="str">
        <f>IF(Voreinstellungen!A32="","",REPT(Voreinstellungen!A32,1) &amp; " (" &amp; REPT(Voreinstellungen!B32,1) &amp; ")")</f>
        <v>Eigener Code 4 (E4)</v>
      </c>
      <c r="R46" s="331"/>
      <c r="S46" s="331"/>
      <c r="T46" s="331"/>
      <c r="U46" s="331"/>
      <c r="V46" s="331"/>
      <c r="W46" s="168" t="str">
        <f>IF(ISBLANK(Voreinstellungen!C32),"",IF(Voreinstellungen!C32="REST",SUMIF(P4:P34,Voreinstellungen!B32,U4:U34)-SUMIF(P4:P34,Voreinstellungen!B32,Q4:Q34),IF(ISTEXT(Voreinstellungen!C32),SUMIF(P4:P34,Voreinstellungen!B32,Q4:Q34),"")))</f>
        <v/>
      </c>
      <c r="Y46" s="375">
        <f>Voreinstellungen!J55</f>
        <v>0</v>
      </c>
      <c r="Z46" s="380">
        <f t="shared" si="11"/>
        <v>0</v>
      </c>
      <c r="AA46" s="380">
        <f t="shared" si="12"/>
        <v>0</v>
      </c>
      <c r="AB46" s="381">
        <f>SUM(AA46*Voreinstellungen!$C$44)</f>
        <v>0</v>
      </c>
    </row>
    <row r="47" spans="1:29" ht="12.75" customHeight="1" x14ac:dyDescent="0.2">
      <c r="A47" s="169" t="s">
        <v>46</v>
      </c>
      <c r="B47" s="169"/>
      <c r="C47" s="169"/>
      <c r="D47" s="277"/>
      <c r="E47" s="277"/>
      <c r="F47" s="277"/>
      <c r="G47" s="277"/>
      <c r="H47" s="277"/>
      <c r="I47" s="277"/>
      <c r="J47" s="277" t="s">
        <v>88</v>
      </c>
      <c r="P47" s="303">
        <f>IF(Voreinstellungen!C33="","",IF(Voreinstellungen!C33="REST",IFERROR(SUMIF(P4:P34,Voreinstellungen!B33,Q4:Q34)/SUMIF(P4:P34,Voreinstellungen!B33,U4:U34),0),IF(Voreinstellungen!C33="NONE",COUNTIF(P4:P34,Voreinstellungen!B33),IF(Voreinstellungen!C33="XTRA",COUNTIF(P4:P34,Voreinstellungen!B33),COUNTIF(P4:P34,Voreinstellungen!B33)*IF(Voreinstellungen!C33=0,1,Voreinstellungen!C33)))))</f>
        <v>0</v>
      </c>
      <c r="Q47" s="332" t="str">
        <f>IF(Voreinstellungen!A33="","",REPT(Voreinstellungen!A33,1) &amp; " (" &amp; REPT(Voreinstellungen!B33,1) &amp; ")")</f>
        <v>Eigener Code 5 (E5)</v>
      </c>
      <c r="R47" s="333"/>
      <c r="S47" s="333"/>
      <c r="T47" s="333"/>
      <c r="U47" s="333"/>
      <c r="V47" s="333"/>
      <c r="W47" s="319" t="str">
        <f>IF(ISBLANK(Voreinstellungen!C33),"",IF(Voreinstellungen!C33="REST",SUMIF(P4:P34,Voreinstellungen!B33,U4:U34)-SUMIF(P4:P34,Voreinstellungen!B33,Q4:Q34),IF(ISTEXT(Voreinstellungen!C33),SUMIF(P4:P34,Voreinstellungen!B33,Q4:Q34),"")))</f>
        <v/>
      </c>
      <c r="Y47" s="375">
        <f>Voreinstellungen!J56</f>
        <v>0</v>
      </c>
      <c r="Z47" s="380">
        <f t="shared" si="11"/>
        <v>0</v>
      </c>
      <c r="AA47" s="380">
        <f t="shared" si="12"/>
        <v>0</v>
      </c>
      <c r="AB47" s="381">
        <f>SUM(AA47*Voreinstellungen!$C$44)</f>
        <v>0</v>
      </c>
    </row>
    <row r="48" spans="1:29" x14ac:dyDescent="0.2">
      <c r="P48" s="334"/>
      <c r="Q48" s="45" t="s">
        <v>148</v>
      </c>
      <c r="R48" s="335"/>
      <c r="S48" s="335"/>
      <c r="T48" s="335"/>
      <c r="U48" s="335"/>
      <c r="V48" s="336"/>
      <c r="W48" s="337">
        <f>SUM(I7:I34,N7:N34)</f>
        <v>0</v>
      </c>
      <c r="X48" s="338"/>
      <c r="Y48" s="375">
        <f>Voreinstellungen!J57</f>
        <v>0</v>
      </c>
      <c r="Z48" s="380">
        <f t="shared" si="11"/>
        <v>0</v>
      </c>
      <c r="AA48" s="380">
        <f t="shared" si="12"/>
        <v>0</v>
      </c>
      <c r="AB48" s="381">
        <f>SUM(AA48*Voreinstellungen!$C$44)</f>
        <v>0</v>
      </c>
    </row>
    <row r="49" spans="1:30" x14ac:dyDescent="0.2">
      <c r="Q49" s="339"/>
      <c r="R49" s="340"/>
      <c r="S49" s="340"/>
      <c r="T49" s="340"/>
      <c r="U49" s="339"/>
      <c r="V49" s="339"/>
      <c r="Y49" s="376">
        <f>Voreinstellungen!J58</f>
        <v>0</v>
      </c>
      <c r="Z49" s="382">
        <f t="shared" si="11"/>
        <v>0</v>
      </c>
      <c r="AA49" s="382">
        <f t="shared" si="12"/>
        <v>0</v>
      </c>
      <c r="AB49" s="383">
        <f>SUM(AA49*Voreinstellungen!$C$44)</f>
        <v>0</v>
      </c>
    </row>
    <row r="51" spans="1:30" s="373" customFormat="1" x14ac:dyDescent="0.2">
      <c r="A51" s="45"/>
      <c r="B51" s="45"/>
      <c r="C51" s="45"/>
      <c r="D51" s="276"/>
      <c r="E51" s="301"/>
      <c r="F51" s="276"/>
      <c r="G51" s="276"/>
      <c r="H51" s="276"/>
      <c r="I51" s="276"/>
      <c r="J51" s="276"/>
      <c r="K51" s="276"/>
      <c r="L51" s="287"/>
      <c r="M51" s="287"/>
      <c r="N51" s="287"/>
      <c r="O51" s="287"/>
      <c r="P51" s="287"/>
      <c r="Q51" s="45"/>
      <c r="R51" s="46"/>
      <c r="S51" s="46"/>
      <c r="T51" s="46"/>
      <c r="U51" s="45"/>
      <c r="V51" s="45"/>
      <c r="W51" s="45"/>
      <c r="X51" s="45"/>
      <c r="Y51" s="367"/>
      <c r="Z51" s="368"/>
      <c r="AA51" s="368"/>
      <c r="AB51" s="369"/>
      <c r="AC51" s="45"/>
      <c r="AD51" s="45"/>
    </row>
    <row r="52" spans="1:30" x14ac:dyDescent="0.2">
      <c r="Y52" s="341" t="s">
        <v>153</v>
      </c>
      <c r="Z52" s="346">
        <f>SUM(Z37:Z49)</f>
        <v>0</v>
      </c>
      <c r="AA52" s="342">
        <f>SUM(AA37:AA49)</f>
        <v>0</v>
      </c>
      <c r="AB52" s="343">
        <f>SUM(AB37:AB49)</f>
        <v>0</v>
      </c>
    </row>
  </sheetData>
  <mergeCells count="3">
    <mergeCell ref="A1:C2"/>
    <mergeCell ref="V1:W1"/>
    <mergeCell ref="V2:W2"/>
  </mergeCells>
  <conditionalFormatting sqref="E4:E34">
    <cfRule type="expression" dxfId="362" priority="7">
      <formula>ISTEXT($E4)</formula>
    </cfRule>
  </conditionalFormatting>
  <conditionalFormatting sqref="F4:I34">
    <cfRule type="expression" dxfId="361" priority="6">
      <formula>ISTEXT($F4)</formula>
    </cfRule>
  </conditionalFormatting>
  <conditionalFormatting sqref="J4:J34">
    <cfRule type="expression" dxfId="360" priority="5">
      <formula>ISTEXT($J4)</formula>
    </cfRule>
  </conditionalFormatting>
  <conditionalFormatting sqref="K4:K34">
    <cfRule type="expression" dxfId="359" priority="4">
      <formula>ISTEXT($K4)</formula>
    </cfRule>
  </conditionalFormatting>
  <conditionalFormatting sqref="P36:P47">
    <cfRule type="expression" dxfId="358" priority="1">
      <formula>MOD(P36,1)=0</formula>
    </cfRule>
  </conditionalFormatting>
  <conditionalFormatting sqref="Q4:W34 A4:O34">
    <cfRule type="expression" dxfId="357" priority="16">
      <formula>WEEKDAY($A4,2)=6</formula>
    </cfRule>
    <cfRule type="expression" dxfId="356" priority="17">
      <formula>OR(WEEKDAY($A4,2)=7,$C4&lt;&gt;"")</formula>
    </cfRule>
  </conditionalFormatting>
  <conditionalFormatting sqref="M5:O34">
    <cfRule type="expression" dxfId="355" priority="3">
      <formula>ISTEXT($F5)</formula>
    </cfRule>
  </conditionalFormatting>
  <conditionalFormatting sqref="P4:P34">
    <cfRule type="expression" dxfId="354" priority="26">
      <formula>WEEKDAY($A4,2)=6</formula>
    </cfRule>
    <cfRule type="expression" dxfId="353" priority="27">
      <formula>OR(WEEKDAY($A4,2)=7,$C4&lt;&gt;"")</formula>
    </cfRule>
  </conditionalFormatting>
  <conditionalFormatting sqref="N4:N34">
    <cfRule type="expression" dxfId="352" priority="2">
      <formula>ISTEXT($F4)</formula>
    </cfRule>
  </conditionalFormatting>
  <dataValidations count="3">
    <dataValidation type="list" showErrorMessage="1" sqref="P4:P34" xr:uid="{BCB6A607-13B7-4837-B995-567F27367507}">
      <formula1>CodeList</formula1>
    </dataValidation>
    <dataValidation type="list" allowBlank="1" showInputMessage="1" showErrorMessage="1" sqref="D4:D34 G4:G34 L4:L34" xr:uid="{133CEC4A-425E-47E0-B201-E60E45EAE819}">
      <formula1>Einsatzorte</formula1>
    </dataValidation>
    <dataValidation type="list" allowBlank="1" showInputMessage="1" showErrorMessage="1" sqref="H4:H34 M4:M34" xr:uid="{DAFEF2BD-94D4-4993-A2F1-414A76602E17}">
      <formula1>Tätigkeiten</formula1>
    </dataValidation>
  </dataValidations>
  <printOptions horizontalCentered="1" verticalCentered="1"/>
  <pageMargins left="0.23622047244094491" right="0.23622047244094491" top="0.23622047244094491" bottom="0.23622047244094491" header="0.11811023622047245" footer="0.11811023622047245"/>
  <pageSetup paperSize="9" scale="95" firstPageNumber="0" orientation="landscape" r:id="rId1"/>
  <headerFooter alignWithMargins="0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8" id="{E5B7F3F0-2E0F-4393-AE3E-6A03A6AA499C}">
            <xm:f>$P4=Voreinstellungen!$B$25</xm:f>
            <x14:dxf>
              <fill>
                <patternFill>
                  <bgColor rgb="FF0070C0"/>
                </patternFill>
              </fill>
            </x14:dxf>
          </x14:cfRule>
          <x14:cfRule type="expression" priority="9" id="{E8053F51-9DE6-4ABC-8709-96495667102D}">
            <xm:f>$P4=Voreinstellungen!$B$26</xm:f>
            <x14:dxf>
              <fill>
                <patternFill>
                  <bgColor rgb="FF00B0F0"/>
                </patternFill>
              </fill>
            </x14:dxf>
          </x14:cfRule>
          <x14:cfRule type="expression" priority="10" id="{D9A780C8-A947-4E2A-A17F-9BE9951E80E0}">
            <xm:f>$P4=Voreinstellungen!$B$20</xm:f>
            <x14:dxf>
              <fill>
                <patternFill>
                  <bgColor theme="4" tint="0.59996337778862885"/>
                </patternFill>
              </fill>
            </x14:dxf>
          </x14:cfRule>
          <x14:cfRule type="expression" priority="11" id="{D5500A8D-DE32-49E5-8999-96FAB35E8E9F}">
            <xm:f>$P4=Voreinstellungen!$B$21</xm:f>
            <x14:dxf>
              <fill>
                <patternFill>
                  <bgColor indexed="13"/>
                </patternFill>
              </fill>
            </x14:dxf>
          </x14:cfRule>
          <x14:cfRule type="expression" priority="12" id="{208DA1EC-3DAC-4D71-A1B2-B3FE25BE8810}">
            <xm:f>$P4=Voreinstellungen!$B$22</xm:f>
            <x14:dxf>
              <fill>
                <patternFill>
                  <bgColor rgb="FFFFFF66"/>
                </patternFill>
              </fill>
            </x14:dxf>
          </x14:cfRule>
          <x14:cfRule type="expression" priority="13" id="{9A680194-FD80-4B30-9666-AEC0E1BB8B63}">
            <xm:f>$P4=Voreinstellungen!$B$31</xm:f>
            <x14:dxf>
              <fill>
                <patternFill>
                  <bgColor theme="3" tint="0.59996337778862885"/>
                </patternFill>
              </fill>
            </x14:dxf>
          </x14:cfRule>
          <x14:cfRule type="expression" priority="14" id="{1132019D-54A3-4D98-9890-97525354596C}">
            <xm:f>$P4=Voreinstellungen!$B$32</xm:f>
            <x14:dxf>
              <fill>
                <patternFill>
                  <bgColor rgb="FF92D050"/>
                </patternFill>
              </fill>
            </x14:dxf>
          </x14:cfRule>
          <x14:cfRule type="expression" priority="15" id="{1359D2DB-D9BE-4DDA-8CC1-C30A2B51D92B}">
            <xm:f>$P4=Voreinstellungen!$B$33</xm:f>
            <x14:dxf>
              <fill>
                <patternFill>
                  <bgColor theme="9" tint="0.39994506668294322"/>
                </patternFill>
              </fill>
            </x14:dxf>
          </x14:cfRule>
          <xm:sqref>Q4:W34 A4:O34</xm:sqref>
        </x14:conditionalFormatting>
        <x14:conditionalFormatting xmlns:xm="http://schemas.microsoft.com/office/excel/2006/main">
          <x14:cfRule type="expression" priority="18" id="{AE2076D3-5303-4542-BB16-C2CD9711EFC6}">
            <xm:f>$L4=Voreinstellungen!$B$25</xm:f>
            <x14:dxf>
              <fill>
                <patternFill>
                  <bgColor rgb="FF0070C0"/>
                </patternFill>
              </fill>
            </x14:dxf>
          </x14:cfRule>
          <x14:cfRule type="expression" priority="19" id="{CEA97610-23AF-43F6-BA6D-A7EAF05A9295}">
            <xm:f>$L4=Voreinstellungen!$B$26</xm:f>
            <x14:dxf>
              <fill>
                <patternFill>
                  <bgColor rgb="FF00B0F0"/>
                </patternFill>
              </fill>
            </x14:dxf>
          </x14:cfRule>
          <x14:cfRule type="expression" priority="20" id="{B438BA9C-C851-4B18-99C8-6FD4DCD4D0F5}">
            <xm:f>$L4=Voreinstellungen!$B$20</xm:f>
            <x14:dxf>
              <fill>
                <patternFill>
                  <bgColor theme="4" tint="0.59996337778862885"/>
                </patternFill>
              </fill>
            </x14:dxf>
          </x14:cfRule>
          <x14:cfRule type="expression" priority="21" id="{DACE335B-7A04-44B1-8AC2-30294D53C0E6}">
            <xm:f>$L4=Voreinstellungen!$B$21</xm:f>
            <x14:dxf>
              <fill>
                <patternFill>
                  <bgColor indexed="13"/>
                </patternFill>
              </fill>
            </x14:dxf>
          </x14:cfRule>
          <x14:cfRule type="expression" priority="22" id="{F883353A-E1B2-418C-A25A-24481FF4C1F1}">
            <xm:f>$L4=Voreinstellungen!$B$22</xm:f>
            <x14:dxf>
              <fill>
                <patternFill>
                  <bgColor rgb="FFFFFF66"/>
                </patternFill>
              </fill>
            </x14:dxf>
          </x14:cfRule>
          <x14:cfRule type="expression" priority="23" id="{E92AF7A7-1339-4E22-A8EA-9B340D9652AD}">
            <xm:f>$L4=Voreinstellungen!$B$31</xm:f>
            <x14:dxf>
              <fill>
                <patternFill>
                  <bgColor theme="3" tint="0.59996337778862885"/>
                </patternFill>
              </fill>
            </x14:dxf>
          </x14:cfRule>
          <x14:cfRule type="expression" priority="24" id="{2E739E3C-7B19-494A-8A5C-5846A0C183EA}">
            <xm:f>$L4=Voreinstellungen!$B$32</xm:f>
            <x14:dxf>
              <fill>
                <patternFill>
                  <bgColor rgb="FF92D050"/>
                </patternFill>
              </fill>
            </x14:dxf>
          </x14:cfRule>
          <x14:cfRule type="expression" priority="25" id="{ECFD1423-DD54-4F9C-9BAB-3A7E31349D34}">
            <xm:f>$L4=Voreinstellungen!$B$33</xm:f>
            <x14:dxf>
              <fill>
                <patternFill>
                  <bgColor theme="9" tint="0.39994506668294322"/>
                </patternFill>
              </fill>
            </x14:dxf>
          </x14:cfRule>
          <xm:sqref>P4:P34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06">
    <tabColor theme="2" tint="-0.249977111117893"/>
    <pageSetUpPr fitToPage="1"/>
  </sheetPr>
  <dimension ref="A1:AD52"/>
  <sheetViews>
    <sheetView showGridLines="0" showZeros="0" zoomScale="90" zoomScaleNormal="90" workbookViewId="0">
      <pane ySplit="3" topLeftCell="A4" activePane="bottomLeft" state="frozen"/>
      <selection activeCell="T6" sqref="T6"/>
      <selection pane="bottomLeft" activeCell="T6" sqref="T6"/>
    </sheetView>
  </sheetViews>
  <sheetFormatPr baseColWidth="10" defaultColWidth="11.5703125" defaultRowHeight="12.75" x14ac:dyDescent="0.2"/>
  <cols>
    <col min="1" max="1" width="9.28515625" style="45" customWidth="1"/>
    <col min="2" max="2" width="5.7109375" style="45" customWidth="1"/>
    <col min="3" max="3" width="18.7109375" style="45" customWidth="1"/>
    <col min="4" max="4" width="11.140625" style="276" bestFit="1" customWidth="1"/>
    <col min="5" max="5" width="7.7109375" style="301" customWidth="1"/>
    <col min="6" max="6" width="7.7109375" style="276" customWidth="1"/>
    <col min="7" max="8" width="12.7109375" style="276" customWidth="1"/>
    <col min="9" max="9" width="4.7109375" style="276" customWidth="1"/>
    <col min="10" max="11" width="7.7109375" style="276" customWidth="1"/>
    <col min="12" max="13" width="12.7109375" style="287" customWidth="1"/>
    <col min="14" max="14" width="4.7109375" style="287" customWidth="1"/>
    <col min="15" max="15" width="6.42578125" style="287" customWidth="1"/>
    <col min="16" max="16" width="3.7109375" style="287" customWidth="1"/>
    <col min="17" max="17" width="7.7109375" style="45" customWidth="1"/>
    <col min="18" max="20" width="7.7109375" style="46" customWidth="1"/>
    <col min="21" max="21" width="4.28515625" style="45" bestFit="1" customWidth="1"/>
    <col min="22" max="22" width="20.7109375" style="45" customWidth="1"/>
    <col min="23" max="23" width="7.7109375" style="45" customWidth="1"/>
    <col min="24" max="24" width="0.7109375" style="45" customWidth="1"/>
    <col min="25" max="25" width="14.7109375" style="45" customWidth="1"/>
    <col min="26" max="27" width="11.5703125" style="45"/>
    <col min="28" max="28" width="13.7109375" style="45" bestFit="1" customWidth="1"/>
    <col min="29" max="29" width="0.7109375" style="45" customWidth="1"/>
    <col min="30" max="16384" width="11.5703125" style="45"/>
  </cols>
  <sheetData>
    <row r="1" spans="1:29" ht="15" customHeight="1" x14ac:dyDescent="0.2">
      <c r="A1" s="678">
        <f>DATE(Jahr,5,1)</f>
        <v>44316</v>
      </c>
      <c r="B1" s="679"/>
      <c r="C1" s="679"/>
      <c r="D1" s="370"/>
      <c r="E1" s="370"/>
      <c r="F1" s="370"/>
      <c r="G1" s="370"/>
      <c r="H1" s="370"/>
      <c r="I1" s="370"/>
      <c r="J1" s="285"/>
      <c r="K1" s="285"/>
      <c r="L1" s="285"/>
      <c r="M1" s="285" t="str">
        <f>"Nettoarbeitstage: "&amp;NETWORKDAYS(A1,EOMONTH(A1,0),Feiertage!A4:A39)</f>
        <v>Nettoarbeitstage: 20</v>
      </c>
      <c r="N1" s="285"/>
      <c r="O1" s="285"/>
      <c r="P1" s="288"/>
      <c r="Q1" s="260"/>
      <c r="R1" s="260"/>
      <c r="S1" s="260"/>
      <c r="T1" s="260"/>
      <c r="U1" s="260"/>
      <c r="V1" s="684" t="str">
        <f>Voreinstellungen!C3</f>
        <v>Vivien Günther</v>
      </c>
      <c r="W1" s="685"/>
    </row>
    <row r="2" spans="1:29" ht="15" customHeight="1" x14ac:dyDescent="0.2">
      <c r="A2" s="680"/>
      <c r="B2" s="681"/>
      <c r="C2" s="681"/>
      <c r="D2" s="371"/>
      <c r="E2" s="371"/>
      <c r="F2" s="371"/>
      <c r="G2" s="371"/>
      <c r="H2" s="371"/>
      <c r="I2" s="371"/>
      <c r="J2" s="371"/>
      <c r="K2" s="371"/>
      <c r="L2" s="286"/>
      <c r="M2" s="286"/>
      <c r="N2" s="286"/>
      <c r="O2" s="286"/>
      <c r="P2" s="289"/>
      <c r="Q2" s="259"/>
      <c r="R2" s="259"/>
      <c r="S2" s="259"/>
      <c r="T2" s="259"/>
      <c r="U2" s="259"/>
      <c r="V2" s="686" t="str">
        <f>IF(ISBLANK(Voreinstellungen!C4),"","Personal-Nr.: "&amp;Voreinstellungen!C4)</f>
        <v>Personal-Nr.: 60161</v>
      </c>
      <c r="W2" s="687"/>
    </row>
    <row r="3" spans="1:29" s="47" customFormat="1" ht="36" customHeight="1" x14ac:dyDescent="0.2">
      <c r="A3" s="204" t="s">
        <v>73</v>
      </c>
      <c r="B3" s="205"/>
      <c r="C3" s="204" t="s">
        <v>26</v>
      </c>
      <c r="D3" s="284" t="s">
        <v>143</v>
      </c>
      <c r="E3" s="282" t="s">
        <v>74</v>
      </c>
      <c r="F3" s="253" t="s">
        <v>75</v>
      </c>
      <c r="G3" s="253" t="s">
        <v>141</v>
      </c>
      <c r="H3" s="110" t="s">
        <v>134</v>
      </c>
      <c r="I3" s="257" t="s">
        <v>135</v>
      </c>
      <c r="J3" s="282" t="s">
        <v>76</v>
      </c>
      <c r="K3" s="206" t="s">
        <v>77</v>
      </c>
      <c r="L3" s="258" t="s">
        <v>142</v>
      </c>
      <c r="M3" s="279" t="s">
        <v>134</v>
      </c>
      <c r="N3" s="257" t="s">
        <v>135</v>
      </c>
      <c r="O3" s="282" t="s">
        <v>144</v>
      </c>
      <c r="P3" s="283" t="s">
        <v>24</v>
      </c>
      <c r="Q3" s="171" t="s">
        <v>78</v>
      </c>
      <c r="R3" s="171" t="s">
        <v>79</v>
      </c>
      <c r="S3" s="171" t="s">
        <v>147</v>
      </c>
      <c r="T3" s="207" t="s">
        <v>80</v>
      </c>
      <c r="U3" s="208" t="s">
        <v>81</v>
      </c>
      <c r="V3" s="209" t="s">
        <v>82</v>
      </c>
      <c r="W3" s="171" t="s">
        <v>83</v>
      </c>
      <c r="X3" s="306">
        <f>PauseGWert</f>
        <v>3.125E-2</v>
      </c>
    </row>
    <row r="4" spans="1:29" s="19" customFormat="1" ht="12" x14ac:dyDescent="0.2">
      <c r="A4" s="311">
        <f>A1</f>
        <v>44316</v>
      </c>
      <c r="B4" s="210">
        <f t="shared" ref="B4:B34" si="0">A4</f>
        <v>44316</v>
      </c>
      <c r="C4" s="261" t="str">
        <f t="shared" ref="C4:C31" si="1">IF(ISERROR(VLOOKUP(B4,Feiertage,2,FALSE)),"",(VLOOKUP(B4,Feiertage,2,FALSE)))</f>
        <v>Maifeiertag</v>
      </c>
      <c r="D4" s="366"/>
      <c r="E4" s="351"/>
      <c r="F4" s="254"/>
      <c r="G4" s="307"/>
      <c r="H4" s="318"/>
      <c r="I4" s="347">
        <f>IFERROR(VLOOKUP(D4&amp;G4,tbl_Entfernung[[Verketten]:[Entfernung]],2,FALSE),"")</f>
        <v>0</v>
      </c>
      <c r="J4" s="360"/>
      <c r="K4" s="351"/>
      <c r="L4" s="307"/>
      <c r="M4" s="314"/>
      <c r="N4" s="320">
        <f>IFERROR(VLOOKUP(G4&amp;L4,tbl_Entfernung[[Verketten]:[Entfernung]],2,FALSE),"")</f>
        <v>0</v>
      </c>
      <c r="O4" s="315">
        <f>IF(S4&gt;PauseGTime,PauseGWert,IF(S4&gt;PauseKTime,PauseKWert,IF(S4&lt;=PauseKTime,0,WENN)))</f>
        <v>0</v>
      </c>
      <c r="P4" s="363"/>
      <c r="Q4" s="355">
        <f t="shared" ref="Q4:Q34" si="2">IF(A4="",0,IF(IF(E4&lt;F4,F4-E4,IF(F4="",0,F4-E4+1))+IF(J4&lt;K4,K4-J4,IF(K4="",0,K4-J4+1))-O4&gt;0,IF(E4&lt;F4,F4-E4,IF(F4="",0,F4-E4+1))+IF(J4&lt;K4,K4-J4,IF(K4="",0,K4-J4+1))-O4,0))</f>
        <v>0</v>
      </c>
      <c r="R4" s="224">
        <f t="shared" ref="R4:R34" ca="1" si="3">IF(AND(C4&lt;&gt;"",P4=""),IF(ISERROR(VLOOKUP(B4,Feiertage,2,FALSE)),0,VLOOKUP(B4,Feiertage,3,FALSE)*U4),IF(A4="",0,IF(P4&lt;&gt;"",IF(UPPER(P4)=VLOOKUP(UPPER(P4),Code,1,FALSE),IF(OR(VLOOKUP(P4,Code,2,FALSE)="NONE",VLOOKUP(P4,Code,2,FALSE)="XTRA",VLOOKUP(P4,Code,2,FALSE)="REST"),Q4,IF(ISERROR(VLOOKUP(B4,Feiertage,2,FALSE)),VLOOKUP(P4,Code,2,FALSE)*U4,IF(VLOOKUP(B4,Feiertage,3,FALSE)=0.5,IF(OR(UPPER(P4)="G",UPPER(P4)="H"),VLOOKUP(B4,Feiertage,3,FALSE)*VLOOKUP(P4,Code,2,FALSE)*U4,0),VLOOKUP(B4,Feiertage,3,FALSE)*VLOOKUP(P4,Code,2,FALSE)*U4))),U4),U4)))</f>
        <v>0</v>
      </c>
      <c r="S4" s="224">
        <f>IF(A4="",0,IF(IF(E4&lt;F4,F4-E4,IF(F4="",0,F4-E4+1))+IF(J4&lt;K4,K4-J4,IF(K4="",0,K4-J4+1))&gt;0,IF(E4&lt;F4,F4-E4,IF(F4="",0,F4-E4+1))+IF(J4&lt;K4,K4-J4,IF(K4="",0,K4-J4+1)),0))</f>
        <v>0</v>
      </c>
      <c r="T4" s="211">
        <f t="shared" ref="T4:T34" ca="1" si="4">IF(A4="",0,ROUND(Q4-R4,14))</f>
        <v>0</v>
      </c>
      <c r="U4" s="250">
        <f t="shared" ref="U4:U34" ca="1" si="5">IF(A4="",0,INDIRECT(ADDRESS(MATCH(A4,SOLL_AZ_Ab,1)+11,WEEKDAY(A4,2)+3,,,"Voreinstellungen"),TRUE))</f>
        <v>0.29166666666666669</v>
      </c>
      <c r="V4" s="212"/>
      <c r="W4" s="213" t="e">
        <f ca="1">IF(A4="","",IF(T4&lt;&gt;"",ROUND(J36+T4,14),J36))</f>
        <v>#REF!</v>
      </c>
      <c r="Y4" s="305"/>
      <c r="AB4" s="344">
        <f>MOD(F4-E4,1)*24</f>
        <v>0</v>
      </c>
      <c r="AC4" s="344">
        <f>MOD(K4-J4,1)*24</f>
        <v>0</v>
      </c>
    </row>
    <row r="5" spans="1:29" s="19" customFormat="1" ht="12" x14ac:dyDescent="0.2">
      <c r="A5" s="312">
        <f t="shared" ref="A5:A31" si="6">A4+1</f>
        <v>44317</v>
      </c>
      <c r="B5" s="129">
        <f t="shared" si="0"/>
        <v>44317</v>
      </c>
      <c r="C5" s="262" t="str">
        <f t="shared" si="1"/>
        <v/>
      </c>
      <c r="D5" s="358"/>
      <c r="E5" s="352"/>
      <c r="F5" s="255"/>
      <c r="G5" s="308"/>
      <c r="H5" s="308"/>
      <c r="I5" s="348">
        <f>IFERROR(VLOOKUP(D5&amp;G5,tbl_Entfernung[[Verketten]:[Entfernung]],2,FALSE),"")</f>
        <v>0</v>
      </c>
      <c r="J5" s="361"/>
      <c r="K5" s="352"/>
      <c r="L5" s="308"/>
      <c r="M5" s="308"/>
      <c r="N5" s="321">
        <f>IFERROR(VLOOKUP(G5&amp;L5,tbl_Entfernung[[Verketten]:[Entfernung]],2,FALSE),"")</f>
        <v>0</v>
      </c>
      <c r="O5" s="316">
        <f>IF(S5&gt;PauseGTime,PauseGWert,IF(S5&gt;PauseKTime,PauseKWert,IF(S5&lt;=PauseKTime,0,WENN)))</f>
        <v>0</v>
      </c>
      <c r="P5" s="364"/>
      <c r="Q5" s="356">
        <f t="shared" si="2"/>
        <v>0</v>
      </c>
      <c r="R5" s="225">
        <f t="shared" ca="1" si="3"/>
        <v>0.29166666666666669</v>
      </c>
      <c r="S5" s="225">
        <f t="shared" ref="S5:S34" si="7">IF(A5="",0,IF(IF(E5&lt;F5,F5-E5,IF(F5="",0,F5-E5+1))+IF(J5&lt;K5,K5-J5,IF(K5="",0,K5-J5+1))&gt;0,IF(E5&lt;F5,F5-E5,IF(F5="",0,F5-E5+1))+IF(J5&lt;K5,K5-J5,IF(K5="",0,K5-J5+1)),0))</f>
        <v>0</v>
      </c>
      <c r="T5" s="130">
        <f t="shared" ca="1" si="4"/>
        <v>-0.29166666666667002</v>
      </c>
      <c r="U5" s="251">
        <f t="shared" ca="1" si="5"/>
        <v>0.29166666666666669</v>
      </c>
      <c r="V5" s="131"/>
      <c r="W5" s="214" t="e">
        <f t="shared" ref="W5:W34" ca="1" si="8">IF(A5="","",IF(T5&lt;&gt;"",ROUND(W4+T5,14),W4))</f>
        <v>#REF!</v>
      </c>
      <c r="AB5" s="345">
        <f t="shared" ref="AB5:AB34" si="9">MOD(F5-E5,1)*24</f>
        <v>0</v>
      </c>
      <c r="AC5" s="345">
        <f t="shared" ref="AC5:AC34" si="10">MOD(K5-J5,1)*24</f>
        <v>0</v>
      </c>
    </row>
    <row r="6" spans="1:29" s="19" customFormat="1" ht="12" x14ac:dyDescent="0.2">
      <c r="A6" s="312">
        <f t="shared" si="6"/>
        <v>44318</v>
      </c>
      <c r="B6" s="129">
        <f t="shared" si="0"/>
        <v>44318</v>
      </c>
      <c r="C6" s="262" t="str">
        <f t="shared" si="1"/>
        <v/>
      </c>
      <c r="D6" s="358"/>
      <c r="E6" s="352"/>
      <c r="F6" s="255"/>
      <c r="G6" s="309"/>
      <c r="H6" s="309"/>
      <c r="I6" s="348">
        <f>IFERROR(VLOOKUP(D6&amp;G6,tbl_Entfernung[[Verketten]:[Entfernung]],2,FALSE),"")</f>
        <v>0</v>
      </c>
      <c r="J6" s="361"/>
      <c r="K6" s="352"/>
      <c r="L6" s="309"/>
      <c r="M6" s="309"/>
      <c r="N6" s="321">
        <f>IFERROR(VLOOKUP(G6&amp;L6,tbl_Entfernung[[Verketten]:[Entfernung]],2,FALSE),"")</f>
        <v>0</v>
      </c>
      <c r="O6" s="316">
        <f>IF(S6&gt;PauseGTime,PauseGWert,IF(S6&gt;PauseKTime,PauseKWert,IF(S6&lt;=PauseKTime,0,WENN)))</f>
        <v>0</v>
      </c>
      <c r="P6" s="364"/>
      <c r="Q6" s="356">
        <f t="shared" si="2"/>
        <v>0</v>
      </c>
      <c r="R6" s="225">
        <f t="shared" ca="1" si="3"/>
        <v>0</v>
      </c>
      <c r="S6" s="225">
        <f t="shared" si="7"/>
        <v>0</v>
      </c>
      <c r="T6" s="130">
        <f t="shared" ca="1" si="4"/>
        <v>0</v>
      </c>
      <c r="U6" s="251">
        <f t="shared" ca="1" si="5"/>
        <v>0</v>
      </c>
      <c r="V6" s="131"/>
      <c r="W6" s="214" t="e">
        <f t="shared" ca="1" si="8"/>
        <v>#REF!</v>
      </c>
      <c r="AB6" s="345">
        <f t="shared" si="9"/>
        <v>0</v>
      </c>
      <c r="AC6" s="345">
        <f t="shared" si="10"/>
        <v>0</v>
      </c>
    </row>
    <row r="7" spans="1:29" s="19" customFormat="1" ht="12" x14ac:dyDescent="0.2">
      <c r="A7" s="312">
        <f t="shared" si="6"/>
        <v>44319</v>
      </c>
      <c r="B7" s="129">
        <f t="shared" si="0"/>
        <v>44319</v>
      </c>
      <c r="C7" s="262" t="str">
        <f t="shared" si="1"/>
        <v/>
      </c>
      <c r="D7" s="358"/>
      <c r="E7" s="352"/>
      <c r="F7" s="255"/>
      <c r="G7" s="309"/>
      <c r="H7" s="309"/>
      <c r="I7" s="348">
        <f>IFERROR(VLOOKUP(D7&amp;G7,tbl_Entfernung[[Verketten]:[Entfernung]],2,FALSE),"")</f>
        <v>0</v>
      </c>
      <c r="J7" s="361"/>
      <c r="K7" s="352"/>
      <c r="L7" s="309"/>
      <c r="M7" s="309"/>
      <c r="N7" s="321">
        <f>IFERROR(VLOOKUP(G7&amp;L7,tbl_Entfernung[[Verketten]:[Entfernung]],2,FALSE),"")</f>
        <v>0</v>
      </c>
      <c r="O7" s="316">
        <f>IF(S7&gt;PauseGTime,PauseGWert,IF(S7&gt;PauseKTime,PauseKWert,IF(S7&lt;=PauseKTime,0,WENN)))</f>
        <v>0</v>
      </c>
      <c r="P7" s="364"/>
      <c r="Q7" s="356">
        <f t="shared" si="2"/>
        <v>0</v>
      </c>
      <c r="R7" s="225">
        <f t="shared" ca="1" si="3"/>
        <v>0</v>
      </c>
      <c r="S7" s="225">
        <f t="shared" si="7"/>
        <v>0</v>
      </c>
      <c r="T7" s="130">
        <f t="shared" ca="1" si="4"/>
        <v>0</v>
      </c>
      <c r="U7" s="251">
        <f t="shared" ca="1" si="5"/>
        <v>0</v>
      </c>
      <c r="V7" s="131"/>
      <c r="W7" s="214" t="e">
        <f t="shared" ca="1" si="8"/>
        <v>#REF!</v>
      </c>
      <c r="AB7" s="345">
        <f t="shared" si="9"/>
        <v>0</v>
      </c>
      <c r="AC7" s="345">
        <f t="shared" si="10"/>
        <v>0</v>
      </c>
    </row>
    <row r="8" spans="1:29" s="19" customFormat="1" ht="12" x14ac:dyDescent="0.2">
      <c r="A8" s="312">
        <f t="shared" si="6"/>
        <v>44320</v>
      </c>
      <c r="B8" s="129">
        <f t="shared" si="0"/>
        <v>44320</v>
      </c>
      <c r="C8" s="262" t="str">
        <f t="shared" si="1"/>
        <v/>
      </c>
      <c r="D8" s="358"/>
      <c r="E8" s="352"/>
      <c r="F8" s="255"/>
      <c r="G8" s="309"/>
      <c r="H8" s="309"/>
      <c r="I8" s="348">
        <f>IFERROR(VLOOKUP(D8&amp;G8,tbl_Entfernung[[Verketten]:[Entfernung]],2,FALSE),"")</f>
        <v>0</v>
      </c>
      <c r="J8" s="361"/>
      <c r="K8" s="352"/>
      <c r="L8" s="309"/>
      <c r="M8" s="309"/>
      <c r="N8" s="321">
        <f>IFERROR(VLOOKUP(G8&amp;L8,tbl_Entfernung[[Verketten]:[Entfernung]],2,FALSE),"")</f>
        <v>0</v>
      </c>
      <c r="O8" s="316">
        <f>IF(S8&gt;PauseGTime,PauseGWert,IF(S8&gt;PauseKTime,PauseKWert,IF(S8&lt;=PauseKTime,0,WENN)))</f>
        <v>0</v>
      </c>
      <c r="P8" s="364"/>
      <c r="Q8" s="356">
        <f t="shared" si="2"/>
        <v>0</v>
      </c>
      <c r="R8" s="225">
        <f t="shared" ca="1" si="3"/>
        <v>0.29166666666666669</v>
      </c>
      <c r="S8" s="225">
        <f t="shared" si="7"/>
        <v>0</v>
      </c>
      <c r="T8" s="130">
        <f t="shared" ca="1" si="4"/>
        <v>-0.29166666666667002</v>
      </c>
      <c r="U8" s="251">
        <f t="shared" ca="1" si="5"/>
        <v>0.29166666666666669</v>
      </c>
      <c r="V8" s="131"/>
      <c r="W8" s="214" t="e">
        <f t="shared" ca="1" si="8"/>
        <v>#REF!</v>
      </c>
      <c r="AB8" s="345">
        <f t="shared" si="9"/>
        <v>0</v>
      </c>
      <c r="AC8" s="345">
        <f t="shared" si="10"/>
        <v>0</v>
      </c>
    </row>
    <row r="9" spans="1:29" s="19" customFormat="1" ht="12" x14ac:dyDescent="0.2">
      <c r="A9" s="312">
        <f t="shared" si="6"/>
        <v>44321</v>
      </c>
      <c r="B9" s="129">
        <f t="shared" si="0"/>
        <v>44321</v>
      </c>
      <c r="C9" s="262" t="str">
        <f t="shared" si="1"/>
        <v/>
      </c>
      <c r="D9" s="358"/>
      <c r="E9" s="352"/>
      <c r="F9" s="255"/>
      <c r="G9" s="309"/>
      <c r="H9" s="309"/>
      <c r="I9" s="349">
        <f>IFERROR(VLOOKUP(D9&amp;G9,tbl_Entfernung[[Verketten]:[Entfernung]],2,FALSE),"")</f>
        <v>0</v>
      </c>
      <c r="J9" s="361"/>
      <c r="K9" s="352"/>
      <c r="L9" s="309"/>
      <c r="M9" s="309"/>
      <c r="N9" s="322">
        <f>IFERROR(VLOOKUP(G9&amp;L9,tbl_Entfernung[[Verketten]:[Entfernung]],2,FALSE),"")</f>
        <v>0</v>
      </c>
      <c r="O9" s="316">
        <f>IF(S9&gt;PauseGTime,PauseGWert,IF(S9&gt;PauseKTime,PauseKWert,IF(S9&lt;=PauseKTime,0,WENN)))</f>
        <v>0</v>
      </c>
      <c r="P9" s="364"/>
      <c r="Q9" s="356">
        <f t="shared" si="2"/>
        <v>0</v>
      </c>
      <c r="R9" s="225">
        <f t="shared" ca="1" si="3"/>
        <v>0.29166666666666669</v>
      </c>
      <c r="S9" s="225">
        <f t="shared" si="7"/>
        <v>0</v>
      </c>
      <c r="T9" s="130">
        <f t="shared" ca="1" si="4"/>
        <v>-0.29166666666667002</v>
      </c>
      <c r="U9" s="251">
        <f t="shared" ca="1" si="5"/>
        <v>0.29166666666666669</v>
      </c>
      <c r="V9" s="131"/>
      <c r="W9" s="214" t="e">
        <f t="shared" ca="1" si="8"/>
        <v>#REF!</v>
      </c>
      <c r="AB9" s="345">
        <f t="shared" si="9"/>
        <v>0</v>
      </c>
      <c r="AC9" s="345">
        <f t="shared" si="10"/>
        <v>0</v>
      </c>
    </row>
    <row r="10" spans="1:29" s="19" customFormat="1" ht="12" x14ac:dyDescent="0.2">
      <c r="A10" s="312">
        <f t="shared" si="6"/>
        <v>44322</v>
      </c>
      <c r="B10" s="129">
        <f t="shared" si="0"/>
        <v>44322</v>
      </c>
      <c r="C10" s="262" t="str">
        <f t="shared" si="1"/>
        <v/>
      </c>
      <c r="D10" s="358"/>
      <c r="E10" s="352"/>
      <c r="F10" s="255"/>
      <c r="G10" s="309"/>
      <c r="H10" s="309"/>
      <c r="I10" s="349">
        <f>IFERROR(VLOOKUP(D10&amp;G10,tbl_Entfernung[[Verketten]:[Entfernung]],2,FALSE),"")</f>
        <v>0</v>
      </c>
      <c r="J10" s="361"/>
      <c r="K10" s="352"/>
      <c r="L10" s="309"/>
      <c r="M10" s="309"/>
      <c r="N10" s="322">
        <f>IFERROR(VLOOKUP(G10&amp;L10,tbl_Entfernung[[Verketten]:[Entfernung]],2,FALSE),"")</f>
        <v>0</v>
      </c>
      <c r="O10" s="316">
        <f>IF(S10&gt;PauseGTime,PauseGWert,IF(S10&gt;PauseKTime,PauseKWert,IF(S10&lt;=PauseKTime,0,WENN)))</f>
        <v>0</v>
      </c>
      <c r="P10" s="364"/>
      <c r="Q10" s="356">
        <f t="shared" si="2"/>
        <v>0</v>
      </c>
      <c r="R10" s="225">
        <f t="shared" ca="1" si="3"/>
        <v>0.29166666666666669</v>
      </c>
      <c r="S10" s="225">
        <f t="shared" si="7"/>
        <v>0</v>
      </c>
      <c r="T10" s="130">
        <f t="shared" ca="1" si="4"/>
        <v>-0.29166666666667002</v>
      </c>
      <c r="U10" s="251">
        <f t="shared" ca="1" si="5"/>
        <v>0.29166666666666669</v>
      </c>
      <c r="V10" s="131"/>
      <c r="W10" s="214" t="e">
        <f t="shared" ca="1" si="8"/>
        <v>#REF!</v>
      </c>
      <c r="AB10" s="345">
        <f t="shared" si="9"/>
        <v>0</v>
      </c>
      <c r="AC10" s="345">
        <f t="shared" si="10"/>
        <v>0</v>
      </c>
    </row>
    <row r="11" spans="1:29" s="19" customFormat="1" ht="12" x14ac:dyDescent="0.2">
      <c r="A11" s="312">
        <f t="shared" si="6"/>
        <v>44323</v>
      </c>
      <c r="B11" s="129">
        <f t="shared" si="0"/>
        <v>44323</v>
      </c>
      <c r="C11" s="262" t="str">
        <f t="shared" si="1"/>
        <v/>
      </c>
      <c r="D11" s="358"/>
      <c r="E11" s="352"/>
      <c r="F11" s="255"/>
      <c r="G11" s="309"/>
      <c r="H11" s="309"/>
      <c r="I11" s="348">
        <f>IFERROR(VLOOKUP(D11&amp;G11,tbl_Entfernung[[Verketten]:[Entfernung]],2,FALSE),"")</f>
        <v>0</v>
      </c>
      <c r="J11" s="361"/>
      <c r="K11" s="352"/>
      <c r="L11" s="309"/>
      <c r="M11" s="309"/>
      <c r="N11" s="321">
        <f>IFERROR(VLOOKUP(G11&amp;L11,tbl_Entfernung[[Verketten]:[Entfernung]],2,FALSE),"")</f>
        <v>0</v>
      </c>
      <c r="O11" s="316">
        <f>IF(S11&gt;PauseGTime,PauseGWert,IF(S11&gt;PauseKTime,PauseKWert,IF(S11&lt;=PauseKTime,0,WENN)))</f>
        <v>0</v>
      </c>
      <c r="P11" s="364"/>
      <c r="Q11" s="356">
        <f t="shared" si="2"/>
        <v>0</v>
      </c>
      <c r="R11" s="225">
        <f t="shared" ca="1" si="3"/>
        <v>0.29166666666666669</v>
      </c>
      <c r="S11" s="225">
        <f t="shared" si="7"/>
        <v>0</v>
      </c>
      <c r="T11" s="130">
        <f t="shared" ca="1" si="4"/>
        <v>-0.29166666666667002</v>
      </c>
      <c r="U11" s="251">
        <f t="shared" ca="1" si="5"/>
        <v>0.29166666666666669</v>
      </c>
      <c r="V11" s="131"/>
      <c r="W11" s="214" t="e">
        <f t="shared" ca="1" si="8"/>
        <v>#REF!</v>
      </c>
      <c r="AB11" s="345">
        <f t="shared" si="9"/>
        <v>0</v>
      </c>
      <c r="AC11" s="345">
        <f t="shared" si="10"/>
        <v>0</v>
      </c>
    </row>
    <row r="12" spans="1:29" s="19" customFormat="1" ht="12" x14ac:dyDescent="0.2">
      <c r="A12" s="312">
        <f t="shared" si="6"/>
        <v>44324</v>
      </c>
      <c r="B12" s="129">
        <f t="shared" si="0"/>
        <v>44324</v>
      </c>
      <c r="C12" s="262" t="str">
        <f t="shared" si="1"/>
        <v/>
      </c>
      <c r="D12" s="358"/>
      <c r="E12" s="352"/>
      <c r="F12" s="255"/>
      <c r="G12" s="309"/>
      <c r="H12" s="309"/>
      <c r="I12" s="348">
        <f>IFERROR(VLOOKUP(D12&amp;G12,tbl_Entfernung[[Verketten]:[Entfernung]],2,FALSE),"")</f>
        <v>0</v>
      </c>
      <c r="J12" s="361"/>
      <c r="K12" s="352"/>
      <c r="L12" s="309"/>
      <c r="M12" s="309"/>
      <c r="N12" s="321">
        <f>IFERROR(VLOOKUP(G12&amp;L12,tbl_Entfernung[[Verketten]:[Entfernung]],2,FALSE),"")</f>
        <v>0</v>
      </c>
      <c r="O12" s="316">
        <f>IF(S12&gt;PauseGTime,PauseGWert,IF(S12&gt;PauseKTime,PauseKWert,IF(S12&lt;=PauseKTime,0,WENN)))</f>
        <v>0</v>
      </c>
      <c r="P12" s="364"/>
      <c r="Q12" s="356">
        <f t="shared" si="2"/>
        <v>0</v>
      </c>
      <c r="R12" s="225">
        <f t="shared" ca="1" si="3"/>
        <v>0.29166666666666669</v>
      </c>
      <c r="S12" s="225">
        <f t="shared" si="7"/>
        <v>0</v>
      </c>
      <c r="T12" s="130">
        <f t="shared" ca="1" si="4"/>
        <v>-0.29166666666667002</v>
      </c>
      <c r="U12" s="251">
        <f t="shared" ca="1" si="5"/>
        <v>0.29166666666666669</v>
      </c>
      <c r="V12" s="131"/>
      <c r="W12" s="214" t="e">
        <f t="shared" ca="1" si="8"/>
        <v>#REF!</v>
      </c>
      <c r="AB12" s="345">
        <f t="shared" si="9"/>
        <v>0</v>
      </c>
      <c r="AC12" s="345">
        <f t="shared" si="10"/>
        <v>0</v>
      </c>
    </row>
    <row r="13" spans="1:29" s="19" customFormat="1" ht="12" x14ac:dyDescent="0.2">
      <c r="A13" s="312">
        <f t="shared" si="6"/>
        <v>44325</v>
      </c>
      <c r="B13" s="129">
        <f t="shared" si="0"/>
        <v>44325</v>
      </c>
      <c r="C13" s="262" t="str">
        <f t="shared" si="1"/>
        <v/>
      </c>
      <c r="D13" s="358"/>
      <c r="E13" s="352"/>
      <c r="F13" s="255"/>
      <c r="G13" s="309"/>
      <c r="H13" s="309"/>
      <c r="I13" s="348">
        <f>IFERROR(VLOOKUP(D13&amp;G13,tbl_Entfernung[[Verketten]:[Entfernung]],2,FALSE),"")</f>
        <v>0</v>
      </c>
      <c r="J13" s="361"/>
      <c r="K13" s="352"/>
      <c r="L13" s="309"/>
      <c r="M13" s="309"/>
      <c r="N13" s="321">
        <f>IFERROR(VLOOKUP(G13&amp;L13,tbl_Entfernung[[Verketten]:[Entfernung]],2,FALSE),"")</f>
        <v>0</v>
      </c>
      <c r="O13" s="316">
        <f>IF(S13&gt;PauseGTime,PauseGWert,IF(S13&gt;PauseKTime,PauseKWert,IF(S13&lt;=PauseKTime,0,WENN)))</f>
        <v>0</v>
      </c>
      <c r="P13" s="364"/>
      <c r="Q13" s="356">
        <f t="shared" si="2"/>
        <v>0</v>
      </c>
      <c r="R13" s="225">
        <f t="shared" ca="1" si="3"/>
        <v>0</v>
      </c>
      <c r="S13" s="225">
        <f t="shared" si="7"/>
        <v>0</v>
      </c>
      <c r="T13" s="130">
        <f t="shared" ca="1" si="4"/>
        <v>0</v>
      </c>
      <c r="U13" s="251">
        <f t="shared" ca="1" si="5"/>
        <v>0</v>
      </c>
      <c r="V13" s="131"/>
      <c r="W13" s="214" t="e">
        <f t="shared" ca="1" si="8"/>
        <v>#REF!</v>
      </c>
      <c r="AB13" s="345">
        <f t="shared" si="9"/>
        <v>0</v>
      </c>
      <c r="AC13" s="345">
        <f t="shared" si="10"/>
        <v>0</v>
      </c>
    </row>
    <row r="14" spans="1:29" s="19" customFormat="1" ht="12" x14ac:dyDescent="0.2">
      <c r="A14" s="312">
        <f t="shared" si="6"/>
        <v>44326</v>
      </c>
      <c r="B14" s="129">
        <f t="shared" si="0"/>
        <v>44326</v>
      </c>
      <c r="C14" s="262" t="str">
        <f t="shared" si="1"/>
        <v/>
      </c>
      <c r="D14" s="358"/>
      <c r="E14" s="352"/>
      <c r="F14" s="255"/>
      <c r="G14" s="309"/>
      <c r="H14" s="309"/>
      <c r="I14" s="348">
        <f>IFERROR(VLOOKUP(D14&amp;G14,tbl_Entfernung[[Verketten]:[Entfernung]],2,FALSE),"")</f>
        <v>0</v>
      </c>
      <c r="J14" s="361"/>
      <c r="K14" s="352"/>
      <c r="L14" s="309"/>
      <c r="M14" s="309"/>
      <c r="N14" s="321">
        <f>IFERROR(VLOOKUP(G14&amp;L14,tbl_Entfernung[[Verketten]:[Entfernung]],2,FALSE),"")</f>
        <v>0</v>
      </c>
      <c r="O14" s="316">
        <f>IF(S14&gt;PauseGTime,PauseGWert,IF(S14&gt;PauseKTime,PauseKWert,IF(S14&lt;=PauseKTime,0,WENN)))</f>
        <v>0</v>
      </c>
      <c r="P14" s="364"/>
      <c r="Q14" s="356">
        <f t="shared" si="2"/>
        <v>0</v>
      </c>
      <c r="R14" s="225">
        <f t="shared" ca="1" si="3"/>
        <v>0</v>
      </c>
      <c r="S14" s="225">
        <f t="shared" si="7"/>
        <v>0</v>
      </c>
      <c r="T14" s="130">
        <f t="shared" ca="1" si="4"/>
        <v>0</v>
      </c>
      <c r="U14" s="251">
        <f t="shared" ca="1" si="5"/>
        <v>0</v>
      </c>
      <c r="V14" s="131"/>
      <c r="W14" s="214" t="e">
        <f t="shared" ca="1" si="8"/>
        <v>#REF!</v>
      </c>
      <c r="AB14" s="345">
        <f t="shared" si="9"/>
        <v>0</v>
      </c>
      <c r="AC14" s="345">
        <f t="shared" si="10"/>
        <v>0</v>
      </c>
    </row>
    <row r="15" spans="1:29" s="19" customFormat="1" ht="12" x14ac:dyDescent="0.2">
      <c r="A15" s="312">
        <f t="shared" si="6"/>
        <v>44327</v>
      </c>
      <c r="B15" s="129">
        <f t="shared" si="0"/>
        <v>44327</v>
      </c>
      <c r="C15" s="262" t="str">
        <f t="shared" si="1"/>
        <v/>
      </c>
      <c r="D15" s="358"/>
      <c r="E15" s="352"/>
      <c r="F15" s="255"/>
      <c r="G15" s="309"/>
      <c r="H15" s="309"/>
      <c r="I15" s="348">
        <f>IFERROR(VLOOKUP(D15&amp;G15,tbl_Entfernung[[Verketten]:[Entfernung]],2,FALSE),"")</f>
        <v>0</v>
      </c>
      <c r="J15" s="361"/>
      <c r="K15" s="352"/>
      <c r="L15" s="309"/>
      <c r="M15" s="309"/>
      <c r="N15" s="321">
        <f>IFERROR(VLOOKUP(G15&amp;L15,tbl_Entfernung[[Verketten]:[Entfernung]],2,FALSE),"")</f>
        <v>0</v>
      </c>
      <c r="O15" s="316">
        <f>IF(S15&gt;PauseGTime,PauseGWert,IF(S15&gt;PauseKTime,PauseKWert,IF(S15&lt;=PauseKTime,0,WENN)))</f>
        <v>0</v>
      </c>
      <c r="P15" s="364"/>
      <c r="Q15" s="356">
        <f t="shared" si="2"/>
        <v>0</v>
      </c>
      <c r="R15" s="225">
        <f t="shared" ca="1" si="3"/>
        <v>0.29166666666666669</v>
      </c>
      <c r="S15" s="225">
        <f t="shared" si="7"/>
        <v>0</v>
      </c>
      <c r="T15" s="130">
        <f t="shared" ca="1" si="4"/>
        <v>-0.29166666666667002</v>
      </c>
      <c r="U15" s="251">
        <f t="shared" ca="1" si="5"/>
        <v>0.29166666666666669</v>
      </c>
      <c r="V15" s="131"/>
      <c r="W15" s="214" t="e">
        <f t="shared" ca="1" si="8"/>
        <v>#REF!</v>
      </c>
      <c r="AB15" s="345">
        <f t="shared" si="9"/>
        <v>0</v>
      </c>
      <c r="AC15" s="345">
        <f t="shared" si="10"/>
        <v>0</v>
      </c>
    </row>
    <row r="16" spans="1:29" s="19" customFormat="1" ht="12" x14ac:dyDescent="0.2">
      <c r="A16" s="312">
        <f t="shared" si="6"/>
        <v>44328</v>
      </c>
      <c r="B16" s="129">
        <f t="shared" si="0"/>
        <v>44328</v>
      </c>
      <c r="C16" s="262" t="str">
        <f t="shared" si="1"/>
        <v/>
      </c>
      <c r="D16" s="358"/>
      <c r="E16" s="352"/>
      <c r="F16" s="255"/>
      <c r="G16" s="309"/>
      <c r="H16" s="309"/>
      <c r="I16" s="349">
        <f>IFERROR(VLOOKUP(D16&amp;G16,tbl_Entfernung[[Verketten]:[Entfernung]],2,FALSE),"")</f>
        <v>0</v>
      </c>
      <c r="J16" s="361"/>
      <c r="K16" s="352"/>
      <c r="L16" s="309"/>
      <c r="M16" s="309"/>
      <c r="N16" s="322">
        <f>IFERROR(VLOOKUP(G16&amp;L16,tbl_Entfernung[[Verketten]:[Entfernung]],2,FALSE),"")</f>
        <v>0</v>
      </c>
      <c r="O16" s="316">
        <f>IF(S16&gt;PauseGTime,PauseGWert,IF(S16&gt;PauseKTime,PauseKWert,IF(S16&lt;=PauseKTime,0,WENN)))</f>
        <v>0</v>
      </c>
      <c r="P16" s="364"/>
      <c r="Q16" s="356">
        <f t="shared" si="2"/>
        <v>0</v>
      </c>
      <c r="R16" s="225">
        <f t="shared" ca="1" si="3"/>
        <v>0.29166666666666669</v>
      </c>
      <c r="S16" s="225">
        <f t="shared" si="7"/>
        <v>0</v>
      </c>
      <c r="T16" s="130">
        <f t="shared" ca="1" si="4"/>
        <v>-0.29166666666667002</v>
      </c>
      <c r="U16" s="251">
        <f t="shared" ca="1" si="5"/>
        <v>0.29166666666666669</v>
      </c>
      <c r="V16" s="131"/>
      <c r="W16" s="214" t="e">
        <f t="shared" ca="1" si="8"/>
        <v>#REF!</v>
      </c>
      <c r="AB16" s="345">
        <f t="shared" si="9"/>
        <v>0</v>
      </c>
      <c r="AC16" s="345">
        <f t="shared" si="10"/>
        <v>0</v>
      </c>
    </row>
    <row r="17" spans="1:29" s="19" customFormat="1" ht="12" x14ac:dyDescent="0.2">
      <c r="A17" s="312">
        <f t="shared" si="6"/>
        <v>44329</v>
      </c>
      <c r="B17" s="129">
        <f t="shared" si="0"/>
        <v>44329</v>
      </c>
      <c r="C17" s="262" t="str">
        <f t="shared" si="1"/>
        <v/>
      </c>
      <c r="D17" s="358"/>
      <c r="E17" s="352"/>
      <c r="F17" s="255"/>
      <c r="G17" s="309"/>
      <c r="H17" s="309"/>
      <c r="I17" s="349">
        <f>IFERROR(VLOOKUP(D17&amp;G17,tbl_Entfernung[[Verketten]:[Entfernung]],2,FALSE),"")</f>
        <v>0</v>
      </c>
      <c r="J17" s="361"/>
      <c r="K17" s="352"/>
      <c r="L17" s="309"/>
      <c r="M17" s="309"/>
      <c r="N17" s="322">
        <f>IFERROR(VLOOKUP(G17&amp;L17,tbl_Entfernung[[Verketten]:[Entfernung]],2,FALSE),"")</f>
        <v>0</v>
      </c>
      <c r="O17" s="316">
        <f>IF(S17&gt;PauseGTime,PauseGWert,IF(S17&gt;PauseKTime,PauseKWert,IF(S17&lt;=PauseKTime,0,WENN)))</f>
        <v>0</v>
      </c>
      <c r="P17" s="364"/>
      <c r="Q17" s="356">
        <f t="shared" si="2"/>
        <v>0</v>
      </c>
      <c r="R17" s="225">
        <f t="shared" ca="1" si="3"/>
        <v>0.29166666666666669</v>
      </c>
      <c r="S17" s="225">
        <f t="shared" si="7"/>
        <v>0</v>
      </c>
      <c r="T17" s="130">
        <f t="shared" ca="1" si="4"/>
        <v>-0.29166666666667002</v>
      </c>
      <c r="U17" s="251">
        <f t="shared" ca="1" si="5"/>
        <v>0.29166666666666669</v>
      </c>
      <c r="V17" s="131"/>
      <c r="W17" s="214" t="e">
        <f t="shared" ca="1" si="8"/>
        <v>#REF!</v>
      </c>
      <c r="AB17" s="345">
        <f t="shared" si="9"/>
        <v>0</v>
      </c>
      <c r="AC17" s="345">
        <f t="shared" si="10"/>
        <v>0</v>
      </c>
    </row>
    <row r="18" spans="1:29" s="19" customFormat="1" ht="12" x14ac:dyDescent="0.2">
      <c r="A18" s="312">
        <f t="shared" si="6"/>
        <v>44330</v>
      </c>
      <c r="B18" s="129">
        <f t="shared" si="0"/>
        <v>44330</v>
      </c>
      <c r="C18" s="262" t="str">
        <f t="shared" si="1"/>
        <v/>
      </c>
      <c r="D18" s="358"/>
      <c r="E18" s="352"/>
      <c r="F18" s="255"/>
      <c r="G18" s="309"/>
      <c r="H18" s="309"/>
      <c r="I18" s="348">
        <f>IFERROR(VLOOKUP(D18&amp;G18,tbl_Entfernung[[Verketten]:[Entfernung]],2,FALSE),"")</f>
        <v>0</v>
      </c>
      <c r="J18" s="361"/>
      <c r="K18" s="352"/>
      <c r="L18" s="309"/>
      <c r="M18" s="309"/>
      <c r="N18" s="321">
        <f>IFERROR(VLOOKUP(G18&amp;L18,tbl_Entfernung[[Verketten]:[Entfernung]],2,FALSE),"")</f>
        <v>0</v>
      </c>
      <c r="O18" s="316">
        <f>IF(S18&gt;PauseGTime,PauseGWert,IF(S18&gt;PauseKTime,PauseKWert,IF(S18&lt;=PauseKTime,0,WENN)))</f>
        <v>0</v>
      </c>
      <c r="P18" s="364"/>
      <c r="Q18" s="356">
        <f t="shared" si="2"/>
        <v>0</v>
      </c>
      <c r="R18" s="225">
        <f t="shared" ca="1" si="3"/>
        <v>0.29166666666666669</v>
      </c>
      <c r="S18" s="225">
        <f t="shared" si="7"/>
        <v>0</v>
      </c>
      <c r="T18" s="130">
        <f t="shared" ca="1" si="4"/>
        <v>-0.29166666666667002</v>
      </c>
      <c r="U18" s="251">
        <f t="shared" ca="1" si="5"/>
        <v>0.29166666666666669</v>
      </c>
      <c r="V18" s="131"/>
      <c r="W18" s="214" t="e">
        <f t="shared" ca="1" si="8"/>
        <v>#REF!</v>
      </c>
      <c r="AB18" s="345">
        <f t="shared" si="9"/>
        <v>0</v>
      </c>
      <c r="AC18" s="345">
        <f t="shared" si="10"/>
        <v>0</v>
      </c>
    </row>
    <row r="19" spans="1:29" s="19" customFormat="1" ht="12" x14ac:dyDescent="0.2">
      <c r="A19" s="312">
        <f t="shared" si="6"/>
        <v>44331</v>
      </c>
      <c r="B19" s="129">
        <f t="shared" si="0"/>
        <v>44331</v>
      </c>
      <c r="C19" s="262" t="str">
        <f t="shared" si="1"/>
        <v/>
      </c>
      <c r="D19" s="358"/>
      <c r="E19" s="352"/>
      <c r="F19" s="255"/>
      <c r="G19" s="309"/>
      <c r="H19" s="309"/>
      <c r="I19" s="348">
        <f>IFERROR(VLOOKUP(D19&amp;G19,tbl_Entfernung[[Verketten]:[Entfernung]],2,FALSE),"")</f>
        <v>0</v>
      </c>
      <c r="J19" s="361"/>
      <c r="K19" s="352"/>
      <c r="L19" s="309"/>
      <c r="M19" s="309"/>
      <c r="N19" s="321">
        <f>IFERROR(VLOOKUP(G19&amp;L19,tbl_Entfernung[[Verketten]:[Entfernung]],2,FALSE),"")</f>
        <v>0</v>
      </c>
      <c r="O19" s="316">
        <f>IF(S19&gt;PauseGTime,PauseGWert,IF(S19&gt;PauseKTime,PauseKWert,IF(S19&lt;=PauseKTime,0,WENN)))</f>
        <v>0</v>
      </c>
      <c r="P19" s="364"/>
      <c r="Q19" s="356">
        <f t="shared" si="2"/>
        <v>0</v>
      </c>
      <c r="R19" s="225">
        <f t="shared" ca="1" si="3"/>
        <v>0.29166666666666669</v>
      </c>
      <c r="S19" s="225">
        <f t="shared" si="7"/>
        <v>0</v>
      </c>
      <c r="T19" s="130">
        <f t="shared" ca="1" si="4"/>
        <v>-0.29166666666667002</v>
      </c>
      <c r="U19" s="251">
        <f t="shared" ca="1" si="5"/>
        <v>0.29166666666666669</v>
      </c>
      <c r="V19" s="131"/>
      <c r="W19" s="214" t="e">
        <f t="shared" ca="1" si="8"/>
        <v>#REF!</v>
      </c>
      <c r="AB19" s="345">
        <f t="shared" si="9"/>
        <v>0</v>
      </c>
      <c r="AC19" s="345">
        <f t="shared" si="10"/>
        <v>0</v>
      </c>
    </row>
    <row r="20" spans="1:29" s="19" customFormat="1" ht="12" x14ac:dyDescent="0.2">
      <c r="A20" s="312">
        <f t="shared" si="6"/>
        <v>44332</v>
      </c>
      <c r="B20" s="129">
        <f t="shared" si="0"/>
        <v>44332</v>
      </c>
      <c r="C20" s="262" t="str">
        <f t="shared" si="1"/>
        <v/>
      </c>
      <c r="D20" s="358"/>
      <c r="E20" s="352"/>
      <c r="F20" s="255"/>
      <c r="G20" s="309"/>
      <c r="H20" s="309"/>
      <c r="I20" s="348">
        <f>IFERROR(VLOOKUP(D20&amp;G20,tbl_Entfernung[[Verketten]:[Entfernung]],2,FALSE),"")</f>
        <v>0</v>
      </c>
      <c r="J20" s="361"/>
      <c r="K20" s="352"/>
      <c r="L20" s="309"/>
      <c r="M20" s="309"/>
      <c r="N20" s="321">
        <f>IFERROR(VLOOKUP(G20&amp;L20,tbl_Entfernung[[Verketten]:[Entfernung]],2,FALSE),"")</f>
        <v>0</v>
      </c>
      <c r="O20" s="316">
        <f>IF(S20&gt;PauseGTime,PauseGWert,IF(S20&gt;PauseKTime,PauseKWert,IF(S20&lt;=PauseKTime,0,WENN)))</f>
        <v>0</v>
      </c>
      <c r="P20" s="364"/>
      <c r="Q20" s="356">
        <f t="shared" si="2"/>
        <v>0</v>
      </c>
      <c r="R20" s="225">
        <f t="shared" ca="1" si="3"/>
        <v>0</v>
      </c>
      <c r="S20" s="225">
        <f t="shared" si="7"/>
        <v>0</v>
      </c>
      <c r="T20" s="130">
        <f t="shared" ca="1" si="4"/>
        <v>0</v>
      </c>
      <c r="U20" s="251">
        <f t="shared" ca="1" si="5"/>
        <v>0</v>
      </c>
      <c r="V20" s="131"/>
      <c r="W20" s="214" t="e">
        <f t="shared" ca="1" si="8"/>
        <v>#REF!</v>
      </c>
      <c r="AB20" s="345">
        <f t="shared" si="9"/>
        <v>0</v>
      </c>
      <c r="AC20" s="345">
        <f t="shared" si="10"/>
        <v>0</v>
      </c>
    </row>
    <row r="21" spans="1:29" s="19" customFormat="1" ht="12" x14ac:dyDescent="0.2">
      <c r="A21" s="312">
        <f t="shared" si="6"/>
        <v>44333</v>
      </c>
      <c r="B21" s="129">
        <f t="shared" si="0"/>
        <v>44333</v>
      </c>
      <c r="C21" s="262" t="str">
        <f t="shared" si="1"/>
        <v/>
      </c>
      <c r="D21" s="358"/>
      <c r="E21" s="352"/>
      <c r="F21" s="255"/>
      <c r="G21" s="309"/>
      <c r="H21" s="309"/>
      <c r="I21" s="348">
        <f>IFERROR(VLOOKUP(D21&amp;G21,tbl_Entfernung[[Verketten]:[Entfernung]],2,FALSE),"")</f>
        <v>0</v>
      </c>
      <c r="J21" s="361"/>
      <c r="K21" s="352"/>
      <c r="L21" s="309"/>
      <c r="M21" s="309"/>
      <c r="N21" s="321">
        <f>IFERROR(VLOOKUP(G21&amp;L21,tbl_Entfernung[[Verketten]:[Entfernung]],2,FALSE),"")</f>
        <v>0</v>
      </c>
      <c r="O21" s="316">
        <f>IF(S21&gt;PauseGTime,PauseGWert,IF(S21&gt;PauseKTime,PauseKWert,IF(S21&lt;=PauseKTime,0,WENN)))</f>
        <v>0</v>
      </c>
      <c r="P21" s="364"/>
      <c r="Q21" s="356">
        <f t="shared" si="2"/>
        <v>0</v>
      </c>
      <c r="R21" s="225">
        <f t="shared" ca="1" si="3"/>
        <v>0</v>
      </c>
      <c r="S21" s="225">
        <f t="shared" si="7"/>
        <v>0</v>
      </c>
      <c r="T21" s="130">
        <f t="shared" ca="1" si="4"/>
        <v>0</v>
      </c>
      <c r="U21" s="251">
        <f t="shared" ca="1" si="5"/>
        <v>0</v>
      </c>
      <c r="V21" s="131"/>
      <c r="W21" s="214" t="e">
        <f t="shared" ca="1" si="8"/>
        <v>#REF!</v>
      </c>
      <c r="AB21" s="345">
        <f t="shared" si="9"/>
        <v>0</v>
      </c>
      <c r="AC21" s="345">
        <f t="shared" si="10"/>
        <v>0</v>
      </c>
    </row>
    <row r="22" spans="1:29" s="19" customFormat="1" ht="12" x14ac:dyDescent="0.2">
      <c r="A22" s="312">
        <f t="shared" si="6"/>
        <v>44334</v>
      </c>
      <c r="B22" s="129">
        <f t="shared" si="0"/>
        <v>44334</v>
      </c>
      <c r="C22" s="262" t="str">
        <f t="shared" si="1"/>
        <v/>
      </c>
      <c r="D22" s="358"/>
      <c r="E22" s="352"/>
      <c r="F22" s="255"/>
      <c r="G22" s="309"/>
      <c r="H22" s="309"/>
      <c r="I22" s="348">
        <f>IFERROR(VLOOKUP(D22&amp;G22,tbl_Entfernung[[Verketten]:[Entfernung]],2,FALSE),"")</f>
        <v>0</v>
      </c>
      <c r="J22" s="361"/>
      <c r="K22" s="352"/>
      <c r="L22" s="309"/>
      <c r="M22" s="309"/>
      <c r="N22" s="321">
        <f>IFERROR(VLOOKUP(G22&amp;L22,tbl_Entfernung[[Verketten]:[Entfernung]],2,FALSE),"")</f>
        <v>0</v>
      </c>
      <c r="O22" s="316">
        <f>IF(S22&gt;PauseGTime,PauseGWert,IF(S22&gt;PauseKTime,PauseKWert,IF(S22&lt;=PauseKTime,0,WENN)))</f>
        <v>0</v>
      </c>
      <c r="P22" s="364"/>
      <c r="Q22" s="356">
        <f t="shared" si="2"/>
        <v>0</v>
      </c>
      <c r="R22" s="225">
        <f t="shared" ca="1" si="3"/>
        <v>0.29166666666666669</v>
      </c>
      <c r="S22" s="225">
        <f t="shared" si="7"/>
        <v>0</v>
      </c>
      <c r="T22" s="130">
        <f t="shared" ca="1" si="4"/>
        <v>-0.29166666666667002</v>
      </c>
      <c r="U22" s="251">
        <f t="shared" ca="1" si="5"/>
        <v>0.29166666666666669</v>
      </c>
      <c r="V22" s="131"/>
      <c r="W22" s="214" t="e">
        <f t="shared" ca="1" si="8"/>
        <v>#REF!</v>
      </c>
      <c r="AB22" s="345">
        <f t="shared" si="9"/>
        <v>0</v>
      </c>
      <c r="AC22" s="345">
        <f t="shared" si="10"/>
        <v>0</v>
      </c>
    </row>
    <row r="23" spans="1:29" s="19" customFormat="1" ht="12" x14ac:dyDescent="0.2">
      <c r="A23" s="312">
        <f t="shared" si="6"/>
        <v>44335</v>
      </c>
      <c r="B23" s="129">
        <f t="shared" si="0"/>
        <v>44335</v>
      </c>
      <c r="C23" s="262" t="str">
        <f t="shared" si="1"/>
        <v/>
      </c>
      <c r="D23" s="358"/>
      <c r="E23" s="352"/>
      <c r="F23" s="255"/>
      <c r="G23" s="309"/>
      <c r="H23" s="309"/>
      <c r="I23" s="349">
        <f>IFERROR(VLOOKUP(D23&amp;G23,tbl_Entfernung[[Verketten]:[Entfernung]],2,FALSE),"")</f>
        <v>0</v>
      </c>
      <c r="J23" s="361"/>
      <c r="K23" s="352"/>
      <c r="L23" s="309"/>
      <c r="M23" s="309"/>
      <c r="N23" s="322">
        <f>IFERROR(VLOOKUP(G23&amp;L23,tbl_Entfernung[[Verketten]:[Entfernung]],2,FALSE),"")</f>
        <v>0</v>
      </c>
      <c r="O23" s="316">
        <f>IF(S23&gt;PauseGTime,PauseGWert,IF(S23&gt;PauseKTime,PauseKWert,IF(S23&lt;=PauseKTime,0,WENN)))</f>
        <v>0</v>
      </c>
      <c r="P23" s="364"/>
      <c r="Q23" s="356">
        <f t="shared" si="2"/>
        <v>0</v>
      </c>
      <c r="R23" s="225">
        <f t="shared" ca="1" si="3"/>
        <v>0.29166666666666669</v>
      </c>
      <c r="S23" s="225">
        <f t="shared" si="7"/>
        <v>0</v>
      </c>
      <c r="T23" s="130">
        <f t="shared" ca="1" si="4"/>
        <v>-0.29166666666667002</v>
      </c>
      <c r="U23" s="251">
        <f t="shared" ca="1" si="5"/>
        <v>0.29166666666666669</v>
      </c>
      <c r="V23" s="131"/>
      <c r="W23" s="214" t="e">
        <f t="shared" ca="1" si="8"/>
        <v>#REF!</v>
      </c>
      <c r="AB23" s="345">
        <f t="shared" si="9"/>
        <v>0</v>
      </c>
      <c r="AC23" s="345">
        <f t="shared" si="10"/>
        <v>0</v>
      </c>
    </row>
    <row r="24" spans="1:29" s="19" customFormat="1" ht="12" x14ac:dyDescent="0.2">
      <c r="A24" s="312">
        <f t="shared" si="6"/>
        <v>44336</v>
      </c>
      <c r="B24" s="129">
        <f t="shared" si="0"/>
        <v>44336</v>
      </c>
      <c r="C24" s="262" t="str">
        <f t="shared" si="1"/>
        <v/>
      </c>
      <c r="D24" s="358"/>
      <c r="E24" s="352"/>
      <c r="F24" s="255"/>
      <c r="G24" s="309"/>
      <c r="H24" s="309"/>
      <c r="I24" s="349">
        <f>IFERROR(VLOOKUP(D24&amp;G24,tbl_Entfernung[[Verketten]:[Entfernung]],2,FALSE),"")</f>
        <v>0</v>
      </c>
      <c r="J24" s="361"/>
      <c r="K24" s="352"/>
      <c r="L24" s="309"/>
      <c r="M24" s="309"/>
      <c r="N24" s="322">
        <f>IFERROR(VLOOKUP(G24&amp;L24,tbl_Entfernung[[Verketten]:[Entfernung]],2,FALSE),"")</f>
        <v>0</v>
      </c>
      <c r="O24" s="316">
        <f>IF(S24&gt;PauseGTime,PauseGWert,IF(S24&gt;PauseKTime,PauseKWert,IF(S24&lt;=PauseKTime,0,WENN)))</f>
        <v>0</v>
      </c>
      <c r="P24" s="364"/>
      <c r="Q24" s="356">
        <f t="shared" si="2"/>
        <v>0</v>
      </c>
      <c r="R24" s="225">
        <f t="shared" ca="1" si="3"/>
        <v>0.29166666666666669</v>
      </c>
      <c r="S24" s="225">
        <f t="shared" si="7"/>
        <v>0</v>
      </c>
      <c r="T24" s="130">
        <f t="shared" ca="1" si="4"/>
        <v>-0.29166666666667002</v>
      </c>
      <c r="U24" s="251">
        <f t="shared" ca="1" si="5"/>
        <v>0.29166666666666669</v>
      </c>
      <c r="V24" s="131"/>
      <c r="W24" s="214" t="e">
        <f t="shared" ca="1" si="8"/>
        <v>#REF!</v>
      </c>
      <c r="AB24" s="345">
        <f t="shared" si="9"/>
        <v>0</v>
      </c>
      <c r="AC24" s="345">
        <f t="shared" si="10"/>
        <v>0</v>
      </c>
    </row>
    <row r="25" spans="1:29" s="19" customFormat="1" ht="12" x14ac:dyDescent="0.2">
      <c r="A25" s="312">
        <f t="shared" si="6"/>
        <v>44337</v>
      </c>
      <c r="B25" s="129">
        <f t="shared" si="0"/>
        <v>44337</v>
      </c>
      <c r="C25" s="262" t="str">
        <f t="shared" si="1"/>
        <v/>
      </c>
      <c r="D25" s="358"/>
      <c r="E25" s="352"/>
      <c r="F25" s="255"/>
      <c r="G25" s="309"/>
      <c r="H25" s="309"/>
      <c r="I25" s="348">
        <f>IFERROR(VLOOKUP(D25&amp;G25,tbl_Entfernung[[Verketten]:[Entfernung]],2,FALSE),"")</f>
        <v>0</v>
      </c>
      <c r="J25" s="361"/>
      <c r="K25" s="352"/>
      <c r="L25" s="309"/>
      <c r="M25" s="309"/>
      <c r="N25" s="321">
        <f>IFERROR(VLOOKUP(G25&amp;L25,tbl_Entfernung[[Verketten]:[Entfernung]],2,FALSE),"")</f>
        <v>0</v>
      </c>
      <c r="O25" s="316">
        <f>IF(S25&gt;PauseGTime,PauseGWert,IF(S25&gt;PauseKTime,PauseKWert,IF(S25&lt;=PauseKTime,0,WENN)))</f>
        <v>0</v>
      </c>
      <c r="P25" s="364"/>
      <c r="Q25" s="356">
        <f t="shared" si="2"/>
        <v>0</v>
      </c>
      <c r="R25" s="225">
        <f t="shared" ca="1" si="3"/>
        <v>0.29166666666666669</v>
      </c>
      <c r="S25" s="225">
        <f t="shared" si="7"/>
        <v>0</v>
      </c>
      <c r="T25" s="130">
        <f t="shared" ca="1" si="4"/>
        <v>-0.29166666666667002</v>
      </c>
      <c r="U25" s="251">
        <f t="shared" ca="1" si="5"/>
        <v>0.29166666666666669</v>
      </c>
      <c r="V25" s="131"/>
      <c r="W25" s="214" t="e">
        <f t="shared" ca="1" si="8"/>
        <v>#REF!</v>
      </c>
      <c r="AB25" s="345">
        <f t="shared" si="9"/>
        <v>0</v>
      </c>
      <c r="AC25" s="345">
        <f t="shared" si="10"/>
        <v>0</v>
      </c>
    </row>
    <row r="26" spans="1:29" s="19" customFormat="1" ht="12" x14ac:dyDescent="0.2">
      <c r="A26" s="312">
        <f t="shared" si="6"/>
        <v>44338</v>
      </c>
      <c r="B26" s="129">
        <f t="shared" si="0"/>
        <v>44338</v>
      </c>
      <c r="C26" s="262" t="str">
        <f t="shared" si="1"/>
        <v/>
      </c>
      <c r="D26" s="358"/>
      <c r="E26" s="352"/>
      <c r="F26" s="255"/>
      <c r="G26" s="309"/>
      <c r="H26" s="309"/>
      <c r="I26" s="348">
        <f>IFERROR(VLOOKUP(D26&amp;G26,tbl_Entfernung[[Verketten]:[Entfernung]],2,FALSE),"")</f>
        <v>0</v>
      </c>
      <c r="J26" s="361"/>
      <c r="K26" s="352"/>
      <c r="L26" s="309"/>
      <c r="M26" s="309"/>
      <c r="N26" s="321">
        <f>IFERROR(VLOOKUP(G26&amp;L26,tbl_Entfernung[[Verketten]:[Entfernung]],2,FALSE),"")</f>
        <v>0</v>
      </c>
      <c r="O26" s="316">
        <f>IF(S26&gt;PauseGTime,PauseGWert,IF(S26&gt;PauseKTime,PauseKWert,IF(S26&lt;=PauseKTime,0,WENN)))</f>
        <v>0</v>
      </c>
      <c r="P26" s="364"/>
      <c r="Q26" s="356">
        <f t="shared" si="2"/>
        <v>0</v>
      </c>
      <c r="R26" s="225">
        <f t="shared" ca="1" si="3"/>
        <v>0.29166666666666669</v>
      </c>
      <c r="S26" s="225">
        <f t="shared" si="7"/>
        <v>0</v>
      </c>
      <c r="T26" s="130">
        <f t="shared" ca="1" si="4"/>
        <v>-0.29166666666667002</v>
      </c>
      <c r="U26" s="251">
        <f t="shared" ca="1" si="5"/>
        <v>0.29166666666666669</v>
      </c>
      <c r="V26" s="131"/>
      <c r="W26" s="214" t="e">
        <f t="shared" ca="1" si="8"/>
        <v>#REF!</v>
      </c>
      <c r="AB26" s="345">
        <f t="shared" si="9"/>
        <v>0</v>
      </c>
      <c r="AC26" s="345">
        <f t="shared" si="10"/>
        <v>0</v>
      </c>
    </row>
    <row r="27" spans="1:29" s="19" customFormat="1" ht="12" x14ac:dyDescent="0.2">
      <c r="A27" s="312">
        <f t="shared" si="6"/>
        <v>44339</v>
      </c>
      <c r="B27" s="129">
        <f t="shared" si="0"/>
        <v>44339</v>
      </c>
      <c r="C27" s="262" t="str">
        <f t="shared" si="1"/>
        <v/>
      </c>
      <c r="D27" s="358"/>
      <c r="E27" s="352"/>
      <c r="F27" s="255"/>
      <c r="G27" s="309"/>
      <c r="H27" s="309"/>
      <c r="I27" s="348">
        <f>IFERROR(VLOOKUP(D27&amp;G27,tbl_Entfernung[[Verketten]:[Entfernung]],2,FALSE),"")</f>
        <v>0</v>
      </c>
      <c r="J27" s="361"/>
      <c r="K27" s="352"/>
      <c r="L27" s="309"/>
      <c r="M27" s="309"/>
      <c r="N27" s="321">
        <f>IFERROR(VLOOKUP(G27&amp;L27,tbl_Entfernung[[Verketten]:[Entfernung]],2,FALSE),"")</f>
        <v>0</v>
      </c>
      <c r="O27" s="316">
        <f>IF(S27&gt;PauseGTime,PauseGWert,IF(S27&gt;PauseKTime,PauseKWert,IF(S27&lt;=PauseKTime,0,WENN)))</f>
        <v>0</v>
      </c>
      <c r="P27" s="364"/>
      <c r="Q27" s="356">
        <f t="shared" si="2"/>
        <v>0</v>
      </c>
      <c r="R27" s="225">
        <f t="shared" ca="1" si="3"/>
        <v>0</v>
      </c>
      <c r="S27" s="225">
        <f t="shared" si="7"/>
        <v>0</v>
      </c>
      <c r="T27" s="130">
        <f t="shared" ca="1" si="4"/>
        <v>0</v>
      </c>
      <c r="U27" s="251">
        <f t="shared" ca="1" si="5"/>
        <v>0</v>
      </c>
      <c r="V27" s="131"/>
      <c r="W27" s="214" t="e">
        <f t="shared" ca="1" si="8"/>
        <v>#REF!</v>
      </c>
      <c r="AB27" s="345">
        <f t="shared" si="9"/>
        <v>0</v>
      </c>
      <c r="AC27" s="345">
        <f t="shared" si="10"/>
        <v>0</v>
      </c>
    </row>
    <row r="28" spans="1:29" s="19" customFormat="1" ht="12" x14ac:dyDescent="0.2">
      <c r="A28" s="312">
        <f t="shared" si="6"/>
        <v>44340</v>
      </c>
      <c r="B28" s="129">
        <f t="shared" si="0"/>
        <v>44340</v>
      </c>
      <c r="C28" s="262" t="str">
        <f t="shared" si="1"/>
        <v/>
      </c>
      <c r="D28" s="358"/>
      <c r="E28" s="352"/>
      <c r="F28" s="255"/>
      <c r="G28" s="309"/>
      <c r="H28" s="309"/>
      <c r="I28" s="348">
        <f>IFERROR(VLOOKUP(D28&amp;G28,tbl_Entfernung[[Verketten]:[Entfernung]],2,FALSE),"")</f>
        <v>0</v>
      </c>
      <c r="J28" s="361"/>
      <c r="K28" s="352"/>
      <c r="L28" s="309"/>
      <c r="M28" s="309"/>
      <c r="N28" s="321">
        <f>IFERROR(VLOOKUP(G28&amp;L28,tbl_Entfernung[[Verketten]:[Entfernung]],2,FALSE),"")</f>
        <v>0</v>
      </c>
      <c r="O28" s="316">
        <f>IF(S28&gt;PauseGTime,PauseGWert,IF(S28&gt;PauseKTime,PauseKWert,IF(S28&lt;=PauseKTime,0,WENN)))</f>
        <v>0</v>
      </c>
      <c r="P28" s="364"/>
      <c r="Q28" s="356">
        <f t="shared" si="2"/>
        <v>0</v>
      </c>
      <c r="R28" s="225">
        <f t="shared" ca="1" si="3"/>
        <v>0</v>
      </c>
      <c r="S28" s="225">
        <f t="shared" si="7"/>
        <v>0</v>
      </c>
      <c r="T28" s="130">
        <f t="shared" ca="1" si="4"/>
        <v>0</v>
      </c>
      <c r="U28" s="251">
        <f t="shared" ca="1" si="5"/>
        <v>0</v>
      </c>
      <c r="V28" s="131"/>
      <c r="W28" s="214" t="e">
        <f t="shared" ca="1" si="8"/>
        <v>#REF!</v>
      </c>
      <c r="AB28" s="345">
        <f t="shared" si="9"/>
        <v>0</v>
      </c>
      <c r="AC28" s="345">
        <f t="shared" si="10"/>
        <v>0</v>
      </c>
    </row>
    <row r="29" spans="1:29" s="19" customFormat="1" ht="12" x14ac:dyDescent="0.2">
      <c r="A29" s="312">
        <f t="shared" si="6"/>
        <v>44341</v>
      </c>
      <c r="B29" s="129">
        <f t="shared" si="0"/>
        <v>44341</v>
      </c>
      <c r="C29" s="262" t="str">
        <f t="shared" si="1"/>
        <v/>
      </c>
      <c r="D29" s="358"/>
      <c r="E29" s="352"/>
      <c r="F29" s="255"/>
      <c r="G29" s="309"/>
      <c r="H29" s="309"/>
      <c r="I29" s="348">
        <f>IFERROR(VLOOKUP(D29&amp;G29,tbl_Entfernung[[Verketten]:[Entfernung]],2,FALSE),"")</f>
        <v>0</v>
      </c>
      <c r="J29" s="361"/>
      <c r="K29" s="352"/>
      <c r="L29" s="309"/>
      <c r="M29" s="309"/>
      <c r="N29" s="321">
        <f>IFERROR(VLOOKUP(G29&amp;L29,tbl_Entfernung[[Verketten]:[Entfernung]],2,FALSE),"")</f>
        <v>0</v>
      </c>
      <c r="O29" s="316">
        <f>IF(S29&gt;PauseGTime,PauseGWert,IF(S29&gt;PauseKTime,PauseKWert,IF(S29&lt;=PauseKTime,0,WENN)))</f>
        <v>0</v>
      </c>
      <c r="P29" s="364"/>
      <c r="Q29" s="356">
        <f t="shared" si="2"/>
        <v>0</v>
      </c>
      <c r="R29" s="225">
        <f t="shared" ca="1" si="3"/>
        <v>0.29166666666666669</v>
      </c>
      <c r="S29" s="225">
        <f t="shared" si="7"/>
        <v>0</v>
      </c>
      <c r="T29" s="130">
        <f t="shared" ca="1" si="4"/>
        <v>-0.29166666666667002</v>
      </c>
      <c r="U29" s="251">
        <f t="shared" ca="1" si="5"/>
        <v>0.29166666666666669</v>
      </c>
      <c r="V29" s="131"/>
      <c r="W29" s="214" t="e">
        <f t="shared" ca="1" si="8"/>
        <v>#REF!</v>
      </c>
      <c r="AB29" s="345">
        <f t="shared" si="9"/>
        <v>0</v>
      </c>
      <c r="AC29" s="345">
        <f t="shared" si="10"/>
        <v>0</v>
      </c>
    </row>
    <row r="30" spans="1:29" s="19" customFormat="1" ht="12" x14ac:dyDescent="0.2">
      <c r="A30" s="312">
        <f t="shared" si="6"/>
        <v>44342</v>
      </c>
      <c r="B30" s="129">
        <f t="shared" si="0"/>
        <v>44342</v>
      </c>
      <c r="C30" s="262" t="str">
        <f t="shared" si="1"/>
        <v/>
      </c>
      <c r="D30" s="358"/>
      <c r="E30" s="352"/>
      <c r="F30" s="255"/>
      <c r="G30" s="309"/>
      <c r="H30" s="309"/>
      <c r="I30" s="349">
        <f>IFERROR(VLOOKUP(D30&amp;G30,tbl_Entfernung[[Verketten]:[Entfernung]],2,FALSE),"")</f>
        <v>0</v>
      </c>
      <c r="J30" s="361"/>
      <c r="K30" s="352"/>
      <c r="L30" s="309"/>
      <c r="M30" s="309"/>
      <c r="N30" s="322">
        <f>IFERROR(VLOOKUP(G30&amp;L30,tbl_Entfernung[[Verketten]:[Entfernung]],2,FALSE),"")</f>
        <v>0</v>
      </c>
      <c r="O30" s="316">
        <f>IF(S30&gt;PauseGTime,PauseGWert,IF(S30&gt;PauseKTime,PauseKWert,IF(S30&lt;=PauseKTime,0,WENN)))</f>
        <v>0</v>
      </c>
      <c r="P30" s="364"/>
      <c r="Q30" s="356">
        <f t="shared" si="2"/>
        <v>0</v>
      </c>
      <c r="R30" s="225">
        <f t="shared" ca="1" si="3"/>
        <v>0.29166666666666669</v>
      </c>
      <c r="S30" s="225">
        <f t="shared" si="7"/>
        <v>0</v>
      </c>
      <c r="T30" s="130">
        <f t="shared" ca="1" si="4"/>
        <v>-0.29166666666667002</v>
      </c>
      <c r="U30" s="251">
        <f t="shared" ca="1" si="5"/>
        <v>0.29166666666666669</v>
      </c>
      <c r="V30" s="131"/>
      <c r="W30" s="214" t="e">
        <f t="shared" ca="1" si="8"/>
        <v>#REF!</v>
      </c>
      <c r="AB30" s="345">
        <f t="shared" si="9"/>
        <v>0</v>
      </c>
      <c r="AC30" s="345">
        <f t="shared" si="10"/>
        <v>0</v>
      </c>
    </row>
    <row r="31" spans="1:29" s="19" customFormat="1" ht="12" x14ac:dyDescent="0.2">
      <c r="A31" s="312">
        <f t="shared" si="6"/>
        <v>44343</v>
      </c>
      <c r="B31" s="129">
        <f t="shared" si="0"/>
        <v>44343</v>
      </c>
      <c r="C31" s="262" t="str">
        <f t="shared" si="1"/>
        <v/>
      </c>
      <c r="D31" s="358"/>
      <c r="E31" s="352"/>
      <c r="F31" s="255"/>
      <c r="G31" s="309"/>
      <c r="H31" s="309"/>
      <c r="I31" s="349">
        <f>IFERROR(VLOOKUP(D31&amp;G31,tbl_Entfernung[[Verketten]:[Entfernung]],2,FALSE),"")</f>
        <v>0</v>
      </c>
      <c r="J31" s="361"/>
      <c r="K31" s="352"/>
      <c r="L31" s="309"/>
      <c r="M31" s="309"/>
      <c r="N31" s="322">
        <f>IFERROR(VLOOKUP(G31&amp;L31,tbl_Entfernung[[Verketten]:[Entfernung]],2,FALSE),"")</f>
        <v>0</v>
      </c>
      <c r="O31" s="316">
        <f>IF(S31&gt;PauseGTime,PauseGWert,IF(S31&gt;PauseKTime,PauseKWert,IF(S31&lt;=PauseKTime,0,WENN)))</f>
        <v>0</v>
      </c>
      <c r="P31" s="364"/>
      <c r="Q31" s="356">
        <f t="shared" si="2"/>
        <v>0</v>
      </c>
      <c r="R31" s="225">
        <f t="shared" ca="1" si="3"/>
        <v>0.29166666666666669</v>
      </c>
      <c r="S31" s="225">
        <f t="shared" si="7"/>
        <v>0</v>
      </c>
      <c r="T31" s="130">
        <f t="shared" ca="1" si="4"/>
        <v>-0.29166666666667002</v>
      </c>
      <c r="U31" s="251">
        <f t="shared" ca="1" si="5"/>
        <v>0.29166666666666669</v>
      </c>
      <c r="V31" s="131"/>
      <c r="W31" s="214" t="e">
        <f t="shared" ca="1" si="8"/>
        <v>#REF!</v>
      </c>
      <c r="AB31" s="345">
        <f t="shared" si="9"/>
        <v>0</v>
      </c>
      <c r="AC31" s="345">
        <f t="shared" si="10"/>
        <v>0</v>
      </c>
    </row>
    <row r="32" spans="1:29" s="19" customFormat="1" ht="12" x14ac:dyDescent="0.2">
      <c r="A32" s="312">
        <f>IF(MONTH(A31+1)&gt;MONTH(A31),"",A31+1)</f>
        <v>44344</v>
      </c>
      <c r="B32" s="129">
        <f t="shared" si="0"/>
        <v>44344</v>
      </c>
      <c r="C32" s="262" t="str">
        <f>IF(ISERROR(VLOOKUP(A32,Feiertage,2,FALSE)),"",(VLOOKUP(A32,Feiertage,2,FALSE)))</f>
        <v>Christi Himmelfahrt</v>
      </c>
      <c r="D32" s="358"/>
      <c r="E32" s="352"/>
      <c r="F32" s="255"/>
      <c r="G32" s="309"/>
      <c r="H32" s="309"/>
      <c r="I32" s="349">
        <f>IFERROR(VLOOKUP(D32&amp;G32,tbl_Entfernung[[Verketten]:[Entfernung]],2,FALSE),"")</f>
        <v>0</v>
      </c>
      <c r="J32" s="361"/>
      <c r="K32" s="352"/>
      <c r="L32" s="309"/>
      <c r="M32" s="309"/>
      <c r="N32" s="322">
        <f>IFERROR(VLOOKUP(G32&amp;L32,tbl_Entfernung[[Verketten]:[Entfernung]],2,FALSE),"")</f>
        <v>0</v>
      </c>
      <c r="O32" s="316">
        <f>IF(S32&gt;PauseGTime,PauseGWert,IF(S32&gt;PauseKTime,PauseKWert,IF(S32&lt;=PauseKTime,0,WENN)))</f>
        <v>0</v>
      </c>
      <c r="P32" s="364"/>
      <c r="Q32" s="356">
        <f t="shared" si="2"/>
        <v>0</v>
      </c>
      <c r="R32" s="225">
        <f t="shared" ca="1" si="3"/>
        <v>0</v>
      </c>
      <c r="S32" s="225">
        <f t="shared" si="7"/>
        <v>0</v>
      </c>
      <c r="T32" s="130">
        <f t="shared" ca="1" si="4"/>
        <v>0</v>
      </c>
      <c r="U32" s="251">
        <f t="shared" ca="1" si="5"/>
        <v>0.29166666666666669</v>
      </c>
      <c r="V32" s="131"/>
      <c r="W32" s="214" t="e">
        <f t="shared" ca="1" si="8"/>
        <v>#REF!</v>
      </c>
      <c r="AB32" s="345">
        <f t="shared" si="9"/>
        <v>0</v>
      </c>
      <c r="AC32" s="345">
        <f t="shared" si="10"/>
        <v>0</v>
      </c>
    </row>
    <row r="33" spans="1:29" s="19" customFormat="1" ht="12" x14ac:dyDescent="0.2">
      <c r="A33" s="312">
        <f>IF(MONTH(A31+2)&gt;MONTH(A31),"",A31+2)</f>
        <v>44345</v>
      </c>
      <c r="B33" s="129">
        <f t="shared" si="0"/>
        <v>44345</v>
      </c>
      <c r="C33" s="262" t="str">
        <f>IF(ISERROR(VLOOKUP(A33,Feiertage,2,FALSE)),"",(VLOOKUP(A33,Feiertage,2,FALSE)))</f>
        <v/>
      </c>
      <c r="D33" s="358"/>
      <c r="E33" s="352"/>
      <c r="F33" s="255"/>
      <c r="G33" s="309"/>
      <c r="H33" s="309"/>
      <c r="I33" s="349">
        <f>IFERROR(VLOOKUP(D33&amp;G33,tbl_Entfernung[[Verketten]:[Entfernung]],2,FALSE),"")</f>
        <v>0</v>
      </c>
      <c r="J33" s="361"/>
      <c r="K33" s="352"/>
      <c r="L33" s="309"/>
      <c r="M33" s="309"/>
      <c r="N33" s="322">
        <f>IFERROR(VLOOKUP(G33&amp;L33,tbl_Entfernung[[Verketten]:[Entfernung]],2,FALSE),"")</f>
        <v>0</v>
      </c>
      <c r="O33" s="316">
        <f>IF(S33&gt;PauseGTime,PauseGWert,IF(S33&gt;PauseKTime,PauseKWert,IF(S33&lt;=PauseKTime,0,WENN)))</f>
        <v>0</v>
      </c>
      <c r="P33" s="364"/>
      <c r="Q33" s="356">
        <f t="shared" si="2"/>
        <v>0</v>
      </c>
      <c r="R33" s="225">
        <f t="shared" ca="1" si="3"/>
        <v>0.29166666666666669</v>
      </c>
      <c r="S33" s="225">
        <f t="shared" si="7"/>
        <v>0</v>
      </c>
      <c r="T33" s="130">
        <f t="shared" ca="1" si="4"/>
        <v>-0.29166666666667002</v>
      </c>
      <c r="U33" s="251">
        <f t="shared" ca="1" si="5"/>
        <v>0.29166666666666669</v>
      </c>
      <c r="V33" s="131"/>
      <c r="W33" s="214" t="e">
        <f t="shared" ca="1" si="8"/>
        <v>#REF!</v>
      </c>
      <c r="AB33" s="345">
        <f t="shared" si="9"/>
        <v>0</v>
      </c>
      <c r="AC33" s="345">
        <f t="shared" si="10"/>
        <v>0</v>
      </c>
    </row>
    <row r="34" spans="1:29" s="19" customFormat="1" ht="12" x14ac:dyDescent="0.2">
      <c r="A34" s="313">
        <f>IF(MONTH(A31+3)&gt;MONTH(A31),"",A31+3)</f>
        <v>44346</v>
      </c>
      <c r="B34" s="215">
        <f t="shared" si="0"/>
        <v>44346</v>
      </c>
      <c r="C34" s="263" t="str">
        <f>IF(ISERROR(VLOOKUP(A34,Feiertage,2,FALSE)),"",(VLOOKUP(A34,Feiertage,2,FALSE)))</f>
        <v/>
      </c>
      <c r="D34" s="359"/>
      <c r="E34" s="353"/>
      <c r="F34" s="256"/>
      <c r="G34" s="310"/>
      <c r="H34" s="310"/>
      <c r="I34" s="350">
        <f>IFERROR(VLOOKUP(D34&amp;G34,tbl_Entfernung[[Verketten]:[Entfernung]],2,FALSE),"")</f>
        <v>0</v>
      </c>
      <c r="J34" s="362"/>
      <c r="K34" s="354"/>
      <c r="L34" s="310"/>
      <c r="M34" s="310"/>
      <c r="N34" s="323">
        <f>IFERROR(VLOOKUP(G34&amp;L34,tbl_Entfernung[[Verketten]:[Entfernung]],2,FALSE),"")</f>
        <v>0</v>
      </c>
      <c r="O34" s="317">
        <f>IF(S34&gt;PauseGTime,PauseGWert,IF(S34&gt;PauseKTime,PauseKWert,IF(S34&lt;=PauseKTime,0,WENN)))</f>
        <v>0</v>
      </c>
      <c r="P34" s="365"/>
      <c r="Q34" s="357">
        <f t="shared" si="2"/>
        <v>0</v>
      </c>
      <c r="R34" s="226">
        <f t="shared" ca="1" si="3"/>
        <v>0</v>
      </c>
      <c r="S34" s="226">
        <f t="shared" si="7"/>
        <v>0</v>
      </c>
      <c r="T34" s="216">
        <f t="shared" ca="1" si="4"/>
        <v>0</v>
      </c>
      <c r="U34" s="252">
        <f t="shared" ca="1" si="5"/>
        <v>0</v>
      </c>
      <c r="V34" s="217"/>
      <c r="W34" s="218" t="e">
        <f t="shared" ca="1" si="8"/>
        <v>#REF!</v>
      </c>
      <c r="AB34" s="345">
        <f t="shared" si="9"/>
        <v>0</v>
      </c>
      <c r="AC34" s="345">
        <f t="shared" si="10"/>
        <v>0</v>
      </c>
    </row>
    <row r="35" spans="1:29" s="19" customFormat="1" ht="4.5" customHeight="1" x14ac:dyDescent="0.2">
      <c r="B35" s="48"/>
      <c r="C35" s="48"/>
      <c r="D35" s="48"/>
      <c r="E35" s="48"/>
      <c r="F35" s="49"/>
      <c r="G35" s="49"/>
      <c r="H35" s="49"/>
      <c r="I35" s="49"/>
      <c r="J35" s="49"/>
      <c r="K35" s="49"/>
      <c r="L35" s="50"/>
      <c r="M35" s="50"/>
      <c r="N35" s="50"/>
      <c r="O35" s="50"/>
      <c r="P35" s="50"/>
      <c r="Q35" s="49"/>
      <c r="R35" s="51"/>
      <c r="S35" s="51"/>
      <c r="T35" s="51"/>
      <c r="U35" s="1"/>
      <c r="V35" s="1"/>
      <c r="W35" s="1"/>
    </row>
    <row r="36" spans="1:29" ht="12.75" customHeight="1" x14ac:dyDescent="0.2">
      <c r="A36" s="132"/>
      <c r="B36" s="133"/>
      <c r="C36" s="133"/>
      <c r="D36" s="290"/>
      <c r="E36" s="272"/>
      <c r="F36" s="291" t="str">
        <f>"Übertrag "&amp;TEXT(DATE(YEAR(A1),MONTH(A1)-1,1),"MMMM JJJJ")&amp;":"</f>
        <v>Übertrag April 2025:</v>
      </c>
      <c r="G36" s="272"/>
      <c r="H36" s="272"/>
      <c r="I36" s="272"/>
      <c r="J36" s="292" t="e">
        <f ca="1">April!J40</f>
        <v>#REF!</v>
      </c>
      <c r="K36" s="287"/>
      <c r="P36" s="293">
        <f>COUNTIF(P4:P34,Voreinstellungen!B21)+IF(COUNTIF(P4:P34,Voreinstellungen!B22)&gt;0,1-(SUMIF(P4:P34,Voreinstellungen!B22,R4:R34)/SUMIF(P4:P34,Voreinstellungen!B22,U4:U34)),0)</f>
        <v>0</v>
      </c>
      <c r="Q36" s="325" t="str">
        <f>Voreinstellungen!A21&amp;" ("&amp;Voreinstellungen!B21&amp;"/"&amp;Voreinstellungen!B22&amp;")"</f>
        <v>Krank (K/KK)</v>
      </c>
      <c r="R36" s="326"/>
      <c r="S36" s="326"/>
      <c r="T36" s="326"/>
      <c r="U36" s="326"/>
      <c r="V36" s="326"/>
      <c r="W36" s="173">
        <f>(SUMIF(P4:P34,Voreinstellungen!B21,R4:R34)-SUMIF(P4:P34,Voreinstellungen!B21,U4:U34)+SUMIF(P4:P34,Voreinstellungen!B22,R4:R34)-SUMIF(P4:P34,Voreinstellungen!B22,U4:U34))*-1</f>
        <v>0</v>
      </c>
      <c r="Y36" s="372" t="s">
        <v>145</v>
      </c>
      <c r="Z36" s="385" t="s">
        <v>150</v>
      </c>
      <c r="AA36" s="385" t="s">
        <v>151</v>
      </c>
      <c r="AB36" s="386" t="s">
        <v>152</v>
      </c>
    </row>
    <row r="37" spans="1:29" ht="12.75" customHeight="1" x14ac:dyDescent="0.2">
      <c r="A37" s="134"/>
      <c r="B37" s="135"/>
      <c r="C37" s="135"/>
      <c r="D37" s="135"/>
      <c r="E37" s="136"/>
      <c r="F37" s="294" t="str">
        <f>"SOLL Arbeitszeit ("&amp;TEXT(A1,"MMMM")&amp;"):"</f>
        <v>SOLL Arbeitszeit (Mai):</v>
      </c>
      <c r="G37" s="136"/>
      <c r="H37" s="136"/>
      <c r="I37" s="136"/>
      <c r="J37" s="295">
        <f ca="1">SUM(R4:R34)</f>
        <v>5.8333333333333348</v>
      </c>
      <c r="K37" s="287"/>
      <c r="P37" s="296">
        <f>COUNTIF(P4:P34,Voreinstellungen!B25)+(COUNTIF(P4:P34,Voreinstellungen!B26)*Voreinstellungen!C26)</f>
        <v>0</v>
      </c>
      <c r="Q37" s="327" t="str">
        <f>Voreinstellungen!A25&amp;" ("&amp;Voreinstellungen!B25&amp;"/"&amp;Voreinstellungen!B26&amp;") aktuell noch Verfügbar: "&amp;Voreinstellungen!C38&amp;" Tag(e)"</f>
        <v>Urlaub (U/UH) aktuell noch Verfügbar: 27 Tag(e)</v>
      </c>
      <c r="R37" s="328"/>
      <c r="S37" s="328"/>
      <c r="T37" s="328"/>
      <c r="U37" s="328"/>
      <c r="V37" s="328"/>
      <c r="W37" s="167">
        <f>SUMIF(P4:P34,Voreinstellungen!B25,U4:U34)+(SUMIF(P4:P34,Voreinstellungen!B26,U4:U34)*0.5)</f>
        <v>0</v>
      </c>
      <c r="Y37" s="374">
        <f>Voreinstellungen!J45</f>
        <v>0</v>
      </c>
      <c r="Z37" s="377">
        <f t="shared" ref="Z37:Z49" si="11">SUMIFS($AB$4:$AB$34,$G$4:$G$34,$Y37)+SUMIFS($AC$4:$AC$34,$L$4:$L$34,$Y37)</f>
        <v>0</v>
      </c>
      <c r="AA37" s="378">
        <f t="shared" ref="AA37:AA49" si="12">SUMIFS($I$4:$I$34,$G$4:$G$34,$Y37)+SUMIFS($N$4:$N$34,$L$4:$L$34,$Y37)</f>
        <v>0</v>
      </c>
      <c r="AB37" s="379">
        <f>SUM(AA37*Voreinstellungen!$C$44)</f>
        <v>0</v>
      </c>
    </row>
    <row r="38" spans="1:29" ht="12.75" customHeight="1" x14ac:dyDescent="0.2">
      <c r="A38" s="137"/>
      <c r="B38" s="138"/>
      <c r="C38" s="138"/>
      <c r="D38" s="138"/>
      <c r="E38" s="136"/>
      <c r="F38" s="294" t="str">
        <f>"IST Arbeitszeit ("&amp;TEXT(A1,"MMMM")&amp;"):"</f>
        <v>IST Arbeitszeit (Mai):</v>
      </c>
      <c r="G38" s="273"/>
      <c r="H38" s="273"/>
      <c r="I38" s="273"/>
      <c r="J38" s="297">
        <f>SUM(Q4:Q34)</f>
        <v>0</v>
      </c>
      <c r="K38" s="287"/>
      <c r="P38" s="296">
        <f>COUNTIF(P4:P34,Voreinstellungen!B20)</f>
        <v>0</v>
      </c>
      <c r="Q38" s="327" t="str">
        <f>Voreinstellungen!A20&amp;" ("&amp;Voreinstellungen!B20&amp;")"</f>
        <v>Gleittag (G)</v>
      </c>
      <c r="R38" s="328"/>
      <c r="S38" s="328"/>
      <c r="T38" s="328"/>
      <c r="U38" s="328"/>
      <c r="V38" s="328"/>
      <c r="W38" s="172"/>
      <c r="Y38" s="375">
        <f>Voreinstellungen!J46</f>
        <v>0</v>
      </c>
      <c r="Z38" s="380">
        <f t="shared" si="11"/>
        <v>0</v>
      </c>
      <c r="AA38" s="380">
        <f t="shared" si="12"/>
        <v>0</v>
      </c>
      <c r="AB38" s="381">
        <f>SUM(AA38*Voreinstellungen!$C$44)</f>
        <v>0</v>
      </c>
    </row>
    <row r="39" spans="1:29" ht="12.75" customHeight="1" x14ac:dyDescent="0.2">
      <c r="A39" s="137"/>
      <c r="B39" s="138"/>
      <c r="C39" s="138"/>
      <c r="D39" s="138"/>
      <c r="E39" s="136"/>
      <c r="F39" s="136" t="s">
        <v>84</v>
      </c>
      <c r="G39" s="274"/>
      <c r="H39" s="274"/>
      <c r="I39" s="274"/>
      <c r="J39" s="298"/>
      <c r="K39" s="287"/>
      <c r="P39" s="296">
        <f>COUNTIF(P4:P34,Voreinstellungen!B23)+IF(SUMIF(P4:P34,Voreinstellungen!B24,U4:U34)&lt;&gt;0,(1-(SUMIF(P4:P34,Voreinstellungen!B24,R4:R34)/SUMIF(P4:P34,Voreinstellungen!B24,U4:U34)))*COUNTIF(P4:P34,Voreinstellungen!B24),0)</f>
        <v>0</v>
      </c>
      <c r="Q39" s="327" t="str">
        <f>Voreinstellungen!A23&amp;" ("&amp;Voreinstellungen!B23&amp;")/("&amp;Voreinstellungen!B24&amp;")"</f>
        <v>Kurzarbeit (KU)/(KA)</v>
      </c>
      <c r="R39" s="329"/>
      <c r="S39" s="329"/>
      <c r="T39" s="329"/>
      <c r="U39" s="329"/>
      <c r="V39" s="329"/>
      <c r="W39" s="166">
        <f>(SUMIF(P4:P34,Voreinstellungen!B23,R4:R34)-SUMIF(P4:P34,Voreinstellungen!B23,U4:U34)+SUMIF(P4:P34,Voreinstellungen!B24,R4:R34)-SUMIF(P4:P34,Voreinstellungen!B24,U4:U34))*-1</f>
        <v>0</v>
      </c>
      <c r="Y39" s="375">
        <f>Voreinstellungen!J48</f>
        <v>0</v>
      </c>
      <c r="Z39" s="380">
        <f t="shared" si="11"/>
        <v>0</v>
      </c>
      <c r="AA39" s="380">
        <f t="shared" si="12"/>
        <v>0</v>
      </c>
      <c r="AB39" s="381">
        <f>SUM(AA39*Voreinstellungen!$C$44)</f>
        <v>0</v>
      </c>
    </row>
    <row r="40" spans="1:29" ht="12.75" customHeight="1" x14ac:dyDescent="0.2">
      <c r="A40" s="139"/>
      <c r="B40" s="140"/>
      <c r="C40" s="140"/>
      <c r="D40" s="140"/>
      <c r="E40" s="141"/>
      <c r="F40" s="299" t="s">
        <v>85</v>
      </c>
      <c r="G40" s="275"/>
      <c r="H40" s="275"/>
      <c r="I40" s="275"/>
      <c r="J40" s="300" t="e">
        <f ca="1">ROUND(J38+J36-J39-J37,14)</f>
        <v>#REF!</v>
      </c>
      <c r="K40" s="287"/>
      <c r="P40" s="296">
        <f>COUNTIF(Q4:Q34,"&gt;0")-IF(Voreinstellungen!C28="XTRA",COUNTIF(P4:P34,Voreinstellungen!B28),0)-IF(Voreinstellungen!C29="XTRA",COUNTIF(P4:P34,Voreinstellungen!B29),0)-IF(Voreinstellungen!C30="XTRA",COUNTIF(P4:P34,Voreinstellungen!B30),0)-IF(Voreinstellungen!C31="XTRA",COUNTIF(P4:P34,Voreinstellungen!B31),0)-IF(Voreinstellungen!C32="XTRA",COUNTIF(P4:P34,Voreinstellungen!B32),0)-IF(Voreinstellungen!C33="XTRA",COUNTIF(P4:P34,Voreinstellungen!B33),0)-COUNTIF(P4:P34,"H")</f>
        <v>0</v>
      </c>
      <c r="Q40" s="327" t="s">
        <v>86</v>
      </c>
      <c r="R40" s="328"/>
      <c r="S40" s="328"/>
      <c r="T40" s="328"/>
      <c r="U40" s="328"/>
      <c r="V40" s="328"/>
      <c r="W40" s="234"/>
      <c r="Y40" s="375">
        <f>Voreinstellungen!J49</f>
        <v>0</v>
      </c>
      <c r="Z40" s="380">
        <f t="shared" si="11"/>
        <v>0</v>
      </c>
      <c r="AA40" s="380">
        <f t="shared" si="12"/>
        <v>0</v>
      </c>
      <c r="AB40" s="381">
        <f>SUM(AA40*Voreinstellungen!$C$44)</f>
        <v>0</v>
      </c>
    </row>
    <row r="41" spans="1:29" ht="12.75" customHeight="1" x14ac:dyDescent="0.2">
      <c r="P41" s="296">
        <f>COUNTIF(P4:P34,Voreinstellungen!B27)</f>
        <v>0</v>
      </c>
      <c r="Q41" s="327" t="str">
        <f>Voreinstellungen!A27</f>
        <v>Homeoffice</v>
      </c>
      <c r="R41" s="328"/>
      <c r="S41" s="328"/>
      <c r="T41" s="328"/>
      <c r="U41" s="328"/>
      <c r="V41" s="328"/>
      <c r="W41" s="234"/>
      <c r="Y41" s="375">
        <f>Voreinstellungen!J50</f>
        <v>0</v>
      </c>
      <c r="Z41" s="380">
        <f t="shared" si="11"/>
        <v>0</v>
      </c>
      <c r="AA41" s="380">
        <f t="shared" si="12"/>
        <v>0</v>
      </c>
      <c r="AB41" s="381">
        <f>SUM(AA41*Voreinstellungen!$C$44)</f>
        <v>0</v>
      </c>
    </row>
    <row r="42" spans="1:29" ht="12.75" customHeight="1" x14ac:dyDescent="0.2">
      <c r="A42" s="169"/>
      <c r="B42" s="169"/>
      <c r="C42" s="169"/>
      <c r="D42" s="277"/>
      <c r="E42" s="277"/>
      <c r="F42" s="277"/>
      <c r="G42" s="277"/>
      <c r="H42" s="277"/>
      <c r="I42" s="277"/>
      <c r="J42" s="277"/>
      <c r="P42" s="302">
        <f>IF(Voreinstellungen!C28="","",IF(Voreinstellungen!C28="REST",IFERROR(SUMIF(P4:P34,Voreinstellungen!B28,Q4:Q34)/SUMIF(P4:P34,Voreinstellungen!B28,U4:U34),0),IF(Voreinstellungen!C28="NONE",COUNTIF(P4:P34,Voreinstellungen!B28),IF(Voreinstellungen!C28="XTRA",COUNTIF(P4:P34,Voreinstellungen!B28),COUNTIF(P4:P34,Voreinstellungen!B28)*IF(Voreinstellungen!C28=0,1,Voreinstellungen!C28)))))</f>
        <v>0</v>
      </c>
      <c r="Q42" s="330" t="str">
        <f>IF(Voreinstellungen!A28="","",REPT(Voreinstellungen!A28,1) &amp; " (" &amp; REPT(Voreinstellungen!B28,1) &amp; ")")</f>
        <v>Bereitschaft (B)</v>
      </c>
      <c r="R42" s="331"/>
      <c r="S42" s="331"/>
      <c r="T42" s="331"/>
      <c r="U42" s="331"/>
      <c r="V42" s="331"/>
      <c r="W42" s="168">
        <f>IF(ISBLANK(Voreinstellungen!C28),"",IF(Voreinstellungen!C28="REST",SUMIF(P4:P34,Voreinstellungen!B28,U4:U34)-SUMIF(P4:P34,Voreinstellungen!B28,Q4:Q34),IF(ISTEXT(Voreinstellungen!C28),SUMIF(P4:P34,Voreinstellungen!B28,Q4:Q34),"")))</f>
        <v>0</v>
      </c>
      <c r="Y42" s="375">
        <f>Voreinstellungen!J51</f>
        <v>0</v>
      </c>
      <c r="Z42" s="380">
        <f t="shared" si="11"/>
        <v>0</v>
      </c>
      <c r="AA42" s="380">
        <f t="shared" si="12"/>
        <v>0</v>
      </c>
      <c r="AB42" s="381">
        <f>SUM(AA42*Voreinstellungen!$C$44)</f>
        <v>0</v>
      </c>
    </row>
    <row r="43" spans="1:29" ht="12.75" customHeight="1" x14ac:dyDescent="0.2">
      <c r="A43" s="170"/>
      <c r="B43" s="170"/>
      <c r="C43" s="170"/>
      <c r="D43" s="278"/>
      <c r="E43" s="278"/>
      <c r="F43" s="278"/>
      <c r="G43" s="278"/>
      <c r="H43" s="278"/>
      <c r="I43" s="278"/>
      <c r="J43" s="278"/>
      <c r="P43" s="302">
        <f>IF(Voreinstellungen!C29="","",IF(Voreinstellungen!C29="REST",IFERROR(SUMIF(P4:P34,Voreinstellungen!B29,Q4:Q34)/SUMIF(P4:P34,Voreinstellungen!B29,U4:U34),0),IF(Voreinstellungen!C29="NONE",COUNTIF(P4:P34,Voreinstellungen!B29),IF(Voreinstellungen!C29="XTRA",COUNTIF(P4:P34,Voreinstellungen!B29),COUNTIF(P4:P34,Voreinstellungen!B29)*IF(Voreinstellungen!C29=0,1,Voreinstellungen!C29)))))</f>
        <v>0</v>
      </c>
      <c r="Q43" s="330" t="str">
        <f>IF(Voreinstellungen!A29="","",REPT(Voreinstellungen!A29,1) &amp; " (" &amp; REPT(Voreinstellungen!B29,1) &amp; ")")</f>
        <v>Eigener Code 1 (E1)</v>
      </c>
      <c r="R43" s="331"/>
      <c r="S43" s="331"/>
      <c r="T43" s="331"/>
      <c r="U43" s="331"/>
      <c r="V43" s="331"/>
      <c r="W43" s="168">
        <f>IF(ISBLANK(Voreinstellungen!C29),"",IF(Voreinstellungen!C29="REST",SUMIF(P4:P34,Voreinstellungen!B29,U4:U34)-SUMIF(P4:P34,Voreinstellungen!B29,Q4:Q34),IF(ISTEXT(Voreinstellungen!C29),SUMIF(P4:P34,Voreinstellungen!B29,Q4:Q34),"")))</f>
        <v>0</v>
      </c>
      <c r="Y43" s="375">
        <f>Voreinstellungen!J52</f>
        <v>0</v>
      </c>
      <c r="Z43" s="380">
        <f t="shared" si="11"/>
        <v>0</v>
      </c>
      <c r="AA43" s="380">
        <f t="shared" si="12"/>
        <v>0</v>
      </c>
      <c r="AB43" s="381">
        <f>SUM(AA43*Voreinstellungen!$C$44)</f>
        <v>0</v>
      </c>
    </row>
    <row r="44" spans="1:29" ht="12.75" customHeight="1" x14ac:dyDescent="0.2">
      <c r="A44" s="169" t="s">
        <v>46</v>
      </c>
      <c r="B44" s="169"/>
      <c r="C44" s="169"/>
      <c r="D44" s="277"/>
      <c r="E44" s="277"/>
      <c r="F44" s="277"/>
      <c r="G44" s="277"/>
      <c r="H44" s="277"/>
      <c r="I44" s="277"/>
      <c r="J44" s="277" t="s">
        <v>87</v>
      </c>
      <c r="P44" s="302">
        <f>IF(Voreinstellungen!C30="","",IF(Voreinstellungen!C30="REST",IFERROR(SUMIF(P4:P34,Voreinstellungen!B30,Q4:Q34)/SUMIF(P4:P34,Voreinstellungen!B30,U4:U34),0),IF(Voreinstellungen!C30="NONE",COUNTIF(P4:P34,Voreinstellungen!B30),IF(Voreinstellungen!C30="XTRA",COUNTIF(P4:P34,Voreinstellungen!B30),COUNTIF(P4:P34,Voreinstellungen!B30)*IF(Voreinstellungen!C30=0,1,Voreinstellungen!C30)))))</f>
        <v>0</v>
      </c>
      <c r="Q44" s="330" t="str">
        <f>IF(Voreinstellungen!A30="","",REPT(Voreinstellungen!A30,1) &amp; " (" &amp; REPT(Voreinstellungen!B30,1) &amp; ")")</f>
        <v>Eigener Code 2 (E2)</v>
      </c>
      <c r="R44" s="331"/>
      <c r="S44" s="331"/>
      <c r="T44" s="331"/>
      <c r="U44" s="331"/>
      <c r="V44" s="331"/>
      <c r="W44" s="168" t="str">
        <f>IF(ISBLANK(Voreinstellungen!C30),"",IF(Voreinstellungen!C30="REST",SUMIF(P4:P34,Voreinstellungen!B30,U4:U34)-SUMIF(P4:P34,Voreinstellungen!B30,Q4:Q34),IF(ISTEXT(Voreinstellungen!C30),SUMIF(P4:P34,Voreinstellungen!B30,Q4:Q34),"")))</f>
        <v/>
      </c>
      <c r="Y44" s="375">
        <f>Voreinstellungen!J53</f>
        <v>0</v>
      </c>
      <c r="Z44" s="380">
        <f t="shared" si="11"/>
        <v>0</v>
      </c>
      <c r="AA44" s="380">
        <f t="shared" si="12"/>
        <v>0</v>
      </c>
      <c r="AB44" s="381">
        <f>SUM(AA44*Voreinstellungen!$C$44)</f>
        <v>0</v>
      </c>
    </row>
    <row r="45" spans="1:29" ht="12.75" customHeight="1" x14ac:dyDescent="0.2">
      <c r="A45" s="169"/>
      <c r="B45" s="169"/>
      <c r="C45" s="169"/>
      <c r="D45" s="277"/>
      <c r="E45" s="277"/>
      <c r="F45" s="277"/>
      <c r="G45" s="277"/>
      <c r="H45" s="277"/>
      <c r="I45" s="277"/>
      <c r="J45" s="277"/>
      <c r="P45" s="302">
        <f>IF(Voreinstellungen!C31="","",IF(Voreinstellungen!C31="REST",IFERROR(SUMIF(P4:P34,Voreinstellungen!B31,Q4:Q34)/SUMIF(P4:P34,Voreinstellungen!B31,U4:U34),0),IF(Voreinstellungen!C31="NONE",COUNTIF(P4:P34,Voreinstellungen!B31),IF(Voreinstellungen!C31="XTRA",COUNTIF(P4:P34,Voreinstellungen!B31),COUNTIF(P4:P34,Voreinstellungen!B31)*IF(Voreinstellungen!C31=0,1,Voreinstellungen!C31)))))</f>
        <v>0</v>
      </c>
      <c r="Q45" s="330" t="str">
        <f>IF(Voreinstellungen!A31="","",REPT(Voreinstellungen!A31,1) &amp; " (" &amp; REPT(Voreinstellungen!B31,1) &amp; ")")</f>
        <v>Eigener Code 3 (E3)</v>
      </c>
      <c r="R45" s="331"/>
      <c r="S45" s="331"/>
      <c r="T45" s="331"/>
      <c r="U45" s="331"/>
      <c r="V45" s="331"/>
      <c r="W45" s="168" t="str">
        <f>IF(ISBLANK(Voreinstellungen!C31),"",IF(Voreinstellungen!C31="REST",SUMIF(P4:P34,Voreinstellungen!B31,U4:U34)-SUMIF(P4:P34,Voreinstellungen!B31,Q4:Q34),IF(ISTEXT(Voreinstellungen!C31),SUMIF(P4:P34,Voreinstellungen!B31,Q4:Q34),"")))</f>
        <v/>
      </c>
      <c r="Y45" s="375">
        <f>Voreinstellungen!J54</f>
        <v>0</v>
      </c>
      <c r="Z45" s="380">
        <f t="shared" si="11"/>
        <v>0</v>
      </c>
      <c r="AA45" s="380">
        <f t="shared" si="12"/>
        <v>0</v>
      </c>
      <c r="AB45" s="381">
        <f>SUM(AA45*Voreinstellungen!$C$44)</f>
        <v>0</v>
      </c>
    </row>
    <row r="46" spans="1:29" ht="12.75" customHeight="1" x14ac:dyDescent="0.2">
      <c r="A46" s="170"/>
      <c r="B46" s="170"/>
      <c r="C46" s="170"/>
      <c r="D46" s="278"/>
      <c r="E46" s="278"/>
      <c r="F46" s="278"/>
      <c r="G46" s="278"/>
      <c r="H46" s="278"/>
      <c r="I46" s="278"/>
      <c r="J46" s="278"/>
      <c r="P46" s="302">
        <f>IF(Voreinstellungen!C32="","",IF(Voreinstellungen!C32="REST",IFERROR(SUMIF(P4:P34,Voreinstellungen!B32,Q4:Q34)/SUMIF(P4:P34,Voreinstellungen!B32,U4:U34),0),IF(Voreinstellungen!C32="NONE",COUNTIF(P4:P34,Voreinstellungen!B32),IF(Voreinstellungen!C32="XTRA",COUNTIF(P4:P34,Voreinstellungen!B32),COUNTIF(P4:P34,Voreinstellungen!B32)*IF(Voreinstellungen!C32=0,1,Voreinstellungen!C32)))))</f>
        <v>0</v>
      </c>
      <c r="Q46" s="330" t="str">
        <f>IF(Voreinstellungen!A32="","",REPT(Voreinstellungen!A32,1) &amp; " (" &amp; REPT(Voreinstellungen!B32,1) &amp; ")")</f>
        <v>Eigener Code 4 (E4)</v>
      </c>
      <c r="R46" s="331"/>
      <c r="S46" s="331"/>
      <c r="T46" s="331"/>
      <c r="U46" s="331"/>
      <c r="V46" s="331"/>
      <c r="W46" s="168" t="str">
        <f>IF(ISBLANK(Voreinstellungen!C32),"",IF(Voreinstellungen!C32="REST",SUMIF(P4:P34,Voreinstellungen!B32,U4:U34)-SUMIF(P4:P34,Voreinstellungen!B32,Q4:Q34),IF(ISTEXT(Voreinstellungen!C32),SUMIF(P4:P34,Voreinstellungen!B32,Q4:Q34),"")))</f>
        <v/>
      </c>
      <c r="Y46" s="375">
        <f>Voreinstellungen!J55</f>
        <v>0</v>
      </c>
      <c r="Z46" s="380">
        <f t="shared" si="11"/>
        <v>0</v>
      </c>
      <c r="AA46" s="380">
        <f t="shared" si="12"/>
        <v>0</v>
      </c>
      <c r="AB46" s="381">
        <f>SUM(AA46*Voreinstellungen!$C$44)</f>
        <v>0</v>
      </c>
    </row>
    <row r="47" spans="1:29" ht="12.75" customHeight="1" x14ac:dyDescent="0.2">
      <c r="A47" s="169" t="s">
        <v>46</v>
      </c>
      <c r="B47" s="169"/>
      <c r="C47" s="169"/>
      <c r="D47" s="277"/>
      <c r="E47" s="277"/>
      <c r="F47" s="277"/>
      <c r="G47" s="277"/>
      <c r="H47" s="277"/>
      <c r="I47" s="277"/>
      <c r="J47" s="277" t="s">
        <v>88</v>
      </c>
      <c r="P47" s="303">
        <f>IF(Voreinstellungen!C33="","",IF(Voreinstellungen!C33="REST",IFERROR(SUMIF(P4:P34,Voreinstellungen!B33,Q4:Q34)/SUMIF(P4:P34,Voreinstellungen!B33,U4:U34),0),IF(Voreinstellungen!C33="NONE",COUNTIF(P4:P34,Voreinstellungen!B33),IF(Voreinstellungen!C33="XTRA",COUNTIF(P4:P34,Voreinstellungen!B33),COUNTIF(P4:P34,Voreinstellungen!B33)*IF(Voreinstellungen!C33=0,1,Voreinstellungen!C33)))))</f>
        <v>0</v>
      </c>
      <c r="Q47" s="332" t="str">
        <f>IF(Voreinstellungen!A33="","",REPT(Voreinstellungen!A33,1) &amp; " (" &amp; REPT(Voreinstellungen!B33,1) &amp; ")")</f>
        <v>Eigener Code 5 (E5)</v>
      </c>
      <c r="R47" s="333"/>
      <c r="S47" s="333"/>
      <c r="T47" s="333"/>
      <c r="U47" s="333"/>
      <c r="V47" s="333"/>
      <c r="W47" s="319" t="str">
        <f>IF(ISBLANK(Voreinstellungen!C33),"",IF(Voreinstellungen!C33="REST",SUMIF(P4:P34,Voreinstellungen!B33,U4:U34)-SUMIF(P4:P34,Voreinstellungen!B33,Q4:Q34),IF(ISTEXT(Voreinstellungen!C33),SUMIF(P4:P34,Voreinstellungen!B33,Q4:Q34),"")))</f>
        <v/>
      </c>
      <c r="Y47" s="375">
        <f>Voreinstellungen!J56</f>
        <v>0</v>
      </c>
      <c r="Z47" s="380">
        <f t="shared" si="11"/>
        <v>0</v>
      </c>
      <c r="AA47" s="380">
        <f t="shared" si="12"/>
        <v>0</v>
      </c>
      <c r="AB47" s="381">
        <f>SUM(AA47*Voreinstellungen!$C$44)</f>
        <v>0</v>
      </c>
    </row>
    <row r="48" spans="1:29" x14ac:dyDescent="0.2">
      <c r="P48" s="334"/>
      <c r="Q48" s="45" t="s">
        <v>148</v>
      </c>
      <c r="R48" s="335"/>
      <c r="S48" s="335"/>
      <c r="T48" s="335"/>
      <c r="U48" s="335"/>
      <c r="V48" s="336"/>
      <c r="W48" s="337">
        <f>SUM(I7:I34,N7:N34)</f>
        <v>0</v>
      </c>
      <c r="X48" s="338"/>
      <c r="Y48" s="375">
        <f>Voreinstellungen!J57</f>
        <v>0</v>
      </c>
      <c r="Z48" s="380">
        <f t="shared" si="11"/>
        <v>0</v>
      </c>
      <c r="AA48" s="380">
        <f t="shared" si="12"/>
        <v>0</v>
      </c>
      <c r="AB48" s="381">
        <f>SUM(AA48*Voreinstellungen!$C$44)</f>
        <v>0</v>
      </c>
    </row>
    <row r="49" spans="1:30" x14ac:dyDescent="0.2">
      <c r="Q49" s="339"/>
      <c r="R49" s="340"/>
      <c r="S49" s="340"/>
      <c r="T49" s="340"/>
      <c r="U49" s="339"/>
      <c r="V49" s="339"/>
      <c r="Y49" s="376">
        <f>Voreinstellungen!J58</f>
        <v>0</v>
      </c>
      <c r="Z49" s="382">
        <f t="shared" si="11"/>
        <v>0</v>
      </c>
      <c r="AA49" s="382">
        <f t="shared" si="12"/>
        <v>0</v>
      </c>
      <c r="AB49" s="383">
        <f>SUM(AA49*Voreinstellungen!$C$44)</f>
        <v>0</v>
      </c>
    </row>
    <row r="51" spans="1:30" s="373" customFormat="1" x14ac:dyDescent="0.2">
      <c r="A51" s="45"/>
      <c r="B51" s="45"/>
      <c r="C51" s="45"/>
      <c r="D51" s="276"/>
      <c r="E51" s="301"/>
      <c r="F51" s="276"/>
      <c r="G51" s="276"/>
      <c r="H51" s="276"/>
      <c r="I51" s="276"/>
      <c r="J51" s="276"/>
      <c r="K51" s="276"/>
      <c r="L51" s="287"/>
      <c r="M51" s="287"/>
      <c r="N51" s="287"/>
      <c r="O51" s="287"/>
      <c r="P51" s="287"/>
      <c r="Q51" s="45"/>
      <c r="R51" s="46"/>
      <c r="S51" s="46"/>
      <c r="T51" s="46"/>
      <c r="U51" s="45"/>
      <c r="V51" s="45"/>
      <c r="W51" s="45"/>
      <c r="X51" s="45"/>
      <c r="Y51" s="367"/>
      <c r="Z51" s="368"/>
      <c r="AA51" s="368"/>
      <c r="AB51" s="369"/>
      <c r="AC51" s="45"/>
      <c r="AD51" s="45"/>
    </row>
    <row r="52" spans="1:30" x14ac:dyDescent="0.2">
      <c r="Y52" s="341" t="s">
        <v>153</v>
      </c>
      <c r="Z52" s="346">
        <f>SUM(Z37:Z49)</f>
        <v>0</v>
      </c>
      <c r="AA52" s="342">
        <f>SUM(AA37:AA49)</f>
        <v>0</v>
      </c>
      <c r="AB52" s="343">
        <f>SUM(AB37:AB49)</f>
        <v>0</v>
      </c>
    </row>
  </sheetData>
  <mergeCells count="3">
    <mergeCell ref="A1:C2"/>
    <mergeCell ref="V1:W1"/>
    <mergeCell ref="V2:W2"/>
  </mergeCells>
  <conditionalFormatting sqref="E4:E34">
    <cfRule type="expression" dxfId="335" priority="7">
      <formula>ISTEXT($E4)</formula>
    </cfRule>
  </conditionalFormatting>
  <conditionalFormatting sqref="F4:I34">
    <cfRule type="expression" dxfId="334" priority="6">
      <formula>ISTEXT($F4)</formula>
    </cfRule>
  </conditionalFormatting>
  <conditionalFormatting sqref="J4:J34">
    <cfRule type="expression" dxfId="333" priority="5">
      <formula>ISTEXT($J4)</formula>
    </cfRule>
  </conditionalFormatting>
  <conditionalFormatting sqref="K4:K34">
    <cfRule type="expression" dxfId="332" priority="4">
      <formula>ISTEXT($K4)</formula>
    </cfRule>
  </conditionalFormatting>
  <conditionalFormatting sqref="M5:O34">
    <cfRule type="expression" dxfId="331" priority="3">
      <formula>ISTEXT($F5)</formula>
    </cfRule>
  </conditionalFormatting>
  <conditionalFormatting sqref="N4:N34">
    <cfRule type="expression" dxfId="330" priority="2">
      <formula>ISTEXT($F4)</formula>
    </cfRule>
  </conditionalFormatting>
  <conditionalFormatting sqref="P36:P47">
    <cfRule type="expression" dxfId="329" priority="1">
      <formula>MOD(P36,1)=0</formula>
    </cfRule>
  </conditionalFormatting>
  <conditionalFormatting sqref="Q4:W34 A4:O34">
    <cfRule type="expression" dxfId="328" priority="16">
      <formula>WEEKDAY($A4,2)=6</formula>
    </cfRule>
    <cfRule type="expression" dxfId="327" priority="17">
      <formula>OR(WEEKDAY($A4,2)=7,$C4&lt;&gt;"")</formula>
    </cfRule>
  </conditionalFormatting>
  <conditionalFormatting sqref="P4:P34">
    <cfRule type="expression" dxfId="326" priority="26">
      <formula>WEEKDAY($A4,2)=6</formula>
    </cfRule>
    <cfRule type="expression" dxfId="325" priority="27">
      <formula>OR(WEEKDAY($A4,2)=7,$C4&lt;&gt;"")</formula>
    </cfRule>
  </conditionalFormatting>
  <dataValidations count="3">
    <dataValidation type="list" showErrorMessage="1" sqref="P4:P34" xr:uid="{00000000-0002-0000-0600-000000000000}">
      <formula1>CodeList</formula1>
    </dataValidation>
    <dataValidation type="list" allowBlank="1" showInputMessage="1" showErrorMessage="1" sqref="D4:D34 G4:G34 L4:L34" xr:uid="{30EF9D07-A485-4E03-BB84-EBC4BE665361}">
      <formula1>Einsatzorte</formula1>
    </dataValidation>
    <dataValidation type="list" allowBlank="1" showInputMessage="1" showErrorMessage="1" sqref="H4:H34 M4:M34" xr:uid="{E6C16F47-2A40-4312-8FB1-1C2C0A7D37EC}">
      <formula1>Tätigkeiten</formula1>
    </dataValidation>
  </dataValidations>
  <printOptions horizontalCentered="1" verticalCentered="1"/>
  <pageMargins left="0.23622047244094491" right="0.23622047244094491" top="0.23622047244094491" bottom="0.23622047244094491" header="0.11811023622047245" footer="0.11811023622047245"/>
  <pageSetup paperSize="9" scale="95" firstPageNumber="0" orientation="landscape" r:id="rId1"/>
  <headerFooter alignWithMargins="0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8" id="{2EC9BC17-67BD-46FC-8F37-B89E079BB57D}">
            <xm:f>$P4=Voreinstellungen!$B$25</xm:f>
            <x14:dxf>
              <fill>
                <patternFill>
                  <bgColor rgb="FF0070C0"/>
                </patternFill>
              </fill>
            </x14:dxf>
          </x14:cfRule>
          <x14:cfRule type="expression" priority="9" id="{027C55BC-EFBD-4088-B59F-947894629B5E}">
            <xm:f>$P4=Voreinstellungen!$B$26</xm:f>
            <x14:dxf>
              <fill>
                <patternFill>
                  <bgColor rgb="FF00B0F0"/>
                </patternFill>
              </fill>
            </x14:dxf>
          </x14:cfRule>
          <x14:cfRule type="expression" priority="10" id="{DB1E07F8-9052-430F-8DD4-D0D0B1832094}">
            <xm:f>$P4=Voreinstellungen!$B$20</xm:f>
            <x14:dxf>
              <fill>
                <patternFill>
                  <bgColor theme="4" tint="0.59996337778862885"/>
                </patternFill>
              </fill>
            </x14:dxf>
          </x14:cfRule>
          <x14:cfRule type="expression" priority="11" id="{249FE8BC-9A3F-429F-979B-2BED0EE0E0AA}">
            <xm:f>$P4=Voreinstellungen!$B$21</xm:f>
            <x14:dxf>
              <fill>
                <patternFill>
                  <bgColor indexed="13"/>
                </patternFill>
              </fill>
            </x14:dxf>
          </x14:cfRule>
          <x14:cfRule type="expression" priority="12" id="{436935D9-8621-4C8B-81E5-0E7F21DB80AB}">
            <xm:f>$P4=Voreinstellungen!$B$22</xm:f>
            <x14:dxf>
              <fill>
                <patternFill>
                  <bgColor rgb="FFFFFF66"/>
                </patternFill>
              </fill>
            </x14:dxf>
          </x14:cfRule>
          <x14:cfRule type="expression" priority="13" id="{2CF3E5A5-0558-41BC-8320-1546FCD61E3B}">
            <xm:f>$P4=Voreinstellungen!$B$31</xm:f>
            <x14:dxf>
              <fill>
                <patternFill>
                  <bgColor theme="3" tint="0.59996337778862885"/>
                </patternFill>
              </fill>
            </x14:dxf>
          </x14:cfRule>
          <x14:cfRule type="expression" priority="14" id="{533C785D-82AE-4823-86F2-308D28567337}">
            <xm:f>$P4=Voreinstellungen!$B$32</xm:f>
            <x14:dxf>
              <fill>
                <patternFill>
                  <bgColor rgb="FF92D050"/>
                </patternFill>
              </fill>
            </x14:dxf>
          </x14:cfRule>
          <x14:cfRule type="expression" priority="15" id="{E749EB56-2935-4EFE-AE9E-C7175833825A}">
            <xm:f>$P4=Voreinstellungen!$B$33</xm:f>
            <x14:dxf>
              <fill>
                <patternFill>
                  <bgColor theme="9" tint="0.39994506668294322"/>
                </patternFill>
              </fill>
            </x14:dxf>
          </x14:cfRule>
          <xm:sqref>Q4:W34 A4:O34</xm:sqref>
        </x14:conditionalFormatting>
        <x14:conditionalFormatting xmlns:xm="http://schemas.microsoft.com/office/excel/2006/main">
          <x14:cfRule type="expression" priority="18" id="{92A95028-E1AC-4122-8DE5-E6D34ECA24D4}">
            <xm:f>$L4=Voreinstellungen!$B$25</xm:f>
            <x14:dxf>
              <fill>
                <patternFill>
                  <bgColor rgb="FF0070C0"/>
                </patternFill>
              </fill>
            </x14:dxf>
          </x14:cfRule>
          <x14:cfRule type="expression" priority="19" id="{F871936B-E17E-47FA-83AB-748D43A6C46F}">
            <xm:f>$L4=Voreinstellungen!$B$26</xm:f>
            <x14:dxf>
              <fill>
                <patternFill>
                  <bgColor rgb="FF00B0F0"/>
                </patternFill>
              </fill>
            </x14:dxf>
          </x14:cfRule>
          <x14:cfRule type="expression" priority="20" id="{9FB087A0-3726-400F-AAE8-EBD368C73D3C}">
            <xm:f>$L4=Voreinstellungen!$B$20</xm:f>
            <x14:dxf>
              <fill>
                <patternFill>
                  <bgColor theme="4" tint="0.59996337778862885"/>
                </patternFill>
              </fill>
            </x14:dxf>
          </x14:cfRule>
          <x14:cfRule type="expression" priority="21" id="{59E29AFC-C9DD-4F8C-8EDF-F3C0A71ADE34}">
            <xm:f>$L4=Voreinstellungen!$B$21</xm:f>
            <x14:dxf>
              <fill>
                <patternFill>
                  <bgColor indexed="13"/>
                </patternFill>
              </fill>
            </x14:dxf>
          </x14:cfRule>
          <x14:cfRule type="expression" priority="22" id="{8FD66B91-084F-434E-B9BD-80B26300C427}">
            <xm:f>$L4=Voreinstellungen!$B$22</xm:f>
            <x14:dxf>
              <fill>
                <patternFill>
                  <bgColor rgb="FFFFFF66"/>
                </patternFill>
              </fill>
            </x14:dxf>
          </x14:cfRule>
          <x14:cfRule type="expression" priority="23" id="{253E03EA-DEBB-4A99-8A38-9B5D925F5912}">
            <xm:f>$L4=Voreinstellungen!$B$31</xm:f>
            <x14:dxf>
              <fill>
                <patternFill>
                  <bgColor theme="3" tint="0.59996337778862885"/>
                </patternFill>
              </fill>
            </x14:dxf>
          </x14:cfRule>
          <x14:cfRule type="expression" priority="24" id="{B1C30F90-D1EB-40E4-8998-7E2091606145}">
            <xm:f>$L4=Voreinstellungen!$B$32</xm:f>
            <x14:dxf>
              <fill>
                <patternFill>
                  <bgColor rgb="FF92D050"/>
                </patternFill>
              </fill>
            </x14:dxf>
          </x14:cfRule>
          <x14:cfRule type="expression" priority="25" id="{506F87A7-CD26-4FB8-B284-B0AC0E4144D0}">
            <xm:f>$L4=Voreinstellungen!$B$33</xm:f>
            <x14:dxf>
              <fill>
                <patternFill>
                  <bgColor theme="9" tint="0.39994506668294322"/>
                </patternFill>
              </fill>
            </x14:dxf>
          </x14:cfRule>
          <xm:sqref>P4:P34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07">
    <tabColor theme="2" tint="-0.249977111117893"/>
    <pageSetUpPr fitToPage="1"/>
  </sheetPr>
  <dimension ref="A1:AD52"/>
  <sheetViews>
    <sheetView showGridLines="0" showZeros="0" zoomScale="90" zoomScaleNormal="90" workbookViewId="0">
      <pane ySplit="3" topLeftCell="A4" activePane="bottomLeft" state="frozen"/>
      <selection activeCell="T6" sqref="T6"/>
      <selection pane="bottomLeft" activeCell="T6" sqref="T6"/>
    </sheetView>
  </sheetViews>
  <sheetFormatPr baseColWidth="10" defaultColWidth="11.5703125" defaultRowHeight="12.75" x14ac:dyDescent="0.2"/>
  <cols>
    <col min="1" max="1" width="9.28515625" style="45" customWidth="1"/>
    <col min="2" max="2" width="5.7109375" style="45" customWidth="1"/>
    <col min="3" max="3" width="18.7109375" style="45" customWidth="1"/>
    <col min="4" max="4" width="11.140625" style="276" bestFit="1" customWidth="1"/>
    <col min="5" max="5" width="7.7109375" style="301" customWidth="1"/>
    <col min="6" max="6" width="7.7109375" style="276" customWidth="1"/>
    <col min="7" max="8" width="12.7109375" style="276" customWidth="1"/>
    <col min="9" max="9" width="4.7109375" style="276" customWidth="1"/>
    <col min="10" max="11" width="7.7109375" style="276" customWidth="1"/>
    <col min="12" max="13" width="12.7109375" style="287" customWidth="1"/>
    <col min="14" max="14" width="4.7109375" style="287" customWidth="1"/>
    <col min="15" max="15" width="6.42578125" style="287" customWidth="1"/>
    <col min="16" max="16" width="3.7109375" style="287" customWidth="1"/>
    <col min="17" max="17" width="7.7109375" style="45" customWidth="1"/>
    <col min="18" max="20" width="7.7109375" style="46" customWidth="1"/>
    <col min="21" max="21" width="4.28515625" style="45" bestFit="1" customWidth="1"/>
    <col min="22" max="22" width="20.7109375" style="45" customWidth="1"/>
    <col min="23" max="23" width="7.7109375" style="45" customWidth="1"/>
    <col min="24" max="24" width="0.7109375" style="45" customWidth="1"/>
    <col min="25" max="25" width="14.7109375" style="45" customWidth="1"/>
    <col min="26" max="27" width="11.5703125" style="45"/>
    <col min="28" max="28" width="13.7109375" style="45" bestFit="1" customWidth="1"/>
    <col min="29" max="29" width="0.7109375" style="45" customWidth="1"/>
    <col min="30" max="16384" width="11.5703125" style="45"/>
  </cols>
  <sheetData>
    <row r="1" spans="1:29" ht="15" customHeight="1" x14ac:dyDescent="0.2">
      <c r="A1" s="678">
        <f>DATE(Jahr,6,1)</f>
        <v>44347</v>
      </c>
      <c r="B1" s="679"/>
      <c r="C1" s="679"/>
      <c r="D1" s="370"/>
      <c r="E1" s="370"/>
      <c r="F1" s="370"/>
      <c r="G1" s="370"/>
      <c r="H1" s="370"/>
      <c r="I1" s="370"/>
      <c r="J1" s="285"/>
      <c r="K1" s="285"/>
      <c r="L1" s="285"/>
      <c r="M1" s="285" t="str">
        <f>"Nettoarbeitstage: "&amp;NETWORKDAYS(A1,EOMONTH(A1,0),Feiertage!A4:A39)</f>
        <v>Nettoarbeitstage: 20</v>
      </c>
      <c r="N1" s="285"/>
      <c r="O1" s="285"/>
      <c r="P1" s="288"/>
      <c r="Q1" s="260"/>
      <c r="R1" s="260"/>
      <c r="S1" s="260"/>
      <c r="T1" s="260"/>
      <c r="U1" s="260"/>
      <c r="V1" s="684" t="str">
        <f>Voreinstellungen!C3</f>
        <v>Vivien Günther</v>
      </c>
      <c r="W1" s="685"/>
    </row>
    <row r="2" spans="1:29" ht="15" customHeight="1" x14ac:dyDescent="0.2">
      <c r="A2" s="680"/>
      <c r="B2" s="681"/>
      <c r="C2" s="681"/>
      <c r="D2" s="371"/>
      <c r="E2" s="371"/>
      <c r="F2" s="371"/>
      <c r="G2" s="371"/>
      <c r="H2" s="371"/>
      <c r="I2" s="371"/>
      <c r="J2" s="371"/>
      <c r="K2" s="371"/>
      <c r="L2" s="286"/>
      <c r="M2" s="286"/>
      <c r="N2" s="286"/>
      <c r="O2" s="286"/>
      <c r="P2" s="289"/>
      <c r="Q2" s="259"/>
      <c r="R2" s="259"/>
      <c r="S2" s="259"/>
      <c r="T2" s="259"/>
      <c r="U2" s="259"/>
      <c r="V2" s="686" t="str">
        <f>IF(ISBLANK(Voreinstellungen!C4),"","Personal-Nr.: "&amp;Voreinstellungen!C4)</f>
        <v>Personal-Nr.: 60161</v>
      </c>
      <c r="W2" s="687"/>
    </row>
    <row r="3" spans="1:29" s="47" customFormat="1" ht="36" customHeight="1" x14ac:dyDescent="0.2">
      <c r="A3" s="204" t="s">
        <v>73</v>
      </c>
      <c r="B3" s="205"/>
      <c r="C3" s="204" t="s">
        <v>26</v>
      </c>
      <c r="D3" s="284" t="s">
        <v>143</v>
      </c>
      <c r="E3" s="282" t="s">
        <v>74</v>
      </c>
      <c r="F3" s="253" t="s">
        <v>75</v>
      </c>
      <c r="G3" s="253" t="s">
        <v>141</v>
      </c>
      <c r="H3" s="110" t="s">
        <v>134</v>
      </c>
      <c r="I3" s="257" t="s">
        <v>135</v>
      </c>
      <c r="J3" s="282" t="s">
        <v>76</v>
      </c>
      <c r="K3" s="206" t="s">
        <v>77</v>
      </c>
      <c r="L3" s="258" t="s">
        <v>142</v>
      </c>
      <c r="M3" s="279" t="s">
        <v>134</v>
      </c>
      <c r="N3" s="257" t="s">
        <v>135</v>
      </c>
      <c r="O3" s="282" t="s">
        <v>144</v>
      </c>
      <c r="P3" s="283" t="s">
        <v>24</v>
      </c>
      <c r="Q3" s="171" t="s">
        <v>78</v>
      </c>
      <c r="R3" s="171" t="s">
        <v>79</v>
      </c>
      <c r="S3" s="171" t="s">
        <v>147</v>
      </c>
      <c r="T3" s="207" t="s">
        <v>80</v>
      </c>
      <c r="U3" s="208" t="s">
        <v>81</v>
      </c>
      <c r="V3" s="209" t="s">
        <v>82</v>
      </c>
      <c r="W3" s="171" t="s">
        <v>83</v>
      </c>
      <c r="X3" s="306">
        <f>PauseGWert</f>
        <v>3.125E-2</v>
      </c>
    </row>
    <row r="4" spans="1:29" s="19" customFormat="1" ht="12" x14ac:dyDescent="0.2">
      <c r="A4" s="311">
        <f>A1</f>
        <v>44347</v>
      </c>
      <c r="B4" s="210">
        <f t="shared" ref="B4:B34" si="0">A4</f>
        <v>44347</v>
      </c>
      <c r="C4" s="261" t="str">
        <f t="shared" ref="C4:C31" si="1">IF(ISERROR(VLOOKUP(B4,Feiertage,2,FALSE)),"",(VLOOKUP(B4,Feiertage,2,FALSE)))</f>
        <v/>
      </c>
      <c r="D4" s="366"/>
      <c r="E4" s="351"/>
      <c r="F4" s="254"/>
      <c r="G4" s="307"/>
      <c r="H4" s="318"/>
      <c r="I4" s="347">
        <f>IFERROR(VLOOKUP(D4&amp;G4,tbl_Entfernung[[Verketten]:[Entfernung]],2,FALSE),"")</f>
        <v>0</v>
      </c>
      <c r="J4" s="360"/>
      <c r="K4" s="351"/>
      <c r="L4" s="307"/>
      <c r="M4" s="314"/>
      <c r="N4" s="320">
        <f>IFERROR(VLOOKUP(G4&amp;L4,tbl_Entfernung[[Verketten]:[Entfernung]],2,FALSE),"")</f>
        <v>0</v>
      </c>
      <c r="O4" s="315">
        <f>IF(S4&gt;PauseGTime,PauseGWert,IF(S4&gt;PauseKTime,PauseKWert,IF(S4&lt;=PauseKTime,0,WENN)))</f>
        <v>0</v>
      </c>
      <c r="P4" s="363"/>
      <c r="Q4" s="355">
        <f>IF(A4="",0,IF(IF(E4&lt;F4,F4-E4,IF(F4="",0,F4-E4+1))+IF(J4&lt;K4,K4-J4,IF(K4="",0,K4-J4+1))-O4&gt;0,IF(E4&lt;F4,F4-E4,IF(F4="",0,F4-E4+1))+IF(J4&lt;K4,K4-J4,IF(K4="",0,K4-J4+1))-O4,0))</f>
        <v>0</v>
      </c>
      <c r="R4" s="224">
        <f t="shared" ref="R4:R34" ca="1" si="2">IF(AND(C4&lt;&gt;"",P4=""),IF(ISERROR(VLOOKUP(B4,Feiertage,2,FALSE)),0,VLOOKUP(B4,Feiertage,3,FALSE)*U4),IF(A4="",0,IF(P4&lt;&gt;"",IF(UPPER(P4)=VLOOKUP(UPPER(P4),Code,1,FALSE),IF(OR(VLOOKUP(P4,Code,2,FALSE)="NONE",VLOOKUP(P4,Code,2,FALSE)="XTRA",VLOOKUP(P4,Code,2,FALSE)="REST"),Q4,IF(ISERROR(VLOOKUP(B4,Feiertage,2,FALSE)),VLOOKUP(P4,Code,2,FALSE)*U4,IF(VLOOKUP(B4,Feiertage,3,FALSE)=0.5,IF(OR(UPPER(P4)="G",UPPER(P4)="H"),VLOOKUP(B4,Feiertage,3,FALSE)*VLOOKUP(P4,Code,2,FALSE)*U4,0),VLOOKUP(B4,Feiertage,3,FALSE)*VLOOKUP(P4,Code,2,FALSE)*U4))),U4),U4)))</f>
        <v>0</v>
      </c>
      <c r="S4" s="224">
        <f>IF(A4="",0,IF(IF(E4&lt;F4,F4-E4,IF(F4="",0,F4-E4+1))+IF(J4&lt;K4,K4-J4,IF(K4="",0,K4-J4+1))&gt;0,IF(E4&lt;F4,F4-E4,IF(F4="",0,F4-E4+1))+IF(J4&lt;K4,K4-J4,IF(K4="",0,K4-J4+1)),0))</f>
        <v>0</v>
      </c>
      <c r="T4" s="211">
        <f t="shared" ref="T4:T34" ca="1" si="3">IF(A4="",0,ROUND(Q4-R4,14))</f>
        <v>0</v>
      </c>
      <c r="U4" s="250">
        <f t="shared" ref="U4:U34" ca="1" si="4">IF(A4="",0,INDIRECT(ADDRESS(MATCH(A4,SOLL_AZ_Ab,1)+11,WEEKDAY(A4,2)+3,,,"Voreinstellungen"),TRUE))</f>
        <v>0</v>
      </c>
      <c r="V4" s="212"/>
      <c r="W4" s="213" t="e">
        <f ca="1">IF(A4="","",IF(T4&lt;&gt;"",ROUND(J36+T4,14),J36))</f>
        <v>#REF!</v>
      </c>
      <c r="Y4" s="305"/>
      <c r="AB4" s="344">
        <f>MOD(F4-E4,1)*24</f>
        <v>0</v>
      </c>
      <c r="AC4" s="344">
        <f>MOD(K4-J4,1)*24</f>
        <v>0</v>
      </c>
    </row>
    <row r="5" spans="1:29" s="19" customFormat="1" ht="12" x14ac:dyDescent="0.2">
      <c r="A5" s="312">
        <f t="shared" ref="A5:A31" si="5">A4+1</f>
        <v>44348</v>
      </c>
      <c r="B5" s="129">
        <f t="shared" si="0"/>
        <v>44348</v>
      </c>
      <c r="C5" s="262" t="str">
        <f t="shared" si="1"/>
        <v/>
      </c>
      <c r="D5" s="358"/>
      <c r="E5" s="352"/>
      <c r="F5" s="255"/>
      <c r="G5" s="308"/>
      <c r="H5" s="308"/>
      <c r="I5" s="348">
        <f>IFERROR(VLOOKUP(D5&amp;G5,tbl_Entfernung[[Verketten]:[Entfernung]],2,FALSE),"")</f>
        <v>0</v>
      </c>
      <c r="J5" s="361"/>
      <c r="K5" s="352"/>
      <c r="L5" s="308"/>
      <c r="M5" s="308"/>
      <c r="N5" s="321">
        <f>IFERROR(VLOOKUP(G5&amp;L5,tbl_Entfernung[[Verketten]:[Entfernung]],2,FALSE),"")</f>
        <v>0</v>
      </c>
      <c r="O5" s="316">
        <f>IF(S5&gt;PauseGTime,PauseGWert,IF(S5&gt;PauseKTime,PauseKWert,IF(S5&lt;=PauseKTime,0,WENN)))</f>
        <v>0</v>
      </c>
      <c r="P5" s="364"/>
      <c r="Q5" s="356">
        <f>IF(A5="",0,IF(IF(E5&lt;F5,F5-E5,IF(F5="",0,F5-E5+1))+IF(J5&lt;K5,K5-J5,IF(K5="",0,K5-J5+1))-O5&gt;0,IF(E5&lt;F5,F5-E5,IF(F5="",0,F5-E5+1))+IF(J5&lt;K5,K5-J5,IF(K5="",0,K5-J5+1))-O5,0))</f>
        <v>0</v>
      </c>
      <c r="R5" s="225">
        <f t="shared" ca="1" si="2"/>
        <v>0.29166666666666669</v>
      </c>
      <c r="S5" s="225">
        <f t="shared" ref="S5:S34" si="6">IF(A5="",0,IF(IF(E5&lt;F5,F5-E5,IF(F5="",0,F5-E5+1))+IF(J5&lt;K5,K5-J5,IF(K5="",0,K5-J5+1))&gt;0,IF(E5&lt;F5,F5-E5,IF(F5="",0,F5-E5+1))+IF(J5&lt;K5,K5-J5,IF(K5="",0,K5-J5+1)),0))</f>
        <v>0</v>
      </c>
      <c r="T5" s="130">
        <f t="shared" ca="1" si="3"/>
        <v>-0.29166666666667002</v>
      </c>
      <c r="U5" s="251">
        <f t="shared" ca="1" si="4"/>
        <v>0.29166666666666669</v>
      </c>
      <c r="V5" s="131"/>
      <c r="W5" s="214" t="e">
        <f t="shared" ref="W5:W34" ca="1" si="7">IF(A5="","",IF(T5&lt;&gt;"",ROUND(W4+T5,14),W4))</f>
        <v>#REF!</v>
      </c>
      <c r="AB5" s="345">
        <f t="shared" ref="AB5:AB34" si="8">MOD(F5-E5,1)*24</f>
        <v>0</v>
      </c>
      <c r="AC5" s="345">
        <f t="shared" ref="AC5:AC34" si="9">MOD(K5-J5,1)*24</f>
        <v>0</v>
      </c>
    </row>
    <row r="6" spans="1:29" s="19" customFormat="1" ht="12" x14ac:dyDescent="0.2">
      <c r="A6" s="312">
        <f t="shared" si="5"/>
        <v>44349</v>
      </c>
      <c r="B6" s="129">
        <f t="shared" si="0"/>
        <v>44349</v>
      </c>
      <c r="C6" s="262" t="str">
        <f t="shared" si="1"/>
        <v/>
      </c>
      <c r="D6" s="358"/>
      <c r="E6" s="352"/>
      <c r="F6" s="255"/>
      <c r="G6" s="309"/>
      <c r="H6" s="309"/>
      <c r="I6" s="348">
        <f>IFERROR(VLOOKUP(D6&amp;G6,tbl_Entfernung[[Verketten]:[Entfernung]],2,FALSE),"")</f>
        <v>0</v>
      </c>
      <c r="J6" s="361"/>
      <c r="K6" s="352"/>
      <c r="L6" s="309"/>
      <c r="M6" s="309"/>
      <c r="N6" s="321">
        <f>IFERROR(VLOOKUP(G6&amp;L6,tbl_Entfernung[[Verketten]:[Entfernung]],2,FALSE),"")</f>
        <v>0</v>
      </c>
      <c r="O6" s="316">
        <f>IF(S6&gt;PauseGTime,PauseGWert,IF(S6&gt;PauseKTime,PauseKWert,IF(S6&lt;=PauseKTime,0,WENN)))</f>
        <v>0</v>
      </c>
      <c r="P6" s="364"/>
      <c r="Q6" s="356">
        <f>IF(A6="",0,IF(IF(E6&lt;F6,F6-E6,IF(F6="",0,F6-E6+1))+IF(J6&lt;K6,K6-J6,IF(K6="",0,K6-J6+1))-O6&gt;0,IF(E6&lt;F6,F6-E6,IF(F6="",0,F6-E6+1))+IF(J6&lt;K6,K6-J6,IF(K6="",0,K6-J6+1))-O6,0))</f>
        <v>0</v>
      </c>
      <c r="R6" s="225">
        <f t="shared" ca="1" si="2"/>
        <v>0.29166666666666669</v>
      </c>
      <c r="S6" s="225">
        <f t="shared" si="6"/>
        <v>0</v>
      </c>
      <c r="T6" s="130">
        <f t="shared" ca="1" si="3"/>
        <v>-0.29166666666667002</v>
      </c>
      <c r="U6" s="251">
        <f t="shared" ca="1" si="4"/>
        <v>0.29166666666666669</v>
      </c>
      <c r="V6" s="131"/>
      <c r="W6" s="214" t="e">
        <f t="shared" ca="1" si="7"/>
        <v>#REF!</v>
      </c>
      <c r="AB6" s="345">
        <f t="shared" si="8"/>
        <v>0</v>
      </c>
      <c r="AC6" s="345">
        <f t="shared" si="9"/>
        <v>0</v>
      </c>
    </row>
    <row r="7" spans="1:29" s="19" customFormat="1" ht="12" x14ac:dyDescent="0.2">
      <c r="A7" s="312">
        <f t="shared" si="5"/>
        <v>44350</v>
      </c>
      <c r="B7" s="129">
        <f t="shared" si="0"/>
        <v>44350</v>
      </c>
      <c r="C7" s="262" t="str">
        <f t="shared" si="1"/>
        <v/>
      </c>
      <c r="D7" s="358"/>
      <c r="E7" s="352"/>
      <c r="F7" s="255"/>
      <c r="G7" s="309"/>
      <c r="H7" s="309"/>
      <c r="I7" s="348">
        <f>IFERROR(VLOOKUP(D7&amp;G7,tbl_Entfernung[[Verketten]:[Entfernung]],2,FALSE),"")</f>
        <v>0</v>
      </c>
      <c r="J7" s="361"/>
      <c r="K7" s="352"/>
      <c r="L7" s="309"/>
      <c r="M7" s="309"/>
      <c r="N7" s="321">
        <f>IFERROR(VLOOKUP(G7&amp;L7,tbl_Entfernung[[Verketten]:[Entfernung]],2,FALSE),"")</f>
        <v>0</v>
      </c>
      <c r="O7" s="316">
        <f>IF(S7&gt;PauseGTime,PauseGWert,IF(S7&gt;PauseKTime,PauseKWert,IF(S7&lt;=PauseKTime,0,WENN)))</f>
        <v>0</v>
      </c>
      <c r="P7" s="364"/>
      <c r="Q7" s="356">
        <f t="shared" ref="Q7:Q34" si="10">IF(A7="",0,IF(IF(E7&lt;F7,F7-E7,IF(F7="",0,F7-E7+1))+IF(J7&lt;K7,K7-J7,IF(K7="",0,K7-J7+1))-O7&gt;0,IF(E7&lt;F7,F7-E7,IF(F7="",0,F7-E7+1))+IF(J7&lt;K7,K7-J7,IF(K7="",0,K7-J7+1))-O7,0))</f>
        <v>0</v>
      </c>
      <c r="R7" s="225">
        <f t="shared" ca="1" si="2"/>
        <v>0.29166666666666669</v>
      </c>
      <c r="S7" s="225">
        <f t="shared" si="6"/>
        <v>0</v>
      </c>
      <c r="T7" s="130">
        <f t="shared" ca="1" si="3"/>
        <v>-0.29166666666667002</v>
      </c>
      <c r="U7" s="251">
        <f t="shared" ca="1" si="4"/>
        <v>0.29166666666666669</v>
      </c>
      <c r="V7" s="131"/>
      <c r="W7" s="214" t="e">
        <f t="shared" ca="1" si="7"/>
        <v>#REF!</v>
      </c>
      <c r="AB7" s="345">
        <f t="shared" si="8"/>
        <v>0</v>
      </c>
      <c r="AC7" s="345">
        <f t="shared" si="9"/>
        <v>0</v>
      </c>
    </row>
    <row r="8" spans="1:29" s="19" customFormat="1" ht="12" x14ac:dyDescent="0.2">
      <c r="A8" s="312">
        <f t="shared" si="5"/>
        <v>44351</v>
      </c>
      <c r="B8" s="129">
        <f t="shared" si="0"/>
        <v>44351</v>
      </c>
      <c r="C8" s="262" t="str">
        <f t="shared" si="1"/>
        <v/>
      </c>
      <c r="D8" s="358"/>
      <c r="E8" s="352"/>
      <c r="F8" s="255"/>
      <c r="G8" s="309"/>
      <c r="H8" s="309"/>
      <c r="I8" s="348">
        <f>IFERROR(VLOOKUP(D8&amp;G8,tbl_Entfernung[[Verketten]:[Entfernung]],2,FALSE),"")</f>
        <v>0</v>
      </c>
      <c r="J8" s="361"/>
      <c r="K8" s="352"/>
      <c r="L8" s="309"/>
      <c r="M8" s="309"/>
      <c r="N8" s="321">
        <f>IFERROR(VLOOKUP(G8&amp;L8,tbl_Entfernung[[Verketten]:[Entfernung]],2,FALSE),"")</f>
        <v>0</v>
      </c>
      <c r="O8" s="316">
        <f>IF(S8&gt;PauseGTime,PauseGWert,IF(S8&gt;PauseKTime,PauseKWert,IF(S8&lt;=PauseKTime,0,WENN)))</f>
        <v>0</v>
      </c>
      <c r="P8" s="364"/>
      <c r="Q8" s="356">
        <f t="shared" si="10"/>
        <v>0</v>
      </c>
      <c r="R8" s="225">
        <f t="shared" ca="1" si="2"/>
        <v>0.29166666666666669</v>
      </c>
      <c r="S8" s="225">
        <f t="shared" si="6"/>
        <v>0</v>
      </c>
      <c r="T8" s="130">
        <f t="shared" ca="1" si="3"/>
        <v>-0.29166666666667002</v>
      </c>
      <c r="U8" s="251">
        <f t="shared" ca="1" si="4"/>
        <v>0.29166666666666669</v>
      </c>
      <c r="V8" s="131"/>
      <c r="W8" s="214" t="e">
        <f t="shared" ca="1" si="7"/>
        <v>#REF!</v>
      </c>
      <c r="AB8" s="345">
        <f t="shared" si="8"/>
        <v>0</v>
      </c>
      <c r="AC8" s="345">
        <f t="shared" si="9"/>
        <v>0</v>
      </c>
    </row>
    <row r="9" spans="1:29" s="19" customFormat="1" ht="12" x14ac:dyDescent="0.2">
      <c r="A9" s="312">
        <f t="shared" si="5"/>
        <v>44352</v>
      </c>
      <c r="B9" s="129">
        <f t="shared" si="0"/>
        <v>44352</v>
      </c>
      <c r="C9" s="262" t="str">
        <f t="shared" si="1"/>
        <v/>
      </c>
      <c r="D9" s="358"/>
      <c r="E9" s="352"/>
      <c r="F9" s="255"/>
      <c r="G9" s="309"/>
      <c r="H9" s="309"/>
      <c r="I9" s="349">
        <f>IFERROR(VLOOKUP(D9&amp;G9,tbl_Entfernung[[Verketten]:[Entfernung]],2,FALSE),"")</f>
        <v>0</v>
      </c>
      <c r="J9" s="361"/>
      <c r="K9" s="352"/>
      <c r="L9" s="309"/>
      <c r="M9" s="309"/>
      <c r="N9" s="322">
        <f>IFERROR(VLOOKUP(G9&amp;L9,tbl_Entfernung[[Verketten]:[Entfernung]],2,FALSE),"")</f>
        <v>0</v>
      </c>
      <c r="O9" s="316">
        <f>IF(S9&gt;PauseGTime,PauseGWert,IF(S9&gt;PauseKTime,PauseKWert,IF(S9&lt;=PauseKTime,0,WENN)))</f>
        <v>0</v>
      </c>
      <c r="P9" s="364"/>
      <c r="Q9" s="356">
        <f t="shared" si="10"/>
        <v>0</v>
      </c>
      <c r="R9" s="225">
        <f t="shared" ca="1" si="2"/>
        <v>0.29166666666666669</v>
      </c>
      <c r="S9" s="225">
        <f t="shared" si="6"/>
        <v>0</v>
      </c>
      <c r="T9" s="130">
        <f t="shared" ca="1" si="3"/>
        <v>-0.29166666666667002</v>
      </c>
      <c r="U9" s="251">
        <f t="shared" ca="1" si="4"/>
        <v>0.29166666666666669</v>
      </c>
      <c r="V9" s="131"/>
      <c r="W9" s="214" t="e">
        <f t="shared" ca="1" si="7"/>
        <v>#REF!</v>
      </c>
      <c r="AB9" s="345">
        <f t="shared" si="8"/>
        <v>0</v>
      </c>
      <c r="AC9" s="345">
        <f t="shared" si="9"/>
        <v>0</v>
      </c>
    </row>
    <row r="10" spans="1:29" s="19" customFormat="1" ht="12" x14ac:dyDescent="0.2">
      <c r="A10" s="312">
        <f t="shared" si="5"/>
        <v>44353</v>
      </c>
      <c r="B10" s="129">
        <f t="shared" si="0"/>
        <v>44353</v>
      </c>
      <c r="C10" s="262" t="str">
        <f t="shared" si="1"/>
        <v/>
      </c>
      <c r="D10" s="358"/>
      <c r="E10" s="352"/>
      <c r="F10" s="255"/>
      <c r="G10" s="309"/>
      <c r="H10" s="309"/>
      <c r="I10" s="349">
        <f>IFERROR(VLOOKUP(D10&amp;G10,tbl_Entfernung[[Verketten]:[Entfernung]],2,FALSE),"")</f>
        <v>0</v>
      </c>
      <c r="J10" s="361"/>
      <c r="K10" s="352"/>
      <c r="L10" s="309"/>
      <c r="M10" s="309"/>
      <c r="N10" s="322">
        <f>IFERROR(VLOOKUP(G10&amp;L10,tbl_Entfernung[[Verketten]:[Entfernung]],2,FALSE),"")</f>
        <v>0</v>
      </c>
      <c r="O10" s="316">
        <f>IF(S10&gt;PauseGTime,PauseGWert,IF(S10&gt;PauseKTime,PauseKWert,IF(S10&lt;=PauseKTime,0,WENN)))</f>
        <v>0</v>
      </c>
      <c r="P10" s="364"/>
      <c r="Q10" s="356">
        <f t="shared" si="10"/>
        <v>0</v>
      </c>
      <c r="R10" s="225">
        <f t="shared" ca="1" si="2"/>
        <v>0</v>
      </c>
      <c r="S10" s="225">
        <f t="shared" si="6"/>
        <v>0</v>
      </c>
      <c r="T10" s="130">
        <f t="shared" ca="1" si="3"/>
        <v>0</v>
      </c>
      <c r="U10" s="251">
        <f t="shared" ca="1" si="4"/>
        <v>0</v>
      </c>
      <c r="V10" s="131"/>
      <c r="W10" s="214" t="e">
        <f t="shared" ca="1" si="7"/>
        <v>#REF!</v>
      </c>
      <c r="AB10" s="345">
        <f t="shared" si="8"/>
        <v>0</v>
      </c>
      <c r="AC10" s="345">
        <f t="shared" si="9"/>
        <v>0</v>
      </c>
    </row>
    <row r="11" spans="1:29" s="19" customFormat="1" ht="12" x14ac:dyDescent="0.2">
      <c r="A11" s="312">
        <f t="shared" si="5"/>
        <v>44354</v>
      </c>
      <c r="B11" s="129">
        <f t="shared" si="0"/>
        <v>44354</v>
      </c>
      <c r="C11" s="262" t="str">
        <f t="shared" si="1"/>
        <v>Pfingstsonntag</v>
      </c>
      <c r="D11" s="358"/>
      <c r="E11" s="352"/>
      <c r="F11" s="255"/>
      <c r="G11" s="309"/>
      <c r="H11" s="309"/>
      <c r="I11" s="348">
        <f>IFERROR(VLOOKUP(D11&amp;G11,tbl_Entfernung[[Verketten]:[Entfernung]],2,FALSE),"")</f>
        <v>0</v>
      </c>
      <c r="J11" s="361"/>
      <c r="K11" s="352"/>
      <c r="L11" s="309"/>
      <c r="M11" s="309"/>
      <c r="N11" s="321">
        <f>IFERROR(VLOOKUP(G11&amp;L11,tbl_Entfernung[[Verketten]:[Entfernung]],2,FALSE),"")</f>
        <v>0</v>
      </c>
      <c r="O11" s="316">
        <f>IF(S11&gt;PauseGTime,PauseGWert,IF(S11&gt;PauseKTime,PauseKWert,IF(S11&lt;=PauseKTime,0,WENN)))</f>
        <v>0</v>
      </c>
      <c r="P11" s="364"/>
      <c r="Q11" s="356">
        <f t="shared" si="10"/>
        <v>0</v>
      </c>
      <c r="R11" s="225">
        <f t="shared" ca="1" si="2"/>
        <v>0</v>
      </c>
      <c r="S11" s="225">
        <f t="shared" si="6"/>
        <v>0</v>
      </c>
      <c r="T11" s="130">
        <f t="shared" ca="1" si="3"/>
        <v>0</v>
      </c>
      <c r="U11" s="251">
        <f t="shared" ca="1" si="4"/>
        <v>0</v>
      </c>
      <c r="V11" s="131"/>
      <c r="W11" s="214" t="e">
        <f t="shared" ca="1" si="7"/>
        <v>#REF!</v>
      </c>
      <c r="AB11" s="345">
        <f t="shared" si="8"/>
        <v>0</v>
      </c>
      <c r="AC11" s="345">
        <f t="shared" si="9"/>
        <v>0</v>
      </c>
    </row>
    <row r="12" spans="1:29" s="19" customFormat="1" ht="12" x14ac:dyDescent="0.2">
      <c r="A12" s="312">
        <f t="shared" si="5"/>
        <v>44355</v>
      </c>
      <c r="B12" s="129">
        <f t="shared" si="0"/>
        <v>44355</v>
      </c>
      <c r="C12" s="262" t="str">
        <f t="shared" si="1"/>
        <v>Pfingstmontag</v>
      </c>
      <c r="D12" s="358"/>
      <c r="E12" s="352"/>
      <c r="F12" s="255"/>
      <c r="G12" s="309"/>
      <c r="H12" s="309"/>
      <c r="I12" s="348">
        <f>IFERROR(VLOOKUP(D12&amp;G12,tbl_Entfernung[[Verketten]:[Entfernung]],2,FALSE),"")</f>
        <v>0</v>
      </c>
      <c r="J12" s="361"/>
      <c r="K12" s="352"/>
      <c r="L12" s="309"/>
      <c r="M12" s="309"/>
      <c r="N12" s="321">
        <f>IFERROR(VLOOKUP(G12&amp;L12,tbl_Entfernung[[Verketten]:[Entfernung]],2,FALSE),"")</f>
        <v>0</v>
      </c>
      <c r="O12" s="316">
        <f>IF(S12&gt;PauseGTime,PauseGWert,IF(S12&gt;PauseKTime,PauseKWert,IF(S12&lt;=PauseKTime,0,WENN)))</f>
        <v>0</v>
      </c>
      <c r="P12" s="364"/>
      <c r="Q12" s="356">
        <f t="shared" si="10"/>
        <v>0</v>
      </c>
      <c r="R12" s="225">
        <f t="shared" ca="1" si="2"/>
        <v>0</v>
      </c>
      <c r="S12" s="225">
        <f t="shared" si="6"/>
        <v>0</v>
      </c>
      <c r="T12" s="130">
        <f t="shared" ca="1" si="3"/>
        <v>0</v>
      </c>
      <c r="U12" s="251">
        <f t="shared" ca="1" si="4"/>
        <v>0.29166666666666669</v>
      </c>
      <c r="V12" s="131"/>
      <c r="W12" s="214" t="e">
        <f t="shared" ca="1" si="7"/>
        <v>#REF!</v>
      </c>
      <c r="AB12" s="345">
        <f t="shared" si="8"/>
        <v>0</v>
      </c>
      <c r="AC12" s="345">
        <f t="shared" si="9"/>
        <v>0</v>
      </c>
    </row>
    <row r="13" spans="1:29" s="19" customFormat="1" ht="12" x14ac:dyDescent="0.2">
      <c r="A13" s="312">
        <f t="shared" si="5"/>
        <v>44356</v>
      </c>
      <c r="B13" s="129">
        <f t="shared" si="0"/>
        <v>44356</v>
      </c>
      <c r="C13" s="262" t="str">
        <f t="shared" si="1"/>
        <v/>
      </c>
      <c r="D13" s="358"/>
      <c r="E13" s="352"/>
      <c r="F13" s="255"/>
      <c r="G13" s="309"/>
      <c r="H13" s="309"/>
      <c r="I13" s="348">
        <f>IFERROR(VLOOKUP(D13&amp;G13,tbl_Entfernung[[Verketten]:[Entfernung]],2,FALSE),"")</f>
        <v>0</v>
      </c>
      <c r="J13" s="361"/>
      <c r="K13" s="352"/>
      <c r="L13" s="309"/>
      <c r="M13" s="309"/>
      <c r="N13" s="321">
        <f>IFERROR(VLOOKUP(G13&amp;L13,tbl_Entfernung[[Verketten]:[Entfernung]],2,FALSE),"")</f>
        <v>0</v>
      </c>
      <c r="O13" s="316">
        <f>IF(S13&gt;PauseGTime,PauseGWert,IF(S13&gt;PauseKTime,PauseKWert,IF(S13&lt;=PauseKTime,0,WENN)))</f>
        <v>0</v>
      </c>
      <c r="P13" s="364"/>
      <c r="Q13" s="356">
        <f t="shared" si="10"/>
        <v>0</v>
      </c>
      <c r="R13" s="225">
        <f t="shared" ca="1" si="2"/>
        <v>0.29166666666666669</v>
      </c>
      <c r="S13" s="225">
        <f t="shared" si="6"/>
        <v>0</v>
      </c>
      <c r="T13" s="130">
        <f t="shared" ca="1" si="3"/>
        <v>-0.29166666666667002</v>
      </c>
      <c r="U13" s="251">
        <f t="shared" ca="1" si="4"/>
        <v>0.29166666666666669</v>
      </c>
      <c r="V13" s="131"/>
      <c r="W13" s="214" t="e">
        <f t="shared" ca="1" si="7"/>
        <v>#REF!</v>
      </c>
      <c r="AB13" s="345">
        <f t="shared" si="8"/>
        <v>0</v>
      </c>
      <c r="AC13" s="345">
        <f t="shared" si="9"/>
        <v>0</v>
      </c>
    </row>
    <row r="14" spans="1:29" s="19" customFormat="1" ht="12" x14ac:dyDescent="0.2">
      <c r="A14" s="312">
        <f t="shared" si="5"/>
        <v>44357</v>
      </c>
      <c r="B14" s="129">
        <f t="shared" si="0"/>
        <v>44357</v>
      </c>
      <c r="C14" s="262" t="str">
        <f t="shared" si="1"/>
        <v/>
      </c>
      <c r="D14" s="358"/>
      <c r="E14" s="352"/>
      <c r="F14" s="255"/>
      <c r="G14" s="309"/>
      <c r="H14" s="309"/>
      <c r="I14" s="348">
        <f>IFERROR(VLOOKUP(D14&amp;G14,tbl_Entfernung[[Verketten]:[Entfernung]],2,FALSE),"")</f>
        <v>0</v>
      </c>
      <c r="J14" s="361"/>
      <c r="K14" s="352"/>
      <c r="L14" s="309"/>
      <c r="M14" s="309"/>
      <c r="N14" s="321">
        <f>IFERROR(VLOOKUP(G14&amp;L14,tbl_Entfernung[[Verketten]:[Entfernung]],2,FALSE),"")</f>
        <v>0</v>
      </c>
      <c r="O14" s="316">
        <f>IF(S14&gt;PauseGTime,PauseGWert,IF(S14&gt;PauseKTime,PauseKWert,IF(S14&lt;=PauseKTime,0,WENN)))</f>
        <v>0</v>
      </c>
      <c r="P14" s="364"/>
      <c r="Q14" s="356">
        <f t="shared" si="10"/>
        <v>0</v>
      </c>
      <c r="R14" s="225">
        <f t="shared" ca="1" si="2"/>
        <v>0.29166666666666669</v>
      </c>
      <c r="S14" s="225">
        <f t="shared" si="6"/>
        <v>0</v>
      </c>
      <c r="T14" s="130">
        <f t="shared" ca="1" si="3"/>
        <v>-0.29166666666667002</v>
      </c>
      <c r="U14" s="251">
        <f t="shared" ca="1" si="4"/>
        <v>0.29166666666666669</v>
      </c>
      <c r="V14" s="131"/>
      <c r="W14" s="214" t="e">
        <f t="shared" ca="1" si="7"/>
        <v>#REF!</v>
      </c>
      <c r="AB14" s="345">
        <f t="shared" si="8"/>
        <v>0</v>
      </c>
      <c r="AC14" s="345">
        <f t="shared" si="9"/>
        <v>0</v>
      </c>
    </row>
    <row r="15" spans="1:29" s="19" customFormat="1" ht="12" x14ac:dyDescent="0.2">
      <c r="A15" s="312">
        <f t="shared" si="5"/>
        <v>44358</v>
      </c>
      <c r="B15" s="129">
        <f t="shared" si="0"/>
        <v>44358</v>
      </c>
      <c r="C15" s="262" t="str">
        <f t="shared" si="1"/>
        <v/>
      </c>
      <c r="D15" s="358"/>
      <c r="E15" s="352"/>
      <c r="F15" s="255"/>
      <c r="G15" s="309"/>
      <c r="H15" s="309"/>
      <c r="I15" s="348">
        <f>IFERROR(VLOOKUP(D15&amp;G15,tbl_Entfernung[[Verketten]:[Entfernung]],2,FALSE),"")</f>
        <v>0</v>
      </c>
      <c r="J15" s="361"/>
      <c r="K15" s="352"/>
      <c r="L15" s="309"/>
      <c r="M15" s="309"/>
      <c r="N15" s="321">
        <f>IFERROR(VLOOKUP(G15&amp;L15,tbl_Entfernung[[Verketten]:[Entfernung]],2,FALSE),"")</f>
        <v>0</v>
      </c>
      <c r="O15" s="316">
        <f>IF(S15&gt;PauseGTime,PauseGWert,IF(S15&gt;PauseKTime,PauseKWert,IF(S15&lt;=PauseKTime,0,WENN)))</f>
        <v>0</v>
      </c>
      <c r="P15" s="364"/>
      <c r="Q15" s="356">
        <f t="shared" si="10"/>
        <v>0</v>
      </c>
      <c r="R15" s="225">
        <f t="shared" ca="1" si="2"/>
        <v>0.29166666666666669</v>
      </c>
      <c r="S15" s="225">
        <f t="shared" si="6"/>
        <v>0</v>
      </c>
      <c r="T15" s="130">
        <f t="shared" ca="1" si="3"/>
        <v>-0.29166666666667002</v>
      </c>
      <c r="U15" s="251">
        <f t="shared" ca="1" si="4"/>
        <v>0.29166666666666669</v>
      </c>
      <c r="V15" s="131"/>
      <c r="W15" s="214" t="e">
        <f t="shared" ca="1" si="7"/>
        <v>#REF!</v>
      </c>
      <c r="AB15" s="345">
        <f t="shared" si="8"/>
        <v>0</v>
      </c>
      <c r="AC15" s="345">
        <f t="shared" si="9"/>
        <v>0</v>
      </c>
    </row>
    <row r="16" spans="1:29" s="19" customFormat="1" ht="12" x14ac:dyDescent="0.2">
      <c r="A16" s="312">
        <f t="shared" si="5"/>
        <v>44359</v>
      </c>
      <c r="B16" s="129">
        <f t="shared" si="0"/>
        <v>44359</v>
      </c>
      <c r="C16" s="262" t="str">
        <f t="shared" si="1"/>
        <v/>
      </c>
      <c r="D16" s="358"/>
      <c r="E16" s="352"/>
      <c r="F16" s="255"/>
      <c r="G16" s="309"/>
      <c r="H16" s="309"/>
      <c r="I16" s="349">
        <f>IFERROR(VLOOKUP(D16&amp;G16,tbl_Entfernung[[Verketten]:[Entfernung]],2,FALSE),"")</f>
        <v>0</v>
      </c>
      <c r="J16" s="361"/>
      <c r="K16" s="352"/>
      <c r="L16" s="309"/>
      <c r="M16" s="309"/>
      <c r="N16" s="322">
        <f>IFERROR(VLOOKUP(G16&amp;L16,tbl_Entfernung[[Verketten]:[Entfernung]],2,FALSE),"")</f>
        <v>0</v>
      </c>
      <c r="O16" s="316">
        <f>IF(S16&gt;PauseGTime,PauseGWert,IF(S16&gt;PauseKTime,PauseKWert,IF(S16&lt;=PauseKTime,0,WENN)))</f>
        <v>0</v>
      </c>
      <c r="P16" s="364"/>
      <c r="Q16" s="356">
        <f t="shared" si="10"/>
        <v>0</v>
      </c>
      <c r="R16" s="225">
        <f t="shared" ca="1" si="2"/>
        <v>0.29166666666666669</v>
      </c>
      <c r="S16" s="225">
        <f t="shared" si="6"/>
        <v>0</v>
      </c>
      <c r="T16" s="130">
        <f t="shared" ca="1" si="3"/>
        <v>-0.29166666666667002</v>
      </c>
      <c r="U16" s="251">
        <f t="shared" ca="1" si="4"/>
        <v>0.29166666666666669</v>
      </c>
      <c r="V16" s="131"/>
      <c r="W16" s="214" t="e">
        <f t="shared" ca="1" si="7"/>
        <v>#REF!</v>
      </c>
      <c r="AB16" s="345">
        <f t="shared" si="8"/>
        <v>0</v>
      </c>
      <c r="AC16" s="345">
        <f t="shared" si="9"/>
        <v>0</v>
      </c>
    </row>
    <row r="17" spans="1:29" s="19" customFormat="1" ht="12" x14ac:dyDescent="0.2">
      <c r="A17" s="312">
        <f t="shared" si="5"/>
        <v>44360</v>
      </c>
      <c r="B17" s="129">
        <f t="shared" si="0"/>
        <v>44360</v>
      </c>
      <c r="C17" s="262" t="str">
        <f t="shared" si="1"/>
        <v/>
      </c>
      <c r="D17" s="358"/>
      <c r="E17" s="352"/>
      <c r="F17" s="255"/>
      <c r="G17" s="309"/>
      <c r="H17" s="309"/>
      <c r="I17" s="349">
        <f>IFERROR(VLOOKUP(D17&amp;G17,tbl_Entfernung[[Verketten]:[Entfernung]],2,FALSE),"")</f>
        <v>0</v>
      </c>
      <c r="J17" s="361"/>
      <c r="K17" s="352"/>
      <c r="L17" s="309"/>
      <c r="M17" s="309"/>
      <c r="N17" s="322">
        <f>IFERROR(VLOOKUP(G17&amp;L17,tbl_Entfernung[[Verketten]:[Entfernung]],2,FALSE),"")</f>
        <v>0</v>
      </c>
      <c r="O17" s="316">
        <f>IF(S17&gt;PauseGTime,PauseGWert,IF(S17&gt;PauseKTime,PauseKWert,IF(S17&lt;=PauseKTime,0,WENN)))</f>
        <v>0</v>
      </c>
      <c r="P17" s="364"/>
      <c r="Q17" s="356">
        <f t="shared" si="10"/>
        <v>0</v>
      </c>
      <c r="R17" s="225">
        <f t="shared" ca="1" si="2"/>
        <v>0</v>
      </c>
      <c r="S17" s="225">
        <f t="shared" si="6"/>
        <v>0</v>
      </c>
      <c r="T17" s="130">
        <f t="shared" ca="1" si="3"/>
        <v>0</v>
      </c>
      <c r="U17" s="251">
        <f t="shared" ca="1" si="4"/>
        <v>0</v>
      </c>
      <c r="V17" s="131"/>
      <c r="W17" s="214" t="e">
        <f t="shared" ca="1" si="7"/>
        <v>#REF!</v>
      </c>
      <c r="AB17" s="345">
        <f t="shared" si="8"/>
        <v>0</v>
      </c>
      <c r="AC17" s="345">
        <f t="shared" si="9"/>
        <v>0</v>
      </c>
    </row>
    <row r="18" spans="1:29" s="19" customFormat="1" ht="12" x14ac:dyDescent="0.2">
      <c r="A18" s="312">
        <f t="shared" si="5"/>
        <v>44361</v>
      </c>
      <c r="B18" s="129">
        <f t="shared" si="0"/>
        <v>44361</v>
      </c>
      <c r="C18" s="262" t="str">
        <f t="shared" si="1"/>
        <v/>
      </c>
      <c r="D18" s="358"/>
      <c r="E18" s="352"/>
      <c r="F18" s="255"/>
      <c r="G18" s="309"/>
      <c r="H18" s="309"/>
      <c r="I18" s="348">
        <f>IFERROR(VLOOKUP(D18&amp;G18,tbl_Entfernung[[Verketten]:[Entfernung]],2,FALSE),"")</f>
        <v>0</v>
      </c>
      <c r="J18" s="361"/>
      <c r="K18" s="352"/>
      <c r="L18" s="309"/>
      <c r="M18" s="309"/>
      <c r="N18" s="321">
        <f>IFERROR(VLOOKUP(G18&amp;L18,tbl_Entfernung[[Verketten]:[Entfernung]],2,FALSE),"")</f>
        <v>0</v>
      </c>
      <c r="O18" s="316">
        <f>IF(S18&gt;PauseGTime,PauseGWert,IF(S18&gt;PauseKTime,PauseKWert,IF(S18&lt;=PauseKTime,0,WENN)))</f>
        <v>0</v>
      </c>
      <c r="P18" s="364"/>
      <c r="Q18" s="356">
        <f t="shared" si="10"/>
        <v>0</v>
      </c>
      <c r="R18" s="225">
        <f t="shared" ca="1" si="2"/>
        <v>0</v>
      </c>
      <c r="S18" s="225">
        <f t="shared" si="6"/>
        <v>0</v>
      </c>
      <c r="T18" s="130">
        <f t="shared" ca="1" si="3"/>
        <v>0</v>
      </c>
      <c r="U18" s="251">
        <f t="shared" ca="1" si="4"/>
        <v>0</v>
      </c>
      <c r="V18" s="131"/>
      <c r="W18" s="214" t="e">
        <f t="shared" ca="1" si="7"/>
        <v>#REF!</v>
      </c>
      <c r="AB18" s="345">
        <f t="shared" si="8"/>
        <v>0</v>
      </c>
      <c r="AC18" s="345">
        <f t="shared" si="9"/>
        <v>0</v>
      </c>
    </row>
    <row r="19" spans="1:29" s="19" customFormat="1" ht="12" x14ac:dyDescent="0.2">
      <c r="A19" s="312">
        <f t="shared" si="5"/>
        <v>44362</v>
      </c>
      <c r="B19" s="129">
        <f t="shared" si="0"/>
        <v>44362</v>
      </c>
      <c r="C19" s="262" t="str">
        <f t="shared" si="1"/>
        <v/>
      </c>
      <c r="D19" s="358"/>
      <c r="E19" s="352"/>
      <c r="F19" s="255"/>
      <c r="G19" s="309"/>
      <c r="H19" s="309"/>
      <c r="I19" s="348">
        <f>IFERROR(VLOOKUP(D19&amp;G19,tbl_Entfernung[[Verketten]:[Entfernung]],2,FALSE),"")</f>
        <v>0</v>
      </c>
      <c r="J19" s="361"/>
      <c r="K19" s="352"/>
      <c r="L19" s="309"/>
      <c r="M19" s="309"/>
      <c r="N19" s="321">
        <f>IFERROR(VLOOKUP(G19&amp;L19,tbl_Entfernung[[Verketten]:[Entfernung]],2,FALSE),"")</f>
        <v>0</v>
      </c>
      <c r="O19" s="316">
        <f>IF(S19&gt;PauseGTime,PauseGWert,IF(S19&gt;PauseKTime,PauseKWert,IF(S19&lt;=PauseKTime,0,WENN)))</f>
        <v>0</v>
      </c>
      <c r="P19" s="364"/>
      <c r="Q19" s="356">
        <f t="shared" si="10"/>
        <v>0</v>
      </c>
      <c r="R19" s="225">
        <f t="shared" ca="1" si="2"/>
        <v>0.29166666666666669</v>
      </c>
      <c r="S19" s="225">
        <f t="shared" si="6"/>
        <v>0</v>
      </c>
      <c r="T19" s="130">
        <f t="shared" ca="1" si="3"/>
        <v>-0.29166666666667002</v>
      </c>
      <c r="U19" s="251">
        <f t="shared" ca="1" si="4"/>
        <v>0.29166666666666669</v>
      </c>
      <c r="V19" s="131"/>
      <c r="W19" s="214" t="e">
        <f t="shared" ca="1" si="7"/>
        <v>#REF!</v>
      </c>
      <c r="AB19" s="345">
        <f t="shared" si="8"/>
        <v>0</v>
      </c>
      <c r="AC19" s="345">
        <f t="shared" si="9"/>
        <v>0</v>
      </c>
    </row>
    <row r="20" spans="1:29" s="19" customFormat="1" ht="12" x14ac:dyDescent="0.2">
      <c r="A20" s="312">
        <f t="shared" si="5"/>
        <v>44363</v>
      </c>
      <c r="B20" s="129">
        <f t="shared" si="0"/>
        <v>44363</v>
      </c>
      <c r="C20" s="262" t="str">
        <f t="shared" si="1"/>
        <v/>
      </c>
      <c r="D20" s="358"/>
      <c r="E20" s="352"/>
      <c r="F20" s="255"/>
      <c r="G20" s="309"/>
      <c r="H20" s="309"/>
      <c r="I20" s="348">
        <f>IFERROR(VLOOKUP(D20&amp;G20,tbl_Entfernung[[Verketten]:[Entfernung]],2,FALSE),"")</f>
        <v>0</v>
      </c>
      <c r="J20" s="361"/>
      <c r="K20" s="352"/>
      <c r="L20" s="309"/>
      <c r="M20" s="309"/>
      <c r="N20" s="321">
        <f>IFERROR(VLOOKUP(G20&amp;L20,tbl_Entfernung[[Verketten]:[Entfernung]],2,FALSE),"")</f>
        <v>0</v>
      </c>
      <c r="O20" s="316">
        <f>IF(S20&gt;PauseGTime,PauseGWert,IF(S20&gt;PauseKTime,PauseKWert,IF(S20&lt;=PauseKTime,0,WENN)))</f>
        <v>0</v>
      </c>
      <c r="P20" s="364"/>
      <c r="Q20" s="356">
        <f t="shared" si="10"/>
        <v>0</v>
      </c>
      <c r="R20" s="225">
        <f t="shared" ca="1" si="2"/>
        <v>0.29166666666666669</v>
      </c>
      <c r="S20" s="225">
        <f t="shared" si="6"/>
        <v>0</v>
      </c>
      <c r="T20" s="130">
        <f t="shared" ca="1" si="3"/>
        <v>-0.29166666666667002</v>
      </c>
      <c r="U20" s="251">
        <f t="shared" ca="1" si="4"/>
        <v>0.29166666666666669</v>
      </c>
      <c r="V20" s="131"/>
      <c r="W20" s="214" t="e">
        <f t="shared" ca="1" si="7"/>
        <v>#REF!</v>
      </c>
      <c r="AB20" s="345">
        <f t="shared" si="8"/>
        <v>0</v>
      </c>
      <c r="AC20" s="345">
        <f t="shared" si="9"/>
        <v>0</v>
      </c>
    </row>
    <row r="21" spans="1:29" s="19" customFormat="1" ht="12" x14ac:dyDescent="0.2">
      <c r="A21" s="312">
        <f t="shared" si="5"/>
        <v>44364</v>
      </c>
      <c r="B21" s="129">
        <f t="shared" si="0"/>
        <v>44364</v>
      </c>
      <c r="C21" s="262" t="str">
        <f t="shared" si="1"/>
        <v/>
      </c>
      <c r="D21" s="358"/>
      <c r="E21" s="352"/>
      <c r="F21" s="255"/>
      <c r="G21" s="309"/>
      <c r="H21" s="309"/>
      <c r="I21" s="348">
        <f>IFERROR(VLOOKUP(D21&amp;G21,tbl_Entfernung[[Verketten]:[Entfernung]],2,FALSE),"")</f>
        <v>0</v>
      </c>
      <c r="J21" s="361"/>
      <c r="K21" s="352"/>
      <c r="L21" s="309"/>
      <c r="M21" s="309"/>
      <c r="N21" s="321">
        <f>IFERROR(VLOOKUP(G21&amp;L21,tbl_Entfernung[[Verketten]:[Entfernung]],2,FALSE),"")</f>
        <v>0</v>
      </c>
      <c r="O21" s="316">
        <f>IF(S21&gt;PauseGTime,PauseGWert,IF(S21&gt;PauseKTime,PauseKWert,IF(S21&lt;=PauseKTime,0,WENN)))</f>
        <v>0</v>
      </c>
      <c r="P21" s="364"/>
      <c r="Q21" s="356">
        <f t="shared" si="10"/>
        <v>0</v>
      </c>
      <c r="R21" s="225">
        <f t="shared" ca="1" si="2"/>
        <v>0.29166666666666669</v>
      </c>
      <c r="S21" s="225">
        <f t="shared" si="6"/>
        <v>0</v>
      </c>
      <c r="T21" s="130">
        <f t="shared" ca="1" si="3"/>
        <v>-0.29166666666667002</v>
      </c>
      <c r="U21" s="251">
        <f t="shared" ca="1" si="4"/>
        <v>0.29166666666666669</v>
      </c>
      <c r="V21" s="131"/>
      <c r="W21" s="214" t="e">
        <f t="shared" ca="1" si="7"/>
        <v>#REF!</v>
      </c>
      <c r="AB21" s="345">
        <f t="shared" si="8"/>
        <v>0</v>
      </c>
      <c r="AC21" s="345">
        <f t="shared" si="9"/>
        <v>0</v>
      </c>
    </row>
    <row r="22" spans="1:29" s="19" customFormat="1" ht="12" x14ac:dyDescent="0.2">
      <c r="A22" s="312">
        <f t="shared" si="5"/>
        <v>44365</v>
      </c>
      <c r="B22" s="129">
        <f t="shared" si="0"/>
        <v>44365</v>
      </c>
      <c r="C22" s="262" t="str">
        <f t="shared" si="1"/>
        <v/>
      </c>
      <c r="D22" s="358"/>
      <c r="E22" s="352"/>
      <c r="F22" s="255"/>
      <c r="G22" s="309"/>
      <c r="H22" s="309"/>
      <c r="I22" s="348">
        <f>IFERROR(VLOOKUP(D22&amp;G22,tbl_Entfernung[[Verketten]:[Entfernung]],2,FALSE),"")</f>
        <v>0</v>
      </c>
      <c r="J22" s="361"/>
      <c r="K22" s="352"/>
      <c r="L22" s="309"/>
      <c r="M22" s="309"/>
      <c r="N22" s="321">
        <f>IFERROR(VLOOKUP(G22&amp;L22,tbl_Entfernung[[Verketten]:[Entfernung]],2,FALSE),"")</f>
        <v>0</v>
      </c>
      <c r="O22" s="316">
        <f>IF(S22&gt;PauseGTime,PauseGWert,IF(S22&gt;PauseKTime,PauseKWert,IF(S22&lt;=PauseKTime,0,WENN)))</f>
        <v>0</v>
      </c>
      <c r="P22" s="364"/>
      <c r="Q22" s="356">
        <f t="shared" si="10"/>
        <v>0</v>
      </c>
      <c r="R22" s="225">
        <f t="shared" ca="1" si="2"/>
        <v>0.29166666666666669</v>
      </c>
      <c r="S22" s="225">
        <f t="shared" si="6"/>
        <v>0</v>
      </c>
      <c r="T22" s="130">
        <f t="shared" ca="1" si="3"/>
        <v>-0.29166666666667002</v>
      </c>
      <c r="U22" s="251">
        <f t="shared" ca="1" si="4"/>
        <v>0.29166666666666669</v>
      </c>
      <c r="V22" s="131"/>
      <c r="W22" s="214" t="e">
        <f t="shared" ca="1" si="7"/>
        <v>#REF!</v>
      </c>
      <c r="AB22" s="345">
        <f t="shared" si="8"/>
        <v>0</v>
      </c>
      <c r="AC22" s="345">
        <f t="shared" si="9"/>
        <v>0</v>
      </c>
    </row>
    <row r="23" spans="1:29" s="19" customFormat="1" ht="12" x14ac:dyDescent="0.2">
      <c r="A23" s="312">
        <f t="shared" si="5"/>
        <v>44366</v>
      </c>
      <c r="B23" s="129">
        <f t="shared" si="0"/>
        <v>44366</v>
      </c>
      <c r="C23" s="262" t="str">
        <f t="shared" si="1"/>
        <v/>
      </c>
      <c r="D23" s="358"/>
      <c r="E23" s="352"/>
      <c r="F23" s="255"/>
      <c r="G23" s="309"/>
      <c r="H23" s="309"/>
      <c r="I23" s="349">
        <f>IFERROR(VLOOKUP(D23&amp;G23,tbl_Entfernung[[Verketten]:[Entfernung]],2,FALSE),"")</f>
        <v>0</v>
      </c>
      <c r="J23" s="361"/>
      <c r="K23" s="352"/>
      <c r="L23" s="309"/>
      <c r="M23" s="309"/>
      <c r="N23" s="322">
        <f>IFERROR(VLOOKUP(G23&amp;L23,tbl_Entfernung[[Verketten]:[Entfernung]],2,FALSE),"")</f>
        <v>0</v>
      </c>
      <c r="O23" s="316">
        <f>IF(S23&gt;PauseGTime,PauseGWert,IF(S23&gt;PauseKTime,PauseKWert,IF(S23&lt;=PauseKTime,0,WENN)))</f>
        <v>0</v>
      </c>
      <c r="P23" s="364"/>
      <c r="Q23" s="356">
        <f t="shared" si="10"/>
        <v>0</v>
      </c>
      <c r="R23" s="225">
        <f t="shared" ca="1" si="2"/>
        <v>0.29166666666666669</v>
      </c>
      <c r="S23" s="225">
        <f t="shared" si="6"/>
        <v>0</v>
      </c>
      <c r="T23" s="130">
        <f t="shared" ca="1" si="3"/>
        <v>-0.29166666666667002</v>
      </c>
      <c r="U23" s="251">
        <f t="shared" ca="1" si="4"/>
        <v>0.29166666666666669</v>
      </c>
      <c r="V23" s="131"/>
      <c r="W23" s="214" t="e">
        <f t="shared" ca="1" si="7"/>
        <v>#REF!</v>
      </c>
      <c r="AB23" s="345">
        <f t="shared" si="8"/>
        <v>0</v>
      </c>
      <c r="AC23" s="345">
        <f t="shared" si="9"/>
        <v>0</v>
      </c>
    </row>
    <row r="24" spans="1:29" s="19" customFormat="1" ht="12" x14ac:dyDescent="0.2">
      <c r="A24" s="312">
        <f t="shared" si="5"/>
        <v>44367</v>
      </c>
      <c r="B24" s="129">
        <f t="shared" si="0"/>
        <v>44367</v>
      </c>
      <c r="C24" s="262" t="str">
        <f t="shared" si="1"/>
        <v/>
      </c>
      <c r="D24" s="358"/>
      <c r="E24" s="352"/>
      <c r="F24" s="255"/>
      <c r="G24" s="309"/>
      <c r="H24" s="309"/>
      <c r="I24" s="349">
        <f>IFERROR(VLOOKUP(D24&amp;G24,tbl_Entfernung[[Verketten]:[Entfernung]],2,FALSE),"")</f>
        <v>0</v>
      </c>
      <c r="J24" s="361"/>
      <c r="K24" s="352"/>
      <c r="L24" s="309"/>
      <c r="M24" s="309"/>
      <c r="N24" s="322">
        <f>IFERROR(VLOOKUP(G24&amp;L24,tbl_Entfernung[[Verketten]:[Entfernung]],2,FALSE),"")</f>
        <v>0</v>
      </c>
      <c r="O24" s="316">
        <f>IF(S24&gt;PauseGTime,PauseGWert,IF(S24&gt;PauseKTime,PauseKWert,IF(S24&lt;=PauseKTime,0,WENN)))</f>
        <v>0</v>
      </c>
      <c r="P24" s="364"/>
      <c r="Q24" s="356">
        <f t="shared" si="10"/>
        <v>0</v>
      </c>
      <c r="R24" s="225">
        <f t="shared" ca="1" si="2"/>
        <v>0</v>
      </c>
      <c r="S24" s="225">
        <f t="shared" si="6"/>
        <v>0</v>
      </c>
      <c r="T24" s="130">
        <f t="shared" ca="1" si="3"/>
        <v>0</v>
      </c>
      <c r="U24" s="251">
        <f t="shared" ca="1" si="4"/>
        <v>0</v>
      </c>
      <c r="V24" s="131"/>
      <c r="W24" s="214" t="e">
        <f t="shared" ca="1" si="7"/>
        <v>#REF!</v>
      </c>
      <c r="AB24" s="345">
        <f t="shared" si="8"/>
        <v>0</v>
      </c>
      <c r="AC24" s="345">
        <f t="shared" si="9"/>
        <v>0</v>
      </c>
    </row>
    <row r="25" spans="1:29" s="19" customFormat="1" ht="12" x14ac:dyDescent="0.2">
      <c r="A25" s="312">
        <f t="shared" si="5"/>
        <v>44368</v>
      </c>
      <c r="B25" s="129">
        <f t="shared" si="0"/>
        <v>44368</v>
      </c>
      <c r="C25" s="262" t="str">
        <f t="shared" si="1"/>
        <v/>
      </c>
      <c r="D25" s="358"/>
      <c r="E25" s="352"/>
      <c r="F25" s="255"/>
      <c r="G25" s="309"/>
      <c r="H25" s="309"/>
      <c r="I25" s="348">
        <f>IFERROR(VLOOKUP(D25&amp;G25,tbl_Entfernung[[Verketten]:[Entfernung]],2,FALSE),"")</f>
        <v>0</v>
      </c>
      <c r="J25" s="361"/>
      <c r="K25" s="352"/>
      <c r="L25" s="309"/>
      <c r="M25" s="309"/>
      <c r="N25" s="321">
        <f>IFERROR(VLOOKUP(G25&amp;L25,tbl_Entfernung[[Verketten]:[Entfernung]],2,FALSE),"")</f>
        <v>0</v>
      </c>
      <c r="O25" s="316">
        <f>IF(S25&gt;PauseGTime,PauseGWert,IF(S25&gt;PauseKTime,PauseKWert,IF(S25&lt;=PauseKTime,0,WENN)))</f>
        <v>0</v>
      </c>
      <c r="P25" s="364"/>
      <c r="Q25" s="356">
        <f t="shared" si="10"/>
        <v>0</v>
      </c>
      <c r="R25" s="225">
        <f t="shared" ca="1" si="2"/>
        <v>0</v>
      </c>
      <c r="S25" s="225">
        <f t="shared" si="6"/>
        <v>0</v>
      </c>
      <c r="T25" s="130">
        <f t="shared" ca="1" si="3"/>
        <v>0</v>
      </c>
      <c r="U25" s="251">
        <f t="shared" ca="1" si="4"/>
        <v>0</v>
      </c>
      <c r="V25" s="131"/>
      <c r="W25" s="214" t="e">
        <f t="shared" ca="1" si="7"/>
        <v>#REF!</v>
      </c>
      <c r="AB25" s="345">
        <f t="shared" si="8"/>
        <v>0</v>
      </c>
      <c r="AC25" s="345">
        <f t="shared" si="9"/>
        <v>0</v>
      </c>
    </row>
    <row r="26" spans="1:29" s="19" customFormat="1" ht="12" x14ac:dyDescent="0.2">
      <c r="A26" s="312">
        <f t="shared" si="5"/>
        <v>44369</v>
      </c>
      <c r="B26" s="129">
        <f t="shared" si="0"/>
        <v>44369</v>
      </c>
      <c r="C26" s="262" t="str">
        <f t="shared" si="1"/>
        <v/>
      </c>
      <c r="D26" s="358"/>
      <c r="E26" s="352"/>
      <c r="F26" s="255"/>
      <c r="G26" s="309"/>
      <c r="H26" s="309"/>
      <c r="I26" s="348">
        <f>IFERROR(VLOOKUP(D26&amp;G26,tbl_Entfernung[[Verketten]:[Entfernung]],2,FALSE),"")</f>
        <v>0</v>
      </c>
      <c r="J26" s="361"/>
      <c r="K26" s="352"/>
      <c r="L26" s="309"/>
      <c r="M26" s="309"/>
      <c r="N26" s="321">
        <f>IFERROR(VLOOKUP(G26&amp;L26,tbl_Entfernung[[Verketten]:[Entfernung]],2,FALSE),"")</f>
        <v>0</v>
      </c>
      <c r="O26" s="316">
        <f>IF(S26&gt;PauseGTime,PauseGWert,IF(S26&gt;PauseKTime,PauseKWert,IF(S26&lt;=PauseKTime,0,WENN)))</f>
        <v>0</v>
      </c>
      <c r="P26" s="364"/>
      <c r="Q26" s="356">
        <f t="shared" si="10"/>
        <v>0</v>
      </c>
      <c r="R26" s="225">
        <f t="shared" ca="1" si="2"/>
        <v>0.29166666666666669</v>
      </c>
      <c r="S26" s="225">
        <f t="shared" si="6"/>
        <v>0</v>
      </c>
      <c r="T26" s="130">
        <f t="shared" ca="1" si="3"/>
        <v>-0.29166666666667002</v>
      </c>
      <c r="U26" s="251">
        <f t="shared" ca="1" si="4"/>
        <v>0.29166666666666669</v>
      </c>
      <c r="V26" s="131"/>
      <c r="W26" s="214" t="e">
        <f t="shared" ca="1" si="7"/>
        <v>#REF!</v>
      </c>
      <c r="AB26" s="345">
        <f t="shared" si="8"/>
        <v>0</v>
      </c>
      <c r="AC26" s="345">
        <f t="shared" si="9"/>
        <v>0</v>
      </c>
    </row>
    <row r="27" spans="1:29" s="19" customFormat="1" ht="12" x14ac:dyDescent="0.2">
      <c r="A27" s="312">
        <f t="shared" si="5"/>
        <v>44370</v>
      </c>
      <c r="B27" s="129">
        <f t="shared" si="0"/>
        <v>44370</v>
      </c>
      <c r="C27" s="262" t="str">
        <f t="shared" si="1"/>
        <v/>
      </c>
      <c r="D27" s="358"/>
      <c r="E27" s="352"/>
      <c r="F27" s="255"/>
      <c r="G27" s="309"/>
      <c r="H27" s="309"/>
      <c r="I27" s="348">
        <f>IFERROR(VLOOKUP(D27&amp;G27,tbl_Entfernung[[Verketten]:[Entfernung]],2,FALSE),"")</f>
        <v>0</v>
      </c>
      <c r="J27" s="361"/>
      <c r="K27" s="352"/>
      <c r="L27" s="309"/>
      <c r="M27" s="309"/>
      <c r="N27" s="321">
        <f>IFERROR(VLOOKUP(G27&amp;L27,tbl_Entfernung[[Verketten]:[Entfernung]],2,FALSE),"")</f>
        <v>0</v>
      </c>
      <c r="O27" s="316">
        <f>IF(S27&gt;PauseGTime,PauseGWert,IF(S27&gt;PauseKTime,PauseKWert,IF(S27&lt;=PauseKTime,0,WENN)))</f>
        <v>0</v>
      </c>
      <c r="P27" s="364"/>
      <c r="Q27" s="356">
        <f t="shared" si="10"/>
        <v>0</v>
      </c>
      <c r="R27" s="225">
        <f t="shared" ca="1" si="2"/>
        <v>0.29166666666666669</v>
      </c>
      <c r="S27" s="225">
        <f t="shared" si="6"/>
        <v>0</v>
      </c>
      <c r="T27" s="130">
        <f t="shared" ca="1" si="3"/>
        <v>-0.29166666666667002</v>
      </c>
      <c r="U27" s="251">
        <f t="shared" ca="1" si="4"/>
        <v>0.29166666666666669</v>
      </c>
      <c r="V27" s="131"/>
      <c r="W27" s="214" t="e">
        <f t="shared" ca="1" si="7"/>
        <v>#REF!</v>
      </c>
      <c r="AB27" s="345">
        <f t="shared" si="8"/>
        <v>0</v>
      </c>
      <c r="AC27" s="345">
        <f t="shared" si="9"/>
        <v>0</v>
      </c>
    </row>
    <row r="28" spans="1:29" s="19" customFormat="1" ht="12" x14ac:dyDescent="0.2">
      <c r="A28" s="312">
        <f t="shared" si="5"/>
        <v>44371</v>
      </c>
      <c r="B28" s="129">
        <f t="shared" si="0"/>
        <v>44371</v>
      </c>
      <c r="C28" s="262" t="str">
        <f t="shared" si="1"/>
        <v/>
      </c>
      <c r="D28" s="358"/>
      <c r="E28" s="352"/>
      <c r="F28" s="255"/>
      <c r="G28" s="309"/>
      <c r="H28" s="309"/>
      <c r="I28" s="348">
        <f>IFERROR(VLOOKUP(D28&amp;G28,tbl_Entfernung[[Verketten]:[Entfernung]],2,FALSE),"")</f>
        <v>0</v>
      </c>
      <c r="J28" s="361"/>
      <c r="K28" s="352"/>
      <c r="L28" s="309"/>
      <c r="M28" s="309"/>
      <c r="N28" s="321">
        <f>IFERROR(VLOOKUP(G28&amp;L28,tbl_Entfernung[[Verketten]:[Entfernung]],2,FALSE),"")</f>
        <v>0</v>
      </c>
      <c r="O28" s="316">
        <f>IF(S28&gt;PauseGTime,PauseGWert,IF(S28&gt;PauseKTime,PauseKWert,IF(S28&lt;=PauseKTime,0,WENN)))</f>
        <v>0</v>
      </c>
      <c r="P28" s="364"/>
      <c r="Q28" s="356">
        <f t="shared" si="10"/>
        <v>0</v>
      </c>
      <c r="R28" s="225">
        <f t="shared" ca="1" si="2"/>
        <v>0.29166666666666669</v>
      </c>
      <c r="S28" s="225">
        <f t="shared" si="6"/>
        <v>0</v>
      </c>
      <c r="T28" s="130">
        <f t="shared" ca="1" si="3"/>
        <v>-0.29166666666667002</v>
      </c>
      <c r="U28" s="251">
        <f t="shared" ca="1" si="4"/>
        <v>0.29166666666666669</v>
      </c>
      <c r="V28" s="131"/>
      <c r="W28" s="214" t="e">
        <f t="shared" ca="1" si="7"/>
        <v>#REF!</v>
      </c>
      <c r="AB28" s="345">
        <f t="shared" si="8"/>
        <v>0</v>
      </c>
      <c r="AC28" s="345">
        <f t="shared" si="9"/>
        <v>0</v>
      </c>
    </row>
    <row r="29" spans="1:29" s="19" customFormat="1" ht="12" x14ac:dyDescent="0.2">
      <c r="A29" s="312">
        <f t="shared" si="5"/>
        <v>44372</v>
      </c>
      <c r="B29" s="129">
        <f t="shared" si="0"/>
        <v>44372</v>
      </c>
      <c r="C29" s="262" t="str">
        <f t="shared" si="1"/>
        <v/>
      </c>
      <c r="D29" s="358"/>
      <c r="E29" s="352"/>
      <c r="F29" s="255"/>
      <c r="G29" s="309"/>
      <c r="H29" s="309"/>
      <c r="I29" s="348">
        <f>IFERROR(VLOOKUP(D29&amp;G29,tbl_Entfernung[[Verketten]:[Entfernung]],2,FALSE),"")</f>
        <v>0</v>
      </c>
      <c r="J29" s="361"/>
      <c r="K29" s="352"/>
      <c r="L29" s="309"/>
      <c r="M29" s="309"/>
      <c r="N29" s="321">
        <f>IFERROR(VLOOKUP(G29&amp;L29,tbl_Entfernung[[Verketten]:[Entfernung]],2,FALSE),"")</f>
        <v>0</v>
      </c>
      <c r="O29" s="316">
        <f>IF(S29&gt;PauseGTime,PauseGWert,IF(S29&gt;PauseKTime,PauseKWert,IF(S29&lt;=PauseKTime,0,WENN)))</f>
        <v>0</v>
      </c>
      <c r="P29" s="364"/>
      <c r="Q29" s="356">
        <f t="shared" si="10"/>
        <v>0</v>
      </c>
      <c r="R29" s="225">
        <f t="shared" ca="1" si="2"/>
        <v>0.29166666666666669</v>
      </c>
      <c r="S29" s="225">
        <f t="shared" si="6"/>
        <v>0</v>
      </c>
      <c r="T29" s="130">
        <f t="shared" ca="1" si="3"/>
        <v>-0.29166666666667002</v>
      </c>
      <c r="U29" s="251">
        <f t="shared" ca="1" si="4"/>
        <v>0.29166666666666669</v>
      </c>
      <c r="V29" s="131"/>
      <c r="W29" s="214" t="e">
        <f t="shared" ca="1" si="7"/>
        <v>#REF!</v>
      </c>
      <c r="AB29" s="345">
        <f t="shared" si="8"/>
        <v>0</v>
      </c>
      <c r="AC29" s="345">
        <f t="shared" si="9"/>
        <v>0</v>
      </c>
    </row>
    <row r="30" spans="1:29" s="19" customFormat="1" ht="12" x14ac:dyDescent="0.2">
      <c r="A30" s="312">
        <f t="shared" si="5"/>
        <v>44373</v>
      </c>
      <c r="B30" s="129">
        <f t="shared" si="0"/>
        <v>44373</v>
      </c>
      <c r="C30" s="262" t="str">
        <f t="shared" si="1"/>
        <v/>
      </c>
      <c r="D30" s="358"/>
      <c r="E30" s="352"/>
      <c r="F30" s="255"/>
      <c r="G30" s="309"/>
      <c r="H30" s="309"/>
      <c r="I30" s="349">
        <f>IFERROR(VLOOKUP(D30&amp;G30,tbl_Entfernung[[Verketten]:[Entfernung]],2,FALSE),"")</f>
        <v>0</v>
      </c>
      <c r="J30" s="361"/>
      <c r="K30" s="352"/>
      <c r="L30" s="309"/>
      <c r="M30" s="309"/>
      <c r="N30" s="322">
        <f>IFERROR(VLOOKUP(G30&amp;L30,tbl_Entfernung[[Verketten]:[Entfernung]],2,FALSE),"")</f>
        <v>0</v>
      </c>
      <c r="O30" s="316">
        <f>IF(S30&gt;PauseGTime,PauseGWert,IF(S30&gt;PauseKTime,PauseKWert,IF(S30&lt;=PauseKTime,0,WENN)))</f>
        <v>0</v>
      </c>
      <c r="P30" s="364"/>
      <c r="Q30" s="356">
        <f t="shared" si="10"/>
        <v>0</v>
      </c>
      <c r="R30" s="225">
        <f t="shared" ca="1" si="2"/>
        <v>0.29166666666666669</v>
      </c>
      <c r="S30" s="225">
        <f t="shared" si="6"/>
        <v>0</v>
      </c>
      <c r="T30" s="130">
        <f t="shared" ca="1" si="3"/>
        <v>-0.29166666666667002</v>
      </c>
      <c r="U30" s="251">
        <f t="shared" ca="1" si="4"/>
        <v>0.29166666666666669</v>
      </c>
      <c r="V30" s="131"/>
      <c r="W30" s="214" t="e">
        <f t="shared" ca="1" si="7"/>
        <v>#REF!</v>
      </c>
      <c r="AB30" s="345">
        <f t="shared" si="8"/>
        <v>0</v>
      </c>
      <c r="AC30" s="345">
        <f t="shared" si="9"/>
        <v>0</v>
      </c>
    </row>
    <row r="31" spans="1:29" s="19" customFormat="1" ht="12" x14ac:dyDescent="0.2">
      <c r="A31" s="312">
        <f t="shared" si="5"/>
        <v>44374</v>
      </c>
      <c r="B31" s="129">
        <f t="shared" si="0"/>
        <v>44374</v>
      </c>
      <c r="C31" s="262" t="str">
        <f t="shared" si="1"/>
        <v/>
      </c>
      <c r="D31" s="358"/>
      <c r="E31" s="352"/>
      <c r="F31" s="255"/>
      <c r="G31" s="309"/>
      <c r="H31" s="309"/>
      <c r="I31" s="349">
        <f>IFERROR(VLOOKUP(D31&amp;G31,tbl_Entfernung[[Verketten]:[Entfernung]],2,FALSE),"")</f>
        <v>0</v>
      </c>
      <c r="J31" s="361"/>
      <c r="K31" s="352"/>
      <c r="L31" s="309"/>
      <c r="M31" s="309"/>
      <c r="N31" s="322">
        <f>IFERROR(VLOOKUP(G31&amp;L31,tbl_Entfernung[[Verketten]:[Entfernung]],2,FALSE),"")</f>
        <v>0</v>
      </c>
      <c r="O31" s="316">
        <f>IF(S31&gt;PauseGTime,PauseGWert,IF(S31&gt;PauseKTime,PauseKWert,IF(S31&lt;=PauseKTime,0,WENN)))</f>
        <v>0</v>
      </c>
      <c r="P31" s="364"/>
      <c r="Q31" s="356">
        <f t="shared" si="10"/>
        <v>0</v>
      </c>
      <c r="R31" s="225">
        <f t="shared" ca="1" si="2"/>
        <v>0</v>
      </c>
      <c r="S31" s="225">
        <f t="shared" si="6"/>
        <v>0</v>
      </c>
      <c r="T31" s="130">
        <f t="shared" ca="1" si="3"/>
        <v>0</v>
      </c>
      <c r="U31" s="251">
        <f t="shared" ca="1" si="4"/>
        <v>0</v>
      </c>
      <c r="V31" s="131"/>
      <c r="W31" s="214" t="e">
        <f t="shared" ca="1" si="7"/>
        <v>#REF!</v>
      </c>
      <c r="AB31" s="345">
        <f t="shared" si="8"/>
        <v>0</v>
      </c>
      <c r="AC31" s="345">
        <f t="shared" si="9"/>
        <v>0</v>
      </c>
    </row>
    <row r="32" spans="1:29" s="19" customFormat="1" ht="12" x14ac:dyDescent="0.2">
      <c r="A32" s="312">
        <f>IF(MONTH(A31+1)&gt;MONTH(A31),"",A31+1)</f>
        <v>44375</v>
      </c>
      <c r="B32" s="129">
        <f t="shared" si="0"/>
        <v>44375</v>
      </c>
      <c r="C32" s="262" t="str">
        <f>IF(ISERROR(VLOOKUP(A32,Feiertage,2,FALSE)),"",(VLOOKUP(A32,Feiertage,2,FALSE)))</f>
        <v/>
      </c>
      <c r="D32" s="358"/>
      <c r="E32" s="352"/>
      <c r="F32" s="255"/>
      <c r="G32" s="309"/>
      <c r="H32" s="309"/>
      <c r="I32" s="349">
        <f>IFERROR(VLOOKUP(D32&amp;G32,tbl_Entfernung[[Verketten]:[Entfernung]],2,FALSE),"")</f>
        <v>0</v>
      </c>
      <c r="J32" s="361"/>
      <c r="K32" s="352"/>
      <c r="L32" s="309"/>
      <c r="M32" s="309"/>
      <c r="N32" s="322">
        <f>IFERROR(VLOOKUP(G32&amp;L32,tbl_Entfernung[[Verketten]:[Entfernung]],2,FALSE),"")</f>
        <v>0</v>
      </c>
      <c r="O32" s="316">
        <f>IF(S32&gt;PauseGTime,PauseGWert,IF(S32&gt;PauseKTime,PauseKWert,IF(S32&lt;=PauseKTime,0,WENN)))</f>
        <v>0</v>
      </c>
      <c r="P32" s="364"/>
      <c r="Q32" s="356">
        <f t="shared" si="10"/>
        <v>0</v>
      </c>
      <c r="R32" s="225">
        <f t="shared" ca="1" si="2"/>
        <v>0</v>
      </c>
      <c r="S32" s="225">
        <f t="shared" si="6"/>
        <v>0</v>
      </c>
      <c r="T32" s="130">
        <f t="shared" ca="1" si="3"/>
        <v>0</v>
      </c>
      <c r="U32" s="251">
        <f t="shared" ca="1" si="4"/>
        <v>0</v>
      </c>
      <c r="V32" s="131"/>
      <c r="W32" s="214" t="e">
        <f t="shared" ca="1" si="7"/>
        <v>#REF!</v>
      </c>
      <c r="AB32" s="345">
        <f t="shared" si="8"/>
        <v>0</v>
      </c>
      <c r="AC32" s="345">
        <f t="shared" si="9"/>
        <v>0</v>
      </c>
    </row>
    <row r="33" spans="1:29" s="19" customFormat="1" ht="12" x14ac:dyDescent="0.2">
      <c r="A33" s="312">
        <f>IF(MONTH(A31+2)&gt;MONTH(A31),"",A31+2)</f>
        <v>44376</v>
      </c>
      <c r="B33" s="129">
        <f t="shared" si="0"/>
        <v>44376</v>
      </c>
      <c r="C33" s="262" t="str">
        <f>IF(ISERROR(VLOOKUP(A33,Feiertage,2,FALSE)),"",(VLOOKUP(A33,Feiertage,2,FALSE)))</f>
        <v/>
      </c>
      <c r="D33" s="358"/>
      <c r="E33" s="352"/>
      <c r="F33" s="255"/>
      <c r="G33" s="309"/>
      <c r="H33" s="309"/>
      <c r="I33" s="349">
        <f>IFERROR(VLOOKUP(D33&amp;G33,tbl_Entfernung[[Verketten]:[Entfernung]],2,FALSE),"")</f>
        <v>0</v>
      </c>
      <c r="J33" s="361"/>
      <c r="K33" s="352"/>
      <c r="L33" s="309"/>
      <c r="M33" s="309"/>
      <c r="N33" s="322">
        <f>IFERROR(VLOOKUP(G33&amp;L33,tbl_Entfernung[[Verketten]:[Entfernung]],2,FALSE),"")</f>
        <v>0</v>
      </c>
      <c r="O33" s="316">
        <f>IF(S33&gt;PauseGTime,PauseGWert,IF(S33&gt;PauseKTime,PauseKWert,IF(S33&lt;=PauseKTime,0,WENN)))</f>
        <v>0</v>
      </c>
      <c r="P33" s="364"/>
      <c r="Q33" s="356">
        <f t="shared" si="10"/>
        <v>0</v>
      </c>
      <c r="R33" s="225">
        <f t="shared" ca="1" si="2"/>
        <v>0.29166666666666669</v>
      </c>
      <c r="S33" s="225">
        <f t="shared" si="6"/>
        <v>0</v>
      </c>
      <c r="T33" s="130">
        <f t="shared" ca="1" si="3"/>
        <v>-0.29166666666667002</v>
      </c>
      <c r="U33" s="251">
        <f t="shared" ca="1" si="4"/>
        <v>0.29166666666666669</v>
      </c>
      <c r="V33" s="131"/>
      <c r="W33" s="214" t="e">
        <f t="shared" ca="1" si="7"/>
        <v>#REF!</v>
      </c>
      <c r="AB33" s="345">
        <f t="shared" si="8"/>
        <v>0</v>
      </c>
      <c r="AC33" s="345">
        <f t="shared" si="9"/>
        <v>0</v>
      </c>
    </row>
    <row r="34" spans="1:29" s="19" customFormat="1" ht="12" x14ac:dyDescent="0.2">
      <c r="A34" s="313" t="str">
        <f>IF(MONTH(A31+3)&gt;MONTH(A31),"",A31+3)</f>
        <v/>
      </c>
      <c r="B34" s="215" t="str">
        <f t="shared" si="0"/>
        <v/>
      </c>
      <c r="C34" s="263" t="str">
        <f>IF(ISERROR(VLOOKUP(A34,Feiertage,2,FALSE)),"",(VLOOKUP(A34,Feiertage,2,FALSE)))</f>
        <v/>
      </c>
      <c r="D34" s="359"/>
      <c r="E34" s="353"/>
      <c r="F34" s="256"/>
      <c r="G34" s="310"/>
      <c r="H34" s="310"/>
      <c r="I34" s="350">
        <f>IFERROR(VLOOKUP(D34&amp;G34,tbl_Entfernung[[Verketten]:[Entfernung]],2,FALSE),"")</f>
        <v>0</v>
      </c>
      <c r="J34" s="362"/>
      <c r="K34" s="354"/>
      <c r="L34" s="310"/>
      <c r="M34" s="310"/>
      <c r="N34" s="323">
        <f>IFERROR(VLOOKUP(G34&amp;L34,tbl_Entfernung[[Verketten]:[Entfernung]],2,FALSE),"")</f>
        <v>0</v>
      </c>
      <c r="O34" s="317">
        <f>IF(S34&gt;PauseGTime,PauseGWert,IF(S34&gt;PauseKTime,PauseKWert,IF(S34&lt;=PauseKTime,0,WENN)))</f>
        <v>0</v>
      </c>
      <c r="P34" s="365"/>
      <c r="Q34" s="357">
        <f t="shared" si="10"/>
        <v>0</v>
      </c>
      <c r="R34" s="226">
        <f t="shared" si="2"/>
        <v>0</v>
      </c>
      <c r="S34" s="226">
        <f t="shared" si="6"/>
        <v>0</v>
      </c>
      <c r="T34" s="216">
        <f t="shared" si="3"/>
        <v>0</v>
      </c>
      <c r="U34" s="252">
        <f t="shared" ca="1" si="4"/>
        <v>0</v>
      </c>
      <c r="V34" s="217"/>
      <c r="W34" s="218" t="str">
        <f t="shared" si="7"/>
        <v/>
      </c>
      <c r="AB34" s="345">
        <f t="shared" si="8"/>
        <v>0</v>
      </c>
      <c r="AC34" s="345">
        <f t="shared" si="9"/>
        <v>0</v>
      </c>
    </row>
    <row r="35" spans="1:29" s="19" customFormat="1" ht="4.5" customHeight="1" x14ac:dyDescent="0.2">
      <c r="B35" s="48"/>
      <c r="C35" s="48"/>
      <c r="D35" s="48"/>
      <c r="E35" s="48"/>
      <c r="F35" s="49"/>
      <c r="G35" s="49"/>
      <c r="H35" s="49"/>
      <c r="I35" s="49"/>
      <c r="J35" s="49"/>
      <c r="K35" s="49"/>
      <c r="L35" s="50"/>
      <c r="M35" s="50"/>
      <c r="N35" s="50"/>
      <c r="O35" s="50"/>
      <c r="P35" s="50"/>
      <c r="Q35" s="49"/>
      <c r="R35" s="51"/>
      <c r="S35" s="51"/>
      <c r="T35" s="51"/>
      <c r="U35" s="1"/>
      <c r="V35" s="1"/>
      <c r="W35" s="1"/>
    </row>
    <row r="36" spans="1:29" ht="12.75" customHeight="1" x14ac:dyDescent="0.2">
      <c r="A36" s="132"/>
      <c r="B36" s="133"/>
      <c r="C36" s="133"/>
      <c r="D36" s="290"/>
      <c r="E36" s="272"/>
      <c r="F36" s="291" t="str">
        <f>"Übertrag "&amp;TEXT(DATE(YEAR(A1),MONTH(A1)-1,1),"MMMM JJJJ")&amp;":"</f>
        <v>Übertrag Mai 2025:</v>
      </c>
      <c r="G36" s="272"/>
      <c r="H36" s="272"/>
      <c r="I36" s="272"/>
      <c r="J36" s="292" t="e">
        <f ca="1">Mai!J40</f>
        <v>#REF!</v>
      </c>
      <c r="K36" s="287"/>
      <c r="P36" s="293">
        <f>COUNTIF(P4:P34,Voreinstellungen!B21)+IF(COUNTIF(P4:P34,Voreinstellungen!B22)&gt;0,1-(SUMIF(P4:P34,Voreinstellungen!B22,R4:R34)/SUMIF(P4:P34,Voreinstellungen!B22,U4:U34)),0)</f>
        <v>0</v>
      </c>
      <c r="Q36" s="325" t="str">
        <f>Voreinstellungen!A21&amp;" ("&amp;Voreinstellungen!B21&amp;"/"&amp;Voreinstellungen!B22&amp;")"</f>
        <v>Krank (K/KK)</v>
      </c>
      <c r="R36" s="326"/>
      <c r="S36" s="326"/>
      <c r="T36" s="326"/>
      <c r="U36" s="326"/>
      <c r="V36" s="326"/>
      <c r="W36" s="173">
        <f>(SUMIF(P4:P34,Voreinstellungen!B21,R4:R34)-SUMIF(P4:P34,Voreinstellungen!B21,U4:U34)+SUMIF(P4:P34,Voreinstellungen!B22,R4:R34)-SUMIF(P4:P34,Voreinstellungen!B22,U4:U34))*-1</f>
        <v>0</v>
      </c>
      <c r="Y36" s="372" t="s">
        <v>145</v>
      </c>
      <c r="Z36" s="385" t="s">
        <v>150</v>
      </c>
      <c r="AA36" s="385" t="s">
        <v>151</v>
      </c>
      <c r="AB36" s="386" t="s">
        <v>152</v>
      </c>
    </row>
    <row r="37" spans="1:29" ht="12.75" customHeight="1" x14ac:dyDescent="0.2">
      <c r="A37" s="134"/>
      <c r="B37" s="135"/>
      <c r="C37" s="135"/>
      <c r="D37" s="135"/>
      <c r="E37" s="136"/>
      <c r="F37" s="294" t="str">
        <f>"SOLL Arbeitszeit ("&amp;TEXT(A1,"MMMM")&amp;"):"</f>
        <v>SOLL Arbeitszeit (Juni):</v>
      </c>
      <c r="G37" s="136"/>
      <c r="H37" s="136"/>
      <c r="I37" s="136"/>
      <c r="J37" s="295">
        <f ca="1">SUM(R4:R34)</f>
        <v>5.8333333333333348</v>
      </c>
      <c r="K37" s="287"/>
      <c r="P37" s="296">
        <f>COUNTIF(P4:P34,Voreinstellungen!B25)+(COUNTIF(P4:P34,Voreinstellungen!B26)*Voreinstellungen!C26)</f>
        <v>0</v>
      </c>
      <c r="Q37" s="327" t="str">
        <f>Voreinstellungen!A25&amp;" ("&amp;Voreinstellungen!B25&amp;"/"&amp;Voreinstellungen!B26&amp;") aktuell noch Verfügbar: "&amp;Voreinstellungen!C38&amp;" Tag(e)"</f>
        <v>Urlaub (U/UH) aktuell noch Verfügbar: 27 Tag(e)</v>
      </c>
      <c r="R37" s="328"/>
      <c r="S37" s="328"/>
      <c r="T37" s="328"/>
      <c r="U37" s="328"/>
      <c r="V37" s="328"/>
      <c r="W37" s="167">
        <f>SUMIF(P4:P34,Voreinstellungen!B25,U4:U34)+(SUMIF(P4:P34,Voreinstellungen!B26,U4:U34)*0.5)</f>
        <v>0</v>
      </c>
      <c r="Y37" s="374">
        <f>Voreinstellungen!J45</f>
        <v>0</v>
      </c>
      <c r="Z37" s="377">
        <f t="shared" ref="Z37:Z49" si="11">SUMIFS($AB$4:$AB$34,$G$4:$G$34,$Y37)+SUMIFS($AC$4:$AC$34,$L$4:$L$34,$Y37)</f>
        <v>0</v>
      </c>
      <c r="AA37" s="378">
        <f t="shared" ref="AA37:AA49" si="12">SUMIFS($I$4:$I$34,$G$4:$G$34,$Y37)+SUMIFS($N$4:$N$34,$L$4:$L$34,$Y37)</f>
        <v>0</v>
      </c>
      <c r="AB37" s="379">
        <f>SUM(AA37*Voreinstellungen!$C$44)</f>
        <v>0</v>
      </c>
    </row>
    <row r="38" spans="1:29" ht="12.75" customHeight="1" x14ac:dyDescent="0.2">
      <c r="A38" s="137"/>
      <c r="B38" s="138"/>
      <c r="C38" s="138"/>
      <c r="D38" s="138"/>
      <c r="E38" s="136"/>
      <c r="F38" s="294" t="str">
        <f>"IST Arbeitszeit ("&amp;TEXT(A1,"MMMM")&amp;"):"</f>
        <v>IST Arbeitszeit (Juni):</v>
      </c>
      <c r="G38" s="273"/>
      <c r="H38" s="273"/>
      <c r="I38" s="273"/>
      <c r="J38" s="297">
        <f>SUM(Q4:Q34)</f>
        <v>0</v>
      </c>
      <c r="K38" s="287"/>
      <c r="P38" s="296">
        <f>COUNTIF(P4:P34,Voreinstellungen!B20)</f>
        <v>0</v>
      </c>
      <c r="Q38" s="327" t="str">
        <f>Voreinstellungen!A20&amp;" ("&amp;Voreinstellungen!B20&amp;")"</f>
        <v>Gleittag (G)</v>
      </c>
      <c r="R38" s="328"/>
      <c r="S38" s="328"/>
      <c r="T38" s="328"/>
      <c r="U38" s="328"/>
      <c r="V38" s="328"/>
      <c r="W38" s="172"/>
      <c r="Y38" s="375">
        <f>Voreinstellungen!J46</f>
        <v>0</v>
      </c>
      <c r="Z38" s="380">
        <f t="shared" si="11"/>
        <v>0</v>
      </c>
      <c r="AA38" s="380">
        <f t="shared" si="12"/>
        <v>0</v>
      </c>
      <c r="AB38" s="381">
        <f>SUM(AA38*Voreinstellungen!$C$44)</f>
        <v>0</v>
      </c>
    </row>
    <row r="39" spans="1:29" ht="12.75" customHeight="1" x14ac:dyDescent="0.2">
      <c r="A39" s="137"/>
      <c r="B39" s="138"/>
      <c r="C39" s="138"/>
      <c r="D39" s="138"/>
      <c r="E39" s="136"/>
      <c r="F39" s="136" t="s">
        <v>84</v>
      </c>
      <c r="G39" s="274"/>
      <c r="H39" s="274"/>
      <c r="I39" s="274"/>
      <c r="J39" s="298"/>
      <c r="K39" s="287"/>
      <c r="P39" s="296">
        <f>COUNTIF(P4:P34,Voreinstellungen!B23)+IF(SUMIF(P4:P34,Voreinstellungen!B24,U4:U34)&lt;&gt;0,(1-(SUMIF(P4:P34,Voreinstellungen!B24,R4:R34)/SUMIF(P4:P34,Voreinstellungen!B24,U4:U34)))*COUNTIF(P4:P34,Voreinstellungen!B24),0)</f>
        <v>0</v>
      </c>
      <c r="Q39" s="327" t="str">
        <f>Voreinstellungen!A23&amp;" ("&amp;Voreinstellungen!B23&amp;")/("&amp;Voreinstellungen!B24&amp;")"</f>
        <v>Kurzarbeit (KU)/(KA)</v>
      </c>
      <c r="R39" s="329"/>
      <c r="S39" s="329"/>
      <c r="T39" s="329"/>
      <c r="U39" s="329"/>
      <c r="V39" s="329"/>
      <c r="W39" s="166">
        <f>(SUMIF(P4:P34,Voreinstellungen!B23,R4:R34)-SUMIF(P4:P34,Voreinstellungen!B23,U4:U34)+SUMIF(P4:P34,Voreinstellungen!B24,R4:R34)-SUMIF(P4:P34,Voreinstellungen!B24,U4:U34))*-1</f>
        <v>0</v>
      </c>
      <c r="Y39" s="375">
        <f>Voreinstellungen!J48</f>
        <v>0</v>
      </c>
      <c r="Z39" s="380">
        <f t="shared" si="11"/>
        <v>0</v>
      </c>
      <c r="AA39" s="380">
        <f t="shared" si="12"/>
        <v>0</v>
      </c>
      <c r="AB39" s="381">
        <f>SUM(AA39*Voreinstellungen!$C$44)</f>
        <v>0</v>
      </c>
    </row>
    <row r="40" spans="1:29" ht="12.75" customHeight="1" x14ac:dyDescent="0.2">
      <c r="A40" s="139"/>
      <c r="B40" s="140"/>
      <c r="C40" s="140"/>
      <c r="D40" s="140"/>
      <c r="E40" s="141"/>
      <c r="F40" s="299" t="s">
        <v>85</v>
      </c>
      <c r="G40" s="275"/>
      <c r="H40" s="275"/>
      <c r="I40" s="275"/>
      <c r="J40" s="300" t="e">
        <f ca="1">ROUND(J38+J36-J39-J37,14)</f>
        <v>#REF!</v>
      </c>
      <c r="K40" s="287"/>
      <c r="P40" s="296">
        <f>COUNTIF(Q4:Q34,"&gt;0")-IF(Voreinstellungen!C28="XTRA",COUNTIF(P4:P34,Voreinstellungen!B28),0)-IF(Voreinstellungen!C29="XTRA",COUNTIF(P4:P34,Voreinstellungen!B29),0)-IF(Voreinstellungen!C30="XTRA",COUNTIF(P4:P34,Voreinstellungen!B30),0)-IF(Voreinstellungen!C31="XTRA",COUNTIF(P4:P34,Voreinstellungen!B31),0)-IF(Voreinstellungen!C32="XTRA",COUNTIF(P4:P34,Voreinstellungen!B32),0)-IF(Voreinstellungen!C33="XTRA",COUNTIF(P4:P34,Voreinstellungen!B33),0)-COUNTIF(P4:P34,"H")</f>
        <v>0</v>
      </c>
      <c r="Q40" s="327" t="s">
        <v>86</v>
      </c>
      <c r="R40" s="328"/>
      <c r="S40" s="328"/>
      <c r="T40" s="328"/>
      <c r="U40" s="328"/>
      <c r="V40" s="328"/>
      <c r="W40" s="234"/>
      <c r="Y40" s="375">
        <f>Voreinstellungen!J49</f>
        <v>0</v>
      </c>
      <c r="Z40" s="380">
        <f t="shared" si="11"/>
        <v>0</v>
      </c>
      <c r="AA40" s="380">
        <f t="shared" si="12"/>
        <v>0</v>
      </c>
      <c r="AB40" s="381">
        <f>SUM(AA40*Voreinstellungen!$C$44)</f>
        <v>0</v>
      </c>
    </row>
    <row r="41" spans="1:29" ht="12.75" customHeight="1" x14ac:dyDescent="0.2">
      <c r="P41" s="296">
        <f>COUNTIF(P4:P34,Voreinstellungen!B27)</f>
        <v>0</v>
      </c>
      <c r="Q41" s="327" t="str">
        <f>Voreinstellungen!A27</f>
        <v>Homeoffice</v>
      </c>
      <c r="R41" s="328"/>
      <c r="S41" s="328"/>
      <c r="T41" s="328"/>
      <c r="U41" s="328"/>
      <c r="V41" s="328"/>
      <c r="W41" s="234"/>
      <c r="Y41" s="375">
        <f>Voreinstellungen!J50</f>
        <v>0</v>
      </c>
      <c r="Z41" s="380">
        <f t="shared" si="11"/>
        <v>0</v>
      </c>
      <c r="AA41" s="380">
        <f t="shared" si="12"/>
        <v>0</v>
      </c>
      <c r="AB41" s="381">
        <f>SUM(AA41*Voreinstellungen!$C$44)</f>
        <v>0</v>
      </c>
    </row>
    <row r="42" spans="1:29" ht="12.75" customHeight="1" x14ac:dyDescent="0.2">
      <c r="A42" s="169"/>
      <c r="B42" s="169"/>
      <c r="C42" s="169"/>
      <c r="D42" s="277"/>
      <c r="E42" s="277"/>
      <c r="F42" s="277"/>
      <c r="G42" s="277"/>
      <c r="H42" s="277"/>
      <c r="I42" s="277"/>
      <c r="J42" s="277"/>
      <c r="P42" s="302">
        <f>IF(Voreinstellungen!C28="","",IF(Voreinstellungen!C28="REST",IFERROR(SUMIF(P4:P34,Voreinstellungen!B28,Q4:Q34)/SUMIF(P4:P34,Voreinstellungen!B28,U4:U34),0),IF(Voreinstellungen!C28="NONE",COUNTIF(P4:P34,Voreinstellungen!B28),IF(Voreinstellungen!C28="XTRA",COUNTIF(P4:P34,Voreinstellungen!B28),COUNTIF(P4:P34,Voreinstellungen!B28)*IF(Voreinstellungen!C28=0,1,Voreinstellungen!C28)))))</f>
        <v>0</v>
      </c>
      <c r="Q42" s="330" t="str">
        <f>IF(Voreinstellungen!A28="","",REPT(Voreinstellungen!A28,1) &amp; " (" &amp; REPT(Voreinstellungen!B28,1) &amp; ")")</f>
        <v>Bereitschaft (B)</v>
      </c>
      <c r="R42" s="331"/>
      <c r="S42" s="331"/>
      <c r="T42" s="331"/>
      <c r="U42" s="331"/>
      <c r="V42" s="331"/>
      <c r="W42" s="168">
        <f>IF(ISBLANK(Voreinstellungen!C28),"",IF(Voreinstellungen!C28="REST",SUMIF(P4:P34,Voreinstellungen!B28,U4:U34)-SUMIF(P4:P34,Voreinstellungen!B28,Q4:Q34),IF(ISTEXT(Voreinstellungen!C28),SUMIF(P4:P34,Voreinstellungen!B28,Q4:Q34),"")))</f>
        <v>0</v>
      </c>
      <c r="Y42" s="375">
        <f>Voreinstellungen!J51</f>
        <v>0</v>
      </c>
      <c r="Z42" s="380">
        <f t="shared" si="11"/>
        <v>0</v>
      </c>
      <c r="AA42" s="380">
        <f t="shared" si="12"/>
        <v>0</v>
      </c>
      <c r="AB42" s="381">
        <f>SUM(AA42*Voreinstellungen!$C$44)</f>
        <v>0</v>
      </c>
    </row>
    <row r="43" spans="1:29" ht="12.75" customHeight="1" x14ac:dyDescent="0.2">
      <c r="A43" s="170"/>
      <c r="B43" s="170"/>
      <c r="C43" s="170"/>
      <c r="D43" s="278"/>
      <c r="E43" s="278"/>
      <c r="F43" s="278"/>
      <c r="G43" s="278"/>
      <c r="H43" s="278"/>
      <c r="I43" s="278"/>
      <c r="J43" s="278"/>
      <c r="P43" s="302">
        <f>IF(Voreinstellungen!C29="","",IF(Voreinstellungen!C29="REST",IFERROR(SUMIF(P4:P34,Voreinstellungen!B29,Q4:Q34)/SUMIF(P4:P34,Voreinstellungen!B29,U4:U34),0),IF(Voreinstellungen!C29="NONE",COUNTIF(P4:P34,Voreinstellungen!B29),IF(Voreinstellungen!C29="XTRA",COUNTIF(P4:P34,Voreinstellungen!B29),COUNTIF(P4:P34,Voreinstellungen!B29)*IF(Voreinstellungen!C29=0,1,Voreinstellungen!C29)))))</f>
        <v>0</v>
      </c>
      <c r="Q43" s="330" t="str">
        <f>IF(Voreinstellungen!A29="","",REPT(Voreinstellungen!A29,1) &amp; " (" &amp; REPT(Voreinstellungen!B29,1) &amp; ")")</f>
        <v>Eigener Code 1 (E1)</v>
      </c>
      <c r="R43" s="331"/>
      <c r="S43" s="331"/>
      <c r="T43" s="331"/>
      <c r="U43" s="331"/>
      <c r="V43" s="331"/>
      <c r="W43" s="168">
        <f>IF(ISBLANK(Voreinstellungen!C29),"",IF(Voreinstellungen!C29="REST",SUMIF(P4:P34,Voreinstellungen!B29,U4:U34)-SUMIF(P4:P34,Voreinstellungen!B29,Q4:Q34),IF(ISTEXT(Voreinstellungen!C29),SUMIF(P4:P34,Voreinstellungen!B29,Q4:Q34),"")))</f>
        <v>0</v>
      </c>
      <c r="Y43" s="375">
        <f>Voreinstellungen!J52</f>
        <v>0</v>
      </c>
      <c r="Z43" s="380">
        <f t="shared" si="11"/>
        <v>0</v>
      </c>
      <c r="AA43" s="380">
        <f t="shared" si="12"/>
        <v>0</v>
      </c>
      <c r="AB43" s="381">
        <f>SUM(AA43*Voreinstellungen!$C$44)</f>
        <v>0</v>
      </c>
    </row>
    <row r="44" spans="1:29" ht="12.75" customHeight="1" x14ac:dyDescent="0.2">
      <c r="A44" s="169" t="s">
        <v>46</v>
      </c>
      <c r="B44" s="169"/>
      <c r="C44" s="169"/>
      <c r="D44" s="277"/>
      <c r="E44" s="277"/>
      <c r="F44" s="277"/>
      <c r="G44" s="277"/>
      <c r="H44" s="277"/>
      <c r="I44" s="277"/>
      <c r="J44" s="277" t="s">
        <v>87</v>
      </c>
      <c r="P44" s="302">
        <f>IF(Voreinstellungen!C30="","",IF(Voreinstellungen!C30="REST",IFERROR(SUMIF(P4:P34,Voreinstellungen!B30,Q4:Q34)/SUMIF(P4:P34,Voreinstellungen!B30,U4:U34),0),IF(Voreinstellungen!C30="NONE",COUNTIF(P4:P34,Voreinstellungen!B30),IF(Voreinstellungen!C30="XTRA",COUNTIF(P4:P34,Voreinstellungen!B30),COUNTIF(P4:P34,Voreinstellungen!B30)*IF(Voreinstellungen!C30=0,1,Voreinstellungen!C30)))))</f>
        <v>0</v>
      </c>
      <c r="Q44" s="330" t="str">
        <f>IF(Voreinstellungen!A30="","",REPT(Voreinstellungen!A30,1) &amp; " (" &amp; REPT(Voreinstellungen!B30,1) &amp; ")")</f>
        <v>Eigener Code 2 (E2)</v>
      </c>
      <c r="R44" s="331"/>
      <c r="S44" s="331"/>
      <c r="T44" s="331"/>
      <c r="U44" s="331"/>
      <c r="V44" s="331"/>
      <c r="W44" s="168" t="str">
        <f>IF(ISBLANK(Voreinstellungen!C30),"",IF(Voreinstellungen!C30="REST",SUMIF(P4:P34,Voreinstellungen!B30,U4:U34)-SUMIF(P4:P34,Voreinstellungen!B30,Q4:Q34),IF(ISTEXT(Voreinstellungen!C30),SUMIF(P4:P34,Voreinstellungen!B30,Q4:Q34),"")))</f>
        <v/>
      </c>
      <c r="Y44" s="375">
        <f>Voreinstellungen!J53</f>
        <v>0</v>
      </c>
      <c r="Z44" s="380">
        <f t="shared" si="11"/>
        <v>0</v>
      </c>
      <c r="AA44" s="380">
        <f t="shared" si="12"/>
        <v>0</v>
      </c>
      <c r="AB44" s="381">
        <f>SUM(AA44*Voreinstellungen!$C$44)</f>
        <v>0</v>
      </c>
    </row>
    <row r="45" spans="1:29" ht="12.75" customHeight="1" x14ac:dyDescent="0.2">
      <c r="A45" s="169"/>
      <c r="B45" s="169"/>
      <c r="C45" s="169"/>
      <c r="D45" s="277"/>
      <c r="E45" s="277"/>
      <c r="F45" s="277"/>
      <c r="G45" s="277"/>
      <c r="H45" s="277"/>
      <c r="I45" s="277"/>
      <c r="J45" s="277"/>
      <c r="P45" s="302">
        <f>IF(Voreinstellungen!C31="","",IF(Voreinstellungen!C31="REST",IFERROR(SUMIF(P4:P34,Voreinstellungen!B31,Q4:Q34)/SUMIF(P4:P34,Voreinstellungen!B31,U4:U34),0),IF(Voreinstellungen!C31="NONE",COUNTIF(P4:P34,Voreinstellungen!B31),IF(Voreinstellungen!C31="XTRA",COUNTIF(P4:P34,Voreinstellungen!B31),COUNTIF(P4:P34,Voreinstellungen!B31)*IF(Voreinstellungen!C31=0,1,Voreinstellungen!C31)))))</f>
        <v>0</v>
      </c>
      <c r="Q45" s="330" t="str">
        <f>IF(Voreinstellungen!A31="","",REPT(Voreinstellungen!A31,1) &amp; " (" &amp; REPT(Voreinstellungen!B31,1) &amp; ")")</f>
        <v>Eigener Code 3 (E3)</v>
      </c>
      <c r="R45" s="331"/>
      <c r="S45" s="331"/>
      <c r="T45" s="331"/>
      <c r="U45" s="331"/>
      <c r="V45" s="331"/>
      <c r="W45" s="168" t="str">
        <f>IF(ISBLANK(Voreinstellungen!C31),"",IF(Voreinstellungen!C31="REST",SUMIF(P4:P34,Voreinstellungen!B31,U4:U34)-SUMIF(P4:P34,Voreinstellungen!B31,Q4:Q34),IF(ISTEXT(Voreinstellungen!C31),SUMIF(P4:P34,Voreinstellungen!B31,Q4:Q34),"")))</f>
        <v/>
      </c>
      <c r="Y45" s="375">
        <f>Voreinstellungen!J54</f>
        <v>0</v>
      </c>
      <c r="Z45" s="380">
        <f t="shared" si="11"/>
        <v>0</v>
      </c>
      <c r="AA45" s="380">
        <f t="shared" si="12"/>
        <v>0</v>
      </c>
      <c r="AB45" s="381">
        <f>SUM(AA45*Voreinstellungen!$C$44)</f>
        <v>0</v>
      </c>
    </row>
    <row r="46" spans="1:29" ht="12.75" customHeight="1" x14ac:dyDescent="0.2">
      <c r="A46" s="170"/>
      <c r="B46" s="170"/>
      <c r="C46" s="170"/>
      <c r="D46" s="278"/>
      <c r="E46" s="278"/>
      <c r="F46" s="278"/>
      <c r="G46" s="278"/>
      <c r="H46" s="278"/>
      <c r="I46" s="278"/>
      <c r="J46" s="278"/>
      <c r="P46" s="302">
        <f>IF(Voreinstellungen!C32="","",IF(Voreinstellungen!C32="REST",IFERROR(SUMIF(P4:P34,Voreinstellungen!B32,Q4:Q34)/SUMIF(P4:P34,Voreinstellungen!B32,U4:U34),0),IF(Voreinstellungen!C32="NONE",COUNTIF(P4:P34,Voreinstellungen!B32),IF(Voreinstellungen!C32="XTRA",COUNTIF(P4:P34,Voreinstellungen!B32),COUNTIF(P4:P34,Voreinstellungen!B32)*IF(Voreinstellungen!C32=0,1,Voreinstellungen!C32)))))</f>
        <v>0</v>
      </c>
      <c r="Q46" s="330" t="str">
        <f>IF(Voreinstellungen!A32="","",REPT(Voreinstellungen!A32,1) &amp; " (" &amp; REPT(Voreinstellungen!B32,1) &amp; ")")</f>
        <v>Eigener Code 4 (E4)</v>
      </c>
      <c r="R46" s="331"/>
      <c r="S46" s="331"/>
      <c r="T46" s="331"/>
      <c r="U46" s="331"/>
      <c r="V46" s="331"/>
      <c r="W46" s="168" t="str">
        <f>IF(ISBLANK(Voreinstellungen!C32),"",IF(Voreinstellungen!C32="REST",SUMIF(P4:P34,Voreinstellungen!B32,U4:U34)-SUMIF(P4:P34,Voreinstellungen!B32,Q4:Q34),IF(ISTEXT(Voreinstellungen!C32),SUMIF(P4:P34,Voreinstellungen!B32,Q4:Q34),"")))</f>
        <v/>
      </c>
      <c r="Y46" s="375">
        <f>Voreinstellungen!J55</f>
        <v>0</v>
      </c>
      <c r="Z46" s="380">
        <f t="shared" si="11"/>
        <v>0</v>
      </c>
      <c r="AA46" s="380">
        <f t="shared" si="12"/>
        <v>0</v>
      </c>
      <c r="AB46" s="381">
        <f>SUM(AA46*Voreinstellungen!$C$44)</f>
        <v>0</v>
      </c>
    </row>
    <row r="47" spans="1:29" ht="12.75" customHeight="1" x14ac:dyDescent="0.2">
      <c r="A47" s="169" t="s">
        <v>46</v>
      </c>
      <c r="B47" s="169"/>
      <c r="C47" s="169"/>
      <c r="D47" s="277"/>
      <c r="E47" s="277"/>
      <c r="F47" s="277"/>
      <c r="G47" s="277"/>
      <c r="H47" s="277"/>
      <c r="I47" s="277"/>
      <c r="J47" s="277" t="s">
        <v>88</v>
      </c>
      <c r="P47" s="303">
        <f>IF(Voreinstellungen!C33="","",IF(Voreinstellungen!C33="REST",IFERROR(SUMIF(P4:P34,Voreinstellungen!B33,Q4:Q34)/SUMIF(P4:P34,Voreinstellungen!B33,U4:U34),0),IF(Voreinstellungen!C33="NONE",COUNTIF(P4:P34,Voreinstellungen!B33),IF(Voreinstellungen!C33="XTRA",COUNTIF(P4:P34,Voreinstellungen!B33),COUNTIF(P4:P34,Voreinstellungen!B33)*IF(Voreinstellungen!C33=0,1,Voreinstellungen!C33)))))</f>
        <v>0</v>
      </c>
      <c r="Q47" s="332" t="str">
        <f>IF(Voreinstellungen!A33="","",REPT(Voreinstellungen!A33,1) &amp; " (" &amp; REPT(Voreinstellungen!B33,1) &amp; ")")</f>
        <v>Eigener Code 5 (E5)</v>
      </c>
      <c r="R47" s="333"/>
      <c r="S47" s="333"/>
      <c r="T47" s="333"/>
      <c r="U47" s="333"/>
      <c r="V47" s="333"/>
      <c r="W47" s="319" t="str">
        <f>IF(ISBLANK(Voreinstellungen!C33),"",IF(Voreinstellungen!C33="REST",SUMIF(P4:P34,Voreinstellungen!B33,U4:U34)-SUMIF(P4:P34,Voreinstellungen!B33,Q4:Q34),IF(ISTEXT(Voreinstellungen!C33),SUMIF(P4:P34,Voreinstellungen!B33,Q4:Q34),"")))</f>
        <v/>
      </c>
      <c r="Y47" s="375">
        <f>Voreinstellungen!J56</f>
        <v>0</v>
      </c>
      <c r="Z47" s="380">
        <f t="shared" si="11"/>
        <v>0</v>
      </c>
      <c r="AA47" s="380">
        <f t="shared" si="12"/>
        <v>0</v>
      </c>
      <c r="AB47" s="381">
        <f>SUM(AA47*Voreinstellungen!$C$44)</f>
        <v>0</v>
      </c>
    </row>
    <row r="48" spans="1:29" x14ac:dyDescent="0.2">
      <c r="P48" s="334"/>
      <c r="R48" s="335"/>
      <c r="S48" s="335"/>
      <c r="T48" s="335"/>
      <c r="U48" s="335"/>
      <c r="V48" s="336" t="s">
        <v>148</v>
      </c>
      <c r="W48" s="337">
        <f>SUM(I7:I34,N7:N34)</f>
        <v>0</v>
      </c>
      <c r="X48" s="338"/>
      <c r="Y48" s="375">
        <f>Voreinstellungen!J57</f>
        <v>0</v>
      </c>
      <c r="Z48" s="380">
        <f t="shared" si="11"/>
        <v>0</v>
      </c>
      <c r="AA48" s="380">
        <f t="shared" si="12"/>
        <v>0</v>
      </c>
      <c r="AB48" s="381">
        <f>SUM(AA48*Voreinstellungen!$C$44)</f>
        <v>0</v>
      </c>
    </row>
    <row r="49" spans="1:30" x14ac:dyDescent="0.2">
      <c r="Q49" s="339"/>
      <c r="R49" s="340"/>
      <c r="S49" s="340"/>
      <c r="T49" s="340"/>
      <c r="U49" s="339"/>
      <c r="V49" s="339"/>
      <c r="Y49" s="376">
        <f>Voreinstellungen!J58</f>
        <v>0</v>
      </c>
      <c r="Z49" s="382">
        <f t="shared" si="11"/>
        <v>0</v>
      </c>
      <c r="AA49" s="382">
        <f t="shared" si="12"/>
        <v>0</v>
      </c>
      <c r="AB49" s="383">
        <f>SUM(AA49*Voreinstellungen!$C$44)</f>
        <v>0</v>
      </c>
    </row>
    <row r="51" spans="1:30" s="373" customFormat="1" x14ac:dyDescent="0.2">
      <c r="A51" s="45"/>
      <c r="B51" s="45"/>
      <c r="C51" s="45"/>
      <c r="D51" s="276"/>
      <c r="E51" s="301"/>
      <c r="F51" s="276"/>
      <c r="G51" s="276"/>
      <c r="H51" s="276"/>
      <c r="I51" s="276"/>
      <c r="J51" s="276"/>
      <c r="K51" s="276"/>
      <c r="L51" s="287"/>
      <c r="M51" s="287"/>
      <c r="N51" s="287"/>
      <c r="O51" s="287"/>
      <c r="P51" s="287"/>
      <c r="Q51" s="45"/>
      <c r="R51" s="46"/>
      <c r="S51" s="46"/>
      <c r="T51" s="46"/>
      <c r="U51" s="45"/>
      <c r="V51" s="45"/>
      <c r="W51" s="45"/>
      <c r="X51" s="45"/>
      <c r="Y51" s="367"/>
      <c r="Z51" s="368"/>
      <c r="AA51" s="368"/>
      <c r="AB51" s="369"/>
      <c r="AC51" s="45"/>
      <c r="AD51" s="45"/>
    </row>
    <row r="52" spans="1:30" x14ac:dyDescent="0.2">
      <c r="Y52" s="341" t="s">
        <v>153</v>
      </c>
      <c r="Z52" s="346">
        <f>SUM(Z37:Z49)</f>
        <v>0</v>
      </c>
      <c r="AA52" s="342">
        <f>SUM(AA37:AA49)</f>
        <v>0</v>
      </c>
      <c r="AB52" s="343">
        <f>SUM(AB37:AB49)</f>
        <v>0</v>
      </c>
    </row>
  </sheetData>
  <mergeCells count="3">
    <mergeCell ref="A1:C2"/>
    <mergeCell ref="V1:W1"/>
    <mergeCell ref="V2:W2"/>
  </mergeCells>
  <conditionalFormatting sqref="P36:P47">
    <cfRule type="expression" dxfId="308" priority="1">
      <formula>MOD(P36,1)=0</formula>
    </cfRule>
  </conditionalFormatting>
  <conditionalFormatting sqref="Q4:W34 A4:O34">
    <cfRule type="expression" dxfId="307" priority="16">
      <formula>WEEKDAY($A4,2)=6</formula>
    </cfRule>
    <cfRule type="expression" dxfId="306" priority="17">
      <formula>OR(WEEKDAY($A4,2)=7,$C4&lt;&gt;"")</formula>
    </cfRule>
  </conditionalFormatting>
  <conditionalFormatting sqref="E4:E34">
    <cfRule type="expression" dxfId="305" priority="7">
      <formula>ISTEXT($E4)</formula>
    </cfRule>
  </conditionalFormatting>
  <conditionalFormatting sqref="F4:I34">
    <cfRule type="expression" dxfId="304" priority="6">
      <formula>ISTEXT($F4)</formula>
    </cfRule>
  </conditionalFormatting>
  <conditionalFormatting sqref="J4:J34">
    <cfRule type="expression" dxfId="303" priority="5">
      <formula>ISTEXT($J4)</formula>
    </cfRule>
  </conditionalFormatting>
  <conditionalFormatting sqref="K4:K34">
    <cfRule type="expression" dxfId="302" priority="4">
      <formula>ISTEXT($K4)</formula>
    </cfRule>
  </conditionalFormatting>
  <conditionalFormatting sqref="M5:O34">
    <cfRule type="expression" dxfId="301" priority="3">
      <formula>ISTEXT($F5)</formula>
    </cfRule>
  </conditionalFormatting>
  <conditionalFormatting sqref="P4:P34">
    <cfRule type="expression" dxfId="300" priority="26">
      <formula>WEEKDAY($A4,2)=6</formula>
    </cfRule>
    <cfRule type="expression" dxfId="299" priority="27">
      <formula>OR(WEEKDAY($A4,2)=7,$C4&lt;&gt;"")</formula>
    </cfRule>
  </conditionalFormatting>
  <conditionalFormatting sqref="N4:N34">
    <cfRule type="expression" dxfId="298" priority="2">
      <formula>ISTEXT($F4)</formula>
    </cfRule>
  </conditionalFormatting>
  <dataValidations count="3">
    <dataValidation type="list" showErrorMessage="1" sqref="P4:P34" xr:uid="{00000000-0002-0000-0700-000000000000}">
      <formula1>CodeList</formula1>
    </dataValidation>
    <dataValidation type="list" allowBlank="1" showInputMessage="1" showErrorMessage="1" sqref="D4:D34 G4:G34 L4:L34" xr:uid="{F17F990F-D4A5-4693-A510-B599675C5A96}">
      <formula1>Einsatzorte</formula1>
    </dataValidation>
    <dataValidation type="list" allowBlank="1" showInputMessage="1" showErrorMessage="1" sqref="H4:H34 M4:M34" xr:uid="{D614BD6D-272F-4024-8AF4-055D7138604B}">
      <formula1>Tätigkeiten</formula1>
    </dataValidation>
  </dataValidations>
  <printOptions horizontalCentered="1" verticalCentered="1"/>
  <pageMargins left="0.23622047244094491" right="0.23622047244094491" top="0.23622047244094491" bottom="0.23622047244094491" header="0.11811023622047245" footer="0.11811023622047245"/>
  <pageSetup paperSize="9" scale="95" firstPageNumber="0" orientation="landscape" r:id="rId1"/>
  <headerFooter alignWithMargins="0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8" id="{1819545A-646B-44AF-9D31-F5AE1865F337}">
            <xm:f>$P4=Voreinstellungen!$B$25</xm:f>
            <x14:dxf>
              <fill>
                <patternFill>
                  <bgColor rgb="FF0070C0"/>
                </patternFill>
              </fill>
            </x14:dxf>
          </x14:cfRule>
          <x14:cfRule type="expression" priority="9" id="{01950CC2-42E9-47DC-8E97-0384A531738E}">
            <xm:f>$P4=Voreinstellungen!$B$26</xm:f>
            <x14:dxf>
              <fill>
                <patternFill>
                  <bgColor rgb="FF00B0F0"/>
                </patternFill>
              </fill>
            </x14:dxf>
          </x14:cfRule>
          <x14:cfRule type="expression" priority="10" id="{0A0B3DD3-1D52-444C-9D0A-1590B0A9C40E}">
            <xm:f>$P4=Voreinstellungen!$B$20</xm:f>
            <x14:dxf>
              <fill>
                <patternFill>
                  <bgColor theme="4" tint="0.59996337778862885"/>
                </patternFill>
              </fill>
            </x14:dxf>
          </x14:cfRule>
          <x14:cfRule type="expression" priority="11" id="{42BD08C6-5D07-495A-8845-0DCF8DBF4A7E}">
            <xm:f>$P4=Voreinstellungen!$B$21</xm:f>
            <x14:dxf>
              <fill>
                <patternFill>
                  <bgColor indexed="13"/>
                </patternFill>
              </fill>
            </x14:dxf>
          </x14:cfRule>
          <x14:cfRule type="expression" priority="12" id="{062FDABF-F404-45A1-B453-31FC26580E34}">
            <xm:f>$P4=Voreinstellungen!$B$22</xm:f>
            <x14:dxf>
              <fill>
                <patternFill>
                  <bgColor rgb="FFFFFF66"/>
                </patternFill>
              </fill>
            </x14:dxf>
          </x14:cfRule>
          <x14:cfRule type="expression" priority="13" id="{5515AC19-CDC0-4A84-A0A7-21B6DDE016DC}">
            <xm:f>$P4=Voreinstellungen!$B$31</xm:f>
            <x14:dxf>
              <fill>
                <patternFill>
                  <bgColor theme="3" tint="0.59996337778862885"/>
                </patternFill>
              </fill>
            </x14:dxf>
          </x14:cfRule>
          <x14:cfRule type="expression" priority="14" id="{39F9E921-48CE-4205-9224-21473051BE07}">
            <xm:f>$P4=Voreinstellungen!$B$32</xm:f>
            <x14:dxf>
              <fill>
                <patternFill>
                  <bgColor rgb="FF92D050"/>
                </patternFill>
              </fill>
            </x14:dxf>
          </x14:cfRule>
          <x14:cfRule type="expression" priority="15" id="{BAD69BF9-6DDE-449E-B14F-77B9E67B853A}">
            <xm:f>$P4=Voreinstellungen!$B$33</xm:f>
            <x14:dxf>
              <fill>
                <patternFill>
                  <bgColor theme="9" tint="0.39994506668294322"/>
                </patternFill>
              </fill>
            </x14:dxf>
          </x14:cfRule>
          <xm:sqref>Q4:W34 A4:O34</xm:sqref>
        </x14:conditionalFormatting>
        <x14:conditionalFormatting xmlns:xm="http://schemas.microsoft.com/office/excel/2006/main">
          <x14:cfRule type="expression" priority="18" id="{2E7E1BE4-D7EE-4D67-90D6-3D527CB7BB22}">
            <xm:f>$L4=Voreinstellungen!$B$25</xm:f>
            <x14:dxf>
              <fill>
                <patternFill>
                  <bgColor rgb="FF0070C0"/>
                </patternFill>
              </fill>
            </x14:dxf>
          </x14:cfRule>
          <x14:cfRule type="expression" priority="19" id="{8C54B7D2-C599-40CE-9759-4AD5454EA73B}">
            <xm:f>$L4=Voreinstellungen!$B$26</xm:f>
            <x14:dxf>
              <fill>
                <patternFill>
                  <bgColor rgb="FF00B0F0"/>
                </patternFill>
              </fill>
            </x14:dxf>
          </x14:cfRule>
          <x14:cfRule type="expression" priority="20" id="{364431EE-2D3D-4F3C-A68B-A72D362AF6B5}">
            <xm:f>$L4=Voreinstellungen!$B$20</xm:f>
            <x14:dxf>
              <fill>
                <patternFill>
                  <bgColor theme="4" tint="0.59996337778862885"/>
                </patternFill>
              </fill>
            </x14:dxf>
          </x14:cfRule>
          <x14:cfRule type="expression" priority="21" id="{7EE66399-7862-49C5-85B2-41D6EE69D89D}">
            <xm:f>$L4=Voreinstellungen!$B$21</xm:f>
            <x14:dxf>
              <fill>
                <patternFill>
                  <bgColor indexed="13"/>
                </patternFill>
              </fill>
            </x14:dxf>
          </x14:cfRule>
          <x14:cfRule type="expression" priority="22" id="{6ABABA6A-D8DF-45E3-B990-679BCBF3B793}">
            <xm:f>$L4=Voreinstellungen!$B$22</xm:f>
            <x14:dxf>
              <fill>
                <patternFill>
                  <bgColor rgb="FFFFFF66"/>
                </patternFill>
              </fill>
            </x14:dxf>
          </x14:cfRule>
          <x14:cfRule type="expression" priority="23" id="{99BDDF0A-6FBC-4919-A979-6B4771E26613}">
            <xm:f>$L4=Voreinstellungen!$B$31</xm:f>
            <x14:dxf>
              <fill>
                <patternFill>
                  <bgColor theme="3" tint="0.59996337778862885"/>
                </patternFill>
              </fill>
            </x14:dxf>
          </x14:cfRule>
          <x14:cfRule type="expression" priority="24" id="{A2D9FB46-701C-4038-A711-73FCC53FF42C}">
            <xm:f>$L4=Voreinstellungen!$B$32</xm:f>
            <x14:dxf>
              <fill>
                <patternFill>
                  <bgColor rgb="FF92D050"/>
                </patternFill>
              </fill>
            </x14:dxf>
          </x14:cfRule>
          <x14:cfRule type="expression" priority="25" id="{9DD11F6B-4BC7-42DD-A8ED-7666274CC855}">
            <xm:f>$L4=Voreinstellungen!$B$33</xm:f>
            <x14:dxf>
              <fill>
                <patternFill>
                  <bgColor theme="9" tint="0.39994506668294322"/>
                </patternFill>
              </fill>
            </x14:dxf>
          </x14:cfRule>
          <xm:sqref>P4:P34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08">
    <tabColor theme="2" tint="-0.249977111117893"/>
    <pageSetUpPr fitToPage="1"/>
  </sheetPr>
  <dimension ref="A1:AD52"/>
  <sheetViews>
    <sheetView showGridLines="0" showZeros="0" zoomScale="90" zoomScaleNormal="90" workbookViewId="0">
      <pane ySplit="3" topLeftCell="A4" activePane="bottomLeft" state="frozen"/>
      <selection activeCell="T6" sqref="T6"/>
      <selection pane="bottomLeft" activeCell="T6" sqref="T6"/>
    </sheetView>
  </sheetViews>
  <sheetFormatPr baseColWidth="10" defaultColWidth="11.5703125" defaultRowHeight="12.75" x14ac:dyDescent="0.2"/>
  <cols>
    <col min="1" max="1" width="9.28515625" style="45" customWidth="1"/>
    <col min="2" max="2" width="5.7109375" style="45" customWidth="1"/>
    <col min="3" max="3" width="18.7109375" style="45" customWidth="1"/>
    <col min="4" max="4" width="11.140625" style="276" bestFit="1" customWidth="1"/>
    <col min="5" max="5" width="7.7109375" style="301" customWidth="1"/>
    <col min="6" max="6" width="7.7109375" style="276" customWidth="1"/>
    <col min="7" max="8" width="12.7109375" style="276" customWidth="1"/>
    <col min="9" max="9" width="4.7109375" style="276" customWidth="1"/>
    <col min="10" max="11" width="7.7109375" style="276" customWidth="1"/>
    <col min="12" max="13" width="12.7109375" style="287" customWidth="1"/>
    <col min="14" max="14" width="4.7109375" style="287" customWidth="1"/>
    <col min="15" max="15" width="6.42578125" style="287" customWidth="1"/>
    <col min="16" max="16" width="3.7109375" style="287" customWidth="1"/>
    <col min="17" max="17" width="7.7109375" style="45" customWidth="1"/>
    <col min="18" max="20" width="7.7109375" style="46" customWidth="1"/>
    <col min="21" max="21" width="4.28515625" style="45" bestFit="1" customWidth="1"/>
    <col min="22" max="22" width="20.7109375" style="45" customWidth="1"/>
    <col min="23" max="23" width="7.7109375" style="45" customWidth="1"/>
    <col min="24" max="24" width="0.7109375" style="45" customWidth="1"/>
    <col min="25" max="25" width="14.7109375" style="45" customWidth="1"/>
    <col min="26" max="27" width="11.5703125" style="45"/>
    <col min="28" max="28" width="13.7109375" style="45" bestFit="1" customWidth="1"/>
    <col min="29" max="29" width="0.7109375" style="45" customWidth="1"/>
    <col min="30" max="16384" width="11.5703125" style="45"/>
  </cols>
  <sheetData>
    <row r="1" spans="1:29" ht="15" customHeight="1" x14ac:dyDescent="0.2">
      <c r="A1" s="678">
        <f>DATE(Jahr,7,1)</f>
        <v>44377</v>
      </c>
      <c r="B1" s="679"/>
      <c r="C1" s="679"/>
      <c r="D1" s="370"/>
      <c r="E1" s="370"/>
      <c r="F1" s="370"/>
      <c r="G1" s="370"/>
      <c r="H1" s="370"/>
      <c r="I1" s="370"/>
      <c r="J1" s="285"/>
      <c r="K1" s="285"/>
      <c r="L1" s="285"/>
      <c r="M1" s="285" t="str">
        <f>"Nettoarbeitstage: "&amp;NETWORKDAYS(A1,EOMONTH(A1,0),Feiertage!A4:A39)</f>
        <v>Nettoarbeitstage: 23</v>
      </c>
      <c r="N1" s="285"/>
      <c r="O1" s="285"/>
      <c r="P1" s="288"/>
      <c r="Q1" s="260"/>
      <c r="R1" s="260"/>
      <c r="S1" s="260"/>
      <c r="T1" s="260"/>
      <c r="U1" s="260"/>
      <c r="V1" s="684" t="str">
        <f>Voreinstellungen!C3</f>
        <v>Vivien Günther</v>
      </c>
      <c r="W1" s="685"/>
    </row>
    <row r="2" spans="1:29" ht="15" customHeight="1" x14ac:dyDescent="0.2">
      <c r="A2" s="680"/>
      <c r="B2" s="681"/>
      <c r="C2" s="681"/>
      <c r="D2" s="371"/>
      <c r="E2" s="371"/>
      <c r="F2" s="371"/>
      <c r="G2" s="371"/>
      <c r="H2" s="371"/>
      <c r="I2" s="371"/>
      <c r="J2" s="371"/>
      <c r="K2" s="371"/>
      <c r="L2" s="286"/>
      <c r="M2" s="286"/>
      <c r="N2" s="286"/>
      <c r="O2" s="286"/>
      <c r="P2" s="289"/>
      <c r="Q2" s="259"/>
      <c r="R2" s="259"/>
      <c r="S2" s="259"/>
      <c r="T2" s="259"/>
      <c r="U2" s="259"/>
      <c r="V2" s="686" t="str">
        <f>IF(ISBLANK(Voreinstellungen!C4),"","Personal-Nr.: "&amp;Voreinstellungen!C4)</f>
        <v>Personal-Nr.: 60161</v>
      </c>
      <c r="W2" s="687"/>
    </row>
    <row r="3" spans="1:29" s="47" customFormat="1" ht="36" customHeight="1" x14ac:dyDescent="0.2">
      <c r="A3" s="204" t="s">
        <v>73</v>
      </c>
      <c r="B3" s="205"/>
      <c r="C3" s="204" t="s">
        <v>26</v>
      </c>
      <c r="D3" s="284" t="s">
        <v>143</v>
      </c>
      <c r="E3" s="282" t="s">
        <v>74</v>
      </c>
      <c r="F3" s="253" t="s">
        <v>75</v>
      </c>
      <c r="G3" s="253" t="s">
        <v>141</v>
      </c>
      <c r="H3" s="110" t="s">
        <v>134</v>
      </c>
      <c r="I3" s="257" t="s">
        <v>135</v>
      </c>
      <c r="J3" s="282" t="s">
        <v>76</v>
      </c>
      <c r="K3" s="206" t="s">
        <v>77</v>
      </c>
      <c r="L3" s="258" t="s">
        <v>142</v>
      </c>
      <c r="M3" s="279" t="s">
        <v>134</v>
      </c>
      <c r="N3" s="257" t="s">
        <v>135</v>
      </c>
      <c r="O3" s="282" t="s">
        <v>144</v>
      </c>
      <c r="P3" s="283" t="s">
        <v>24</v>
      </c>
      <c r="Q3" s="171" t="s">
        <v>78</v>
      </c>
      <c r="R3" s="171" t="s">
        <v>79</v>
      </c>
      <c r="S3" s="171" t="s">
        <v>147</v>
      </c>
      <c r="T3" s="207" t="s">
        <v>80</v>
      </c>
      <c r="U3" s="208" t="s">
        <v>81</v>
      </c>
      <c r="V3" s="209" t="s">
        <v>82</v>
      </c>
      <c r="W3" s="171" t="s">
        <v>83</v>
      </c>
      <c r="X3" s="306">
        <f>PauseGWert</f>
        <v>3.125E-2</v>
      </c>
    </row>
    <row r="4" spans="1:29" s="19" customFormat="1" ht="12" x14ac:dyDescent="0.2">
      <c r="A4" s="311">
        <f>A1</f>
        <v>44377</v>
      </c>
      <c r="B4" s="210">
        <f t="shared" ref="B4:B34" si="0">A4</f>
        <v>44377</v>
      </c>
      <c r="C4" s="261" t="str">
        <f t="shared" ref="C4:C31" si="1">IF(ISERROR(VLOOKUP(B4,Feiertage,2,FALSE)),"",(VLOOKUP(B4,Feiertage,2,FALSE)))</f>
        <v/>
      </c>
      <c r="D4" s="366"/>
      <c r="E4" s="351"/>
      <c r="F4" s="254"/>
      <c r="G4" s="307"/>
      <c r="H4" s="318"/>
      <c r="I4" s="347">
        <f>IFERROR(VLOOKUP(D4&amp;G4,tbl_Entfernung[[Verketten]:[Entfernung]],2,FALSE),"")</f>
        <v>0</v>
      </c>
      <c r="J4" s="360"/>
      <c r="K4" s="351"/>
      <c r="L4" s="307"/>
      <c r="M4" s="314"/>
      <c r="N4" s="320">
        <f>IFERROR(VLOOKUP(G4&amp;L4,tbl_Entfernung[[Verketten]:[Entfernung]],2,FALSE),"")</f>
        <v>0</v>
      </c>
      <c r="O4" s="315">
        <f>IF(S4&gt;PauseGTime,PauseGWert,IF(S4&gt;PauseKTime,PauseKWert,IF(S4&lt;=PauseKTime,0,WENN)))</f>
        <v>0</v>
      </c>
      <c r="P4" s="363"/>
      <c r="Q4" s="355">
        <f t="shared" ref="Q4:Q34" si="2">IF(A4="",0,IF(IF(E4&lt;F4,F4-E4,IF(F4="",0,F4-E4+1))+IF(J4&lt;K4,K4-J4,IF(K4="",0,K4-J4+1))-O4&gt;0,IF(E4&lt;F4,F4-E4,IF(F4="",0,F4-E4+1))+IF(J4&lt;K4,K4-J4,IF(K4="",0,K4-J4+1))-O4,0))</f>
        <v>0</v>
      </c>
      <c r="R4" s="224">
        <f t="shared" ref="R4:R34" ca="1" si="3">IF(AND(C4&lt;&gt;"",P4=""),IF(ISERROR(VLOOKUP(B4,Feiertage,2,FALSE)),0,VLOOKUP(B4,Feiertage,3,FALSE)*U4),IF(A4="",0,IF(P4&lt;&gt;"",IF(UPPER(P4)=VLOOKUP(UPPER(P4),Code,1,FALSE),IF(OR(VLOOKUP(P4,Code,2,FALSE)="NONE",VLOOKUP(P4,Code,2,FALSE)="XTRA",VLOOKUP(P4,Code,2,FALSE)="REST"),Q4,IF(ISERROR(VLOOKUP(B4,Feiertage,2,FALSE)),VLOOKUP(P4,Code,2,FALSE)*U4,IF(VLOOKUP(B4,Feiertage,3,FALSE)=0.5,IF(OR(UPPER(P4)="G",UPPER(P4)="H"),VLOOKUP(B4,Feiertage,3,FALSE)*VLOOKUP(P4,Code,2,FALSE)*U4,0),VLOOKUP(B4,Feiertage,3,FALSE)*VLOOKUP(P4,Code,2,FALSE)*U4))),U4),U4)))</f>
        <v>0.29166666666666669</v>
      </c>
      <c r="S4" s="224">
        <f>IF(A4="",0,IF(IF(E4&lt;F4,F4-E4,IF(F4="",0,F4-E4+1))+IF(J4&lt;K4,K4-J4,IF(K4="",0,K4-J4+1))&gt;0,IF(E4&lt;F4,F4-E4,IF(F4="",0,F4-E4+1))+IF(J4&lt;K4,K4-J4,IF(K4="",0,K4-J4+1)),0))</f>
        <v>0</v>
      </c>
      <c r="T4" s="211">
        <f t="shared" ref="T4:T34" ca="1" si="4">IF(A4="",0,ROUND(Q4-R4,14))</f>
        <v>-0.29166666666667002</v>
      </c>
      <c r="U4" s="250">
        <f t="shared" ref="U4:U34" ca="1" si="5">IF(A4="",0,INDIRECT(ADDRESS(MATCH(A4,SOLL_AZ_Ab,1)+11,WEEKDAY(A4,2)+3,,,"Voreinstellungen"),TRUE))</f>
        <v>0.29166666666666669</v>
      </c>
      <c r="V4" s="212"/>
      <c r="W4" s="213" t="e">
        <f ca="1">IF(A4="","",IF(T4&lt;&gt;"",ROUND(J36+T4,14),J36))</f>
        <v>#REF!</v>
      </c>
      <c r="Y4" s="305"/>
      <c r="AB4" s="344">
        <f>MOD(F4-E4,1)*24</f>
        <v>0</v>
      </c>
      <c r="AC4" s="344">
        <f>MOD(K4-J4,1)*24</f>
        <v>0</v>
      </c>
    </row>
    <row r="5" spans="1:29" s="19" customFormat="1" ht="12" x14ac:dyDescent="0.2">
      <c r="A5" s="312">
        <f t="shared" ref="A5:A31" si="6">A4+1</f>
        <v>44378</v>
      </c>
      <c r="B5" s="129">
        <f t="shared" si="0"/>
        <v>44378</v>
      </c>
      <c r="C5" s="262" t="str">
        <f t="shared" si="1"/>
        <v/>
      </c>
      <c r="D5" s="358"/>
      <c r="E5" s="352"/>
      <c r="F5" s="255"/>
      <c r="G5" s="308"/>
      <c r="H5" s="308"/>
      <c r="I5" s="348">
        <f>IFERROR(VLOOKUP(D5&amp;G5,tbl_Entfernung[[Verketten]:[Entfernung]],2,FALSE),"")</f>
        <v>0</v>
      </c>
      <c r="J5" s="361"/>
      <c r="K5" s="352"/>
      <c r="L5" s="308"/>
      <c r="M5" s="308"/>
      <c r="N5" s="321">
        <f>IFERROR(VLOOKUP(G5&amp;L5,tbl_Entfernung[[Verketten]:[Entfernung]],2,FALSE),"")</f>
        <v>0</v>
      </c>
      <c r="O5" s="316">
        <f>IF(S5&gt;PauseGTime,PauseGWert,IF(S5&gt;PauseKTime,PauseKWert,IF(S5&lt;=PauseKTime,0,WENN)))</f>
        <v>0</v>
      </c>
      <c r="P5" s="364"/>
      <c r="Q5" s="356">
        <f t="shared" si="2"/>
        <v>0</v>
      </c>
      <c r="R5" s="225">
        <f t="shared" ca="1" si="3"/>
        <v>0.29166666666666669</v>
      </c>
      <c r="S5" s="225">
        <f t="shared" ref="S5:S34" si="7">IF(A5="",0,IF(IF(E5&lt;F5,F5-E5,IF(F5="",0,F5-E5+1))+IF(J5&lt;K5,K5-J5,IF(K5="",0,K5-J5+1))&gt;0,IF(E5&lt;F5,F5-E5,IF(F5="",0,F5-E5+1))+IF(J5&lt;K5,K5-J5,IF(K5="",0,K5-J5+1)),0))</f>
        <v>0</v>
      </c>
      <c r="T5" s="130">
        <f t="shared" ca="1" si="4"/>
        <v>-0.29166666666667002</v>
      </c>
      <c r="U5" s="251">
        <f t="shared" ca="1" si="5"/>
        <v>0.29166666666666669</v>
      </c>
      <c r="V5" s="131"/>
      <c r="W5" s="214" t="e">
        <f t="shared" ref="W5:W34" ca="1" si="8">IF(A5="","",IF(T5&lt;&gt;"",ROUND(W4+T5,14),W4))</f>
        <v>#REF!</v>
      </c>
      <c r="AB5" s="345">
        <f t="shared" ref="AB5:AB34" si="9">MOD(F5-E5,1)*24</f>
        <v>0</v>
      </c>
      <c r="AC5" s="345">
        <f t="shared" ref="AC5:AC34" si="10">MOD(K5-J5,1)*24</f>
        <v>0</v>
      </c>
    </row>
    <row r="6" spans="1:29" s="19" customFormat="1" ht="12" x14ac:dyDescent="0.2">
      <c r="A6" s="312">
        <f t="shared" si="6"/>
        <v>44379</v>
      </c>
      <c r="B6" s="129">
        <f t="shared" si="0"/>
        <v>44379</v>
      </c>
      <c r="C6" s="262" t="str">
        <f t="shared" si="1"/>
        <v/>
      </c>
      <c r="D6" s="358"/>
      <c r="E6" s="352"/>
      <c r="F6" s="255"/>
      <c r="G6" s="309"/>
      <c r="H6" s="309"/>
      <c r="I6" s="348">
        <f>IFERROR(VLOOKUP(D6&amp;G6,tbl_Entfernung[[Verketten]:[Entfernung]],2,FALSE),"")</f>
        <v>0</v>
      </c>
      <c r="J6" s="361"/>
      <c r="K6" s="352"/>
      <c r="L6" s="309"/>
      <c r="M6" s="309"/>
      <c r="N6" s="321">
        <f>IFERROR(VLOOKUP(G6&amp;L6,tbl_Entfernung[[Verketten]:[Entfernung]],2,FALSE),"")</f>
        <v>0</v>
      </c>
      <c r="O6" s="316">
        <f>IF(S6&gt;PauseGTime,PauseGWert,IF(S6&gt;PauseKTime,PauseKWert,IF(S6&lt;=PauseKTime,0,WENN)))</f>
        <v>0</v>
      </c>
      <c r="P6" s="364"/>
      <c r="Q6" s="356">
        <f t="shared" si="2"/>
        <v>0</v>
      </c>
      <c r="R6" s="225">
        <f t="shared" ca="1" si="3"/>
        <v>0.29166666666666669</v>
      </c>
      <c r="S6" s="225">
        <f t="shared" si="7"/>
        <v>0</v>
      </c>
      <c r="T6" s="130">
        <f t="shared" ca="1" si="4"/>
        <v>-0.29166666666667002</v>
      </c>
      <c r="U6" s="251">
        <f t="shared" ca="1" si="5"/>
        <v>0.29166666666666669</v>
      </c>
      <c r="V6" s="131"/>
      <c r="W6" s="214" t="e">
        <f t="shared" ca="1" si="8"/>
        <v>#REF!</v>
      </c>
      <c r="AB6" s="345">
        <f t="shared" si="9"/>
        <v>0</v>
      </c>
      <c r="AC6" s="345">
        <f t="shared" si="10"/>
        <v>0</v>
      </c>
    </row>
    <row r="7" spans="1:29" s="19" customFormat="1" ht="12" x14ac:dyDescent="0.2">
      <c r="A7" s="312">
        <f t="shared" si="6"/>
        <v>44380</v>
      </c>
      <c r="B7" s="129">
        <f t="shared" si="0"/>
        <v>44380</v>
      </c>
      <c r="C7" s="262" t="str">
        <f t="shared" si="1"/>
        <v/>
      </c>
      <c r="D7" s="358"/>
      <c r="E7" s="352"/>
      <c r="F7" s="255"/>
      <c r="G7" s="309"/>
      <c r="H7" s="309"/>
      <c r="I7" s="348">
        <f>IFERROR(VLOOKUP(D7&amp;G7,tbl_Entfernung[[Verketten]:[Entfernung]],2,FALSE),"")</f>
        <v>0</v>
      </c>
      <c r="J7" s="361"/>
      <c r="K7" s="352"/>
      <c r="L7" s="309"/>
      <c r="M7" s="309"/>
      <c r="N7" s="321">
        <f>IFERROR(VLOOKUP(G7&amp;L7,tbl_Entfernung[[Verketten]:[Entfernung]],2,FALSE),"")</f>
        <v>0</v>
      </c>
      <c r="O7" s="316">
        <f>IF(S7&gt;PauseGTime,PauseGWert,IF(S7&gt;PauseKTime,PauseKWert,IF(S7&lt;=PauseKTime,0,WENN)))</f>
        <v>0</v>
      </c>
      <c r="P7" s="364"/>
      <c r="Q7" s="356">
        <f t="shared" si="2"/>
        <v>0</v>
      </c>
      <c r="R7" s="225">
        <f t="shared" ca="1" si="3"/>
        <v>0.29166666666666669</v>
      </c>
      <c r="S7" s="225">
        <f t="shared" si="7"/>
        <v>0</v>
      </c>
      <c r="T7" s="130">
        <f t="shared" ca="1" si="4"/>
        <v>-0.29166666666667002</v>
      </c>
      <c r="U7" s="251">
        <f t="shared" ca="1" si="5"/>
        <v>0.29166666666666669</v>
      </c>
      <c r="V7" s="131"/>
      <c r="W7" s="214" t="e">
        <f t="shared" ca="1" si="8"/>
        <v>#REF!</v>
      </c>
      <c r="AB7" s="345">
        <f t="shared" si="9"/>
        <v>0</v>
      </c>
      <c r="AC7" s="345">
        <f t="shared" si="10"/>
        <v>0</v>
      </c>
    </row>
    <row r="8" spans="1:29" s="19" customFormat="1" ht="12" x14ac:dyDescent="0.2">
      <c r="A8" s="312">
        <f t="shared" si="6"/>
        <v>44381</v>
      </c>
      <c r="B8" s="129">
        <f t="shared" si="0"/>
        <v>44381</v>
      </c>
      <c r="C8" s="262" t="str">
        <f t="shared" si="1"/>
        <v/>
      </c>
      <c r="D8" s="358"/>
      <c r="E8" s="352"/>
      <c r="F8" s="255"/>
      <c r="G8" s="309"/>
      <c r="H8" s="309"/>
      <c r="I8" s="348">
        <f>IFERROR(VLOOKUP(D8&amp;G8,tbl_Entfernung[[Verketten]:[Entfernung]],2,FALSE),"")</f>
        <v>0</v>
      </c>
      <c r="J8" s="361"/>
      <c r="K8" s="352"/>
      <c r="L8" s="309"/>
      <c r="M8" s="309"/>
      <c r="N8" s="321">
        <f>IFERROR(VLOOKUP(G8&amp;L8,tbl_Entfernung[[Verketten]:[Entfernung]],2,FALSE),"")</f>
        <v>0</v>
      </c>
      <c r="O8" s="316">
        <f>IF(S8&gt;PauseGTime,PauseGWert,IF(S8&gt;PauseKTime,PauseKWert,IF(S8&lt;=PauseKTime,0,WENN)))</f>
        <v>0</v>
      </c>
      <c r="P8" s="364"/>
      <c r="Q8" s="356">
        <f t="shared" si="2"/>
        <v>0</v>
      </c>
      <c r="R8" s="225">
        <f t="shared" ca="1" si="3"/>
        <v>0</v>
      </c>
      <c r="S8" s="225">
        <f t="shared" si="7"/>
        <v>0</v>
      </c>
      <c r="T8" s="130">
        <f t="shared" ca="1" si="4"/>
        <v>0</v>
      </c>
      <c r="U8" s="251">
        <f t="shared" ca="1" si="5"/>
        <v>0</v>
      </c>
      <c r="V8" s="131"/>
      <c r="W8" s="214" t="e">
        <f t="shared" ca="1" si="8"/>
        <v>#REF!</v>
      </c>
      <c r="AB8" s="345">
        <f t="shared" si="9"/>
        <v>0</v>
      </c>
      <c r="AC8" s="345">
        <f t="shared" si="10"/>
        <v>0</v>
      </c>
    </row>
    <row r="9" spans="1:29" s="19" customFormat="1" ht="12" x14ac:dyDescent="0.2">
      <c r="A9" s="312">
        <f t="shared" si="6"/>
        <v>44382</v>
      </c>
      <c r="B9" s="129">
        <f t="shared" si="0"/>
        <v>44382</v>
      </c>
      <c r="C9" s="262" t="str">
        <f t="shared" si="1"/>
        <v/>
      </c>
      <c r="D9" s="358"/>
      <c r="E9" s="352"/>
      <c r="F9" s="255"/>
      <c r="G9" s="309"/>
      <c r="H9" s="309"/>
      <c r="I9" s="349">
        <f>IFERROR(VLOOKUP(D9&amp;G9,tbl_Entfernung[[Verketten]:[Entfernung]],2,FALSE),"")</f>
        <v>0</v>
      </c>
      <c r="J9" s="361"/>
      <c r="K9" s="352"/>
      <c r="L9" s="309"/>
      <c r="M9" s="309"/>
      <c r="N9" s="322">
        <f>IFERROR(VLOOKUP(G9&amp;L9,tbl_Entfernung[[Verketten]:[Entfernung]],2,FALSE),"")</f>
        <v>0</v>
      </c>
      <c r="O9" s="316">
        <f>IF(S9&gt;PauseGTime,PauseGWert,IF(S9&gt;PauseKTime,PauseKWert,IF(S9&lt;=PauseKTime,0,WENN)))</f>
        <v>0</v>
      </c>
      <c r="P9" s="364"/>
      <c r="Q9" s="356">
        <f t="shared" si="2"/>
        <v>0</v>
      </c>
      <c r="R9" s="225">
        <f t="shared" ca="1" si="3"/>
        <v>0</v>
      </c>
      <c r="S9" s="225">
        <f t="shared" si="7"/>
        <v>0</v>
      </c>
      <c r="T9" s="130">
        <f t="shared" ca="1" si="4"/>
        <v>0</v>
      </c>
      <c r="U9" s="251">
        <f t="shared" ca="1" si="5"/>
        <v>0</v>
      </c>
      <c r="V9" s="131"/>
      <c r="W9" s="214" t="e">
        <f t="shared" ca="1" si="8"/>
        <v>#REF!</v>
      </c>
      <c r="AB9" s="345">
        <f t="shared" si="9"/>
        <v>0</v>
      </c>
      <c r="AC9" s="345">
        <f t="shared" si="10"/>
        <v>0</v>
      </c>
    </row>
    <row r="10" spans="1:29" s="19" customFormat="1" ht="12" x14ac:dyDescent="0.2">
      <c r="A10" s="312">
        <f t="shared" si="6"/>
        <v>44383</v>
      </c>
      <c r="B10" s="129">
        <f t="shared" si="0"/>
        <v>44383</v>
      </c>
      <c r="C10" s="262" t="str">
        <f t="shared" si="1"/>
        <v/>
      </c>
      <c r="D10" s="358"/>
      <c r="E10" s="352"/>
      <c r="F10" s="255"/>
      <c r="G10" s="309"/>
      <c r="H10" s="309"/>
      <c r="I10" s="349">
        <f>IFERROR(VLOOKUP(D10&amp;G10,tbl_Entfernung[[Verketten]:[Entfernung]],2,FALSE),"")</f>
        <v>0</v>
      </c>
      <c r="J10" s="361"/>
      <c r="K10" s="352"/>
      <c r="L10" s="309"/>
      <c r="M10" s="309"/>
      <c r="N10" s="322">
        <f>IFERROR(VLOOKUP(G10&amp;L10,tbl_Entfernung[[Verketten]:[Entfernung]],2,FALSE),"")</f>
        <v>0</v>
      </c>
      <c r="O10" s="316">
        <f>IF(S10&gt;PauseGTime,PauseGWert,IF(S10&gt;PauseKTime,PauseKWert,IF(S10&lt;=PauseKTime,0,WENN)))</f>
        <v>0</v>
      </c>
      <c r="P10" s="364"/>
      <c r="Q10" s="356">
        <f t="shared" si="2"/>
        <v>0</v>
      </c>
      <c r="R10" s="225">
        <f t="shared" ca="1" si="3"/>
        <v>0.29166666666666669</v>
      </c>
      <c r="S10" s="225">
        <f t="shared" si="7"/>
        <v>0</v>
      </c>
      <c r="T10" s="130">
        <f t="shared" ca="1" si="4"/>
        <v>-0.29166666666667002</v>
      </c>
      <c r="U10" s="251">
        <f t="shared" ca="1" si="5"/>
        <v>0.29166666666666669</v>
      </c>
      <c r="V10" s="131"/>
      <c r="W10" s="214" t="e">
        <f t="shared" ca="1" si="8"/>
        <v>#REF!</v>
      </c>
      <c r="AB10" s="345">
        <f t="shared" si="9"/>
        <v>0</v>
      </c>
      <c r="AC10" s="345">
        <f t="shared" si="10"/>
        <v>0</v>
      </c>
    </row>
    <row r="11" spans="1:29" s="19" customFormat="1" ht="12" x14ac:dyDescent="0.2">
      <c r="A11" s="312">
        <f t="shared" si="6"/>
        <v>44384</v>
      </c>
      <c r="B11" s="129">
        <f t="shared" si="0"/>
        <v>44384</v>
      </c>
      <c r="C11" s="262" t="str">
        <f t="shared" si="1"/>
        <v/>
      </c>
      <c r="D11" s="358"/>
      <c r="E11" s="352"/>
      <c r="F11" s="255"/>
      <c r="G11" s="309"/>
      <c r="H11" s="309"/>
      <c r="I11" s="348">
        <f>IFERROR(VLOOKUP(D11&amp;G11,tbl_Entfernung[[Verketten]:[Entfernung]],2,FALSE),"")</f>
        <v>0</v>
      </c>
      <c r="J11" s="361"/>
      <c r="K11" s="352"/>
      <c r="L11" s="309"/>
      <c r="M11" s="309"/>
      <c r="N11" s="321">
        <f>IFERROR(VLOOKUP(G11&amp;L11,tbl_Entfernung[[Verketten]:[Entfernung]],2,FALSE),"")</f>
        <v>0</v>
      </c>
      <c r="O11" s="316">
        <f>IF(S11&gt;PauseGTime,PauseGWert,IF(S11&gt;PauseKTime,PauseKWert,IF(S11&lt;=PauseKTime,0,WENN)))</f>
        <v>0</v>
      </c>
      <c r="P11" s="364"/>
      <c r="Q11" s="356">
        <f t="shared" si="2"/>
        <v>0</v>
      </c>
      <c r="R11" s="225">
        <f t="shared" ca="1" si="3"/>
        <v>0.29166666666666669</v>
      </c>
      <c r="S11" s="225">
        <f t="shared" si="7"/>
        <v>0</v>
      </c>
      <c r="T11" s="130">
        <f t="shared" ca="1" si="4"/>
        <v>-0.29166666666667002</v>
      </c>
      <c r="U11" s="251">
        <f t="shared" ca="1" si="5"/>
        <v>0.29166666666666669</v>
      </c>
      <c r="V11" s="131"/>
      <c r="W11" s="214" t="e">
        <f t="shared" ca="1" si="8"/>
        <v>#REF!</v>
      </c>
      <c r="AB11" s="345">
        <f t="shared" si="9"/>
        <v>0</v>
      </c>
      <c r="AC11" s="345">
        <f t="shared" si="10"/>
        <v>0</v>
      </c>
    </row>
    <row r="12" spans="1:29" s="19" customFormat="1" ht="12" x14ac:dyDescent="0.2">
      <c r="A12" s="312">
        <f t="shared" si="6"/>
        <v>44385</v>
      </c>
      <c r="B12" s="129">
        <f t="shared" si="0"/>
        <v>44385</v>
      </c>
      <c r="C12" s="262" t="str">
        <f t="shared" si="1"/>
        <v/>
      </c>
      <c r="D12" s="358"/>
      <c r="E12" s="352"/>
      <c r="F12" s="255"/>
      <c r="G12" s="309"/>
      <c r="H12" s="309"/>
      <c r="I12" s="348">
        <f>IFERROR(VLOOKUP(D12&amp;G12,tbl_Entfernung[[Verketten]:[Entfernung]],2,FALSE),"")</f>
        <v>0</v>
      </c>
      <c r="J12" s="361"/>
      <c r="K12" s="352"/>
      <c r="L12" s="309"/>
      <c r="M12" s="309"/>
      <c r="N12" s="321">
        <f>IFERROR(VLOOKUP(G12&amp;L12,tbl_Entfernung[[Verketten]:[Entfernung]],2,FALSE),"")</f>
        <v>0</v>
      </c>
      <c r="O12" s="316">
        <f>IF(S12&gt;PauseGTime,PauseGWert,IF(S12&gt;PauseKTime,PauseKWert,IF(S12&lt;=PauseKTime,0,WENN)))</f>
        <v>0</v>
      </c>
      <c r="P12" s="364"/>
      <c r="Q12" s="356">
        <f t="shared" si="2"/>
        <v>0</v>
      </c>
      <c r="R12" s="225">
        <f t="shared" ca="1" si="3"/>
        <v>0.29166666666666669</v>
      </c>
      <c r="S12" s="225">
        <f t="shared" si="7"/>
        <v>0</v>
      </c>
      <c r="T12" s="130">
        <f t="shared" ca="1" si="4"/>
        <v>-0.29166666666667002</v>
      </c>
      <c r="U12" s="251">
        <f t="shared" ca="1" si="5"/>
        <v>0.29166666666666669</v>
      </c>
      <c r="V12" s="131"/>
      <c r="W12" s="214" t="e">
        <f t="shared" ca="1" si="8"/>
        <v>#REF!</v>
      </c>
      <c r="AB12" s="345">
        <f t="shared" si="9"/>
        <v>0</v>
      </c>
      <c r="AC12" s="345">
        <f t="shared" si="10"/>
        <v>0</v>
      </c>
    </row>
    <row r="13" spans="1:29" s="19" customFormat="1" ht="12" x14ac:dyDescent="0.2">
      <c r="A13" s="312">
        <f t="shared" si="6"/>
        <v>44386</v>
      </c>
      <c r="B13" s="129">
        <f t="shared" si="0"/>
        <v>44386</v>
      </c>
      <c r="C13" s="262" t="str">
        <f t="shared" si="1"/>
        <v/>
      </c>
      <c r="D13" s="358"/>
      <c r="E13" s="352"/>
      <c r="F13" s="255"/>
      <c r="G13" s="309"/>
      <c r="H13" s="309"/>
      <c r="I13" s="348">
        <f>IFERROR(VLOOKUP(D13&amp;G13,tbl_Entfernung[[Verketten]:[Entfernung]],2,FALSE),"")</f>
        <v>0</v>
      </c>
      <c r="J13" s="361"/>
      <c r="K13" s="352"/>
      <c r="L13" s="309"/>
      <c r="M13" s="309"/>
      <c r="N13" s="321">
        <f>IFERROR(VLOOKUP(G13&amp;L13,tbl_Entfernung[[Verketten]:[Entfernung]],2,FALSE),"")</f>
        <v>0</v>
      </c>
      <c r="O13" s="316">
        <f>IF(S13&gt;PauseGTime,PauseGWert,IF(S13&gt;PauseKTime,PauseKWert,IF(S13&lt;=PauseKTime,0,WENN)))</f>
        <v>0</v>
      </c>
      <c r="P13" s="364"/>
      <c r="Q13" s="356">
        <f t="shared" si="2"/>
        <v>0</v>
      </c>
      <c r="R13" s="225">
        <f t="shared" ca="1" si="3"/>
        <v>0.29166666666666669</v>
      </c>
      <c r="S13" s="225">
        <f t="shared" si="7"/>
        <v>0</v>
      </c>
      <c r="T13" s="130">
        <f t="shared" ca="1" si="4"/>
        <v>-0.29166666666667002</v>
      </c>
      <c r="U13" s="251">
        <f t="shared" ca="1" si="5"/>
        <v>0.29166666666666669</v>
      </c>
      <c r="V13" s="131"/>
      <c r="W13" s="214" t="e">
        <f t="shared" ca="1" si="8"/>
        <v>#REF!</v>
      </c>
      <c r="AB13" s="345">
        <f t="shared" si="9"/>
        <v>0</v>
      </c>
      <c r="AC13" s="345">
        <f t="shared" si="10"/>
        <v>0</v>
      </c>
    </row>
    <row r="14" spans="1:29" s="19" customFormat="1" ht="12" x14ac:dyDescent="0.2">
      <c r="A14" s="312">
        <f t="shared" si="6"/>
        <v>44387</v>
      </c>
      <c r="B14" s="129">
        <f t="shared" si="0"/>
        <v>44387</v>
      </c>
      <c r="C14" s="262" t="str">
        <f t="shared" si="1"/>
        <v/>
      </c>
      <c r="D14" s="358"/>
      <c r="E14" s="352"/>
      <c r="F14" s="255"/>
      <c r="G14" s="309"/>
      <c r="H14" s="309"/>
      <c r="I14" s="348">
        <f>IFERROR(VLOOKUP(D14&amp;G14,tbl_Entfernung[[Verketten]:[Entfernung]],2,FALSE),"")</f>
        <v>0</v>
      </c>
      <c r="J14" s="361"/>
      <c r="K14" s="352"/>
      <c r="L14" s="309"/>
      <c r="M14" s="309"/>
      <c r="N14" s="321">
        <f>IFERROR(VLOOKUP(G14&amp;L14,tbl_Entfernung[[Verketten]:[Entfernung]],2,FALSE),"")</f>
        <v>0</v>
      </c>
      <c r="O14" s="316">
        <f>IF(S14&gt;PauseGTime,PauseGWert,IF(S14&gt;PauseKTime,PauseKWert,IF(S14&lt;=PauseKTime,0,WENN)))</f>
        <v>0</v>
      </c>
      <c r="P14" s="364"/>
      <c r="Q14" s="356">
        <f t="shared" si="2"/>
        <v>0</v>
      </c>
      <c r="R14" s="225">
        <f t="shared" ca="1" si="3"/>
        <v>0.29166666666666669</v>
      </c>
      <c r="S14" s="225">
        <f t="shared" si="7"/>
        <v>0</v>
      </c>
      <c r="T14" s="130">
        <f t="shared" ca="1" si="4"/>
        <v>-0.29166666666667002</v>
      </c>
      <c r="U14" s="251">
        <f t="shared" ca="1" si="5"/>
        <v>0.29166666666666669</v>
      </c>
      <c r="V14" s="131"/>
      <c r="W14" s="214" t="e">
        <f t="shared" ca="1" si="8"/>
        <v>#REF!</v>
      </c>
      <c r="AB14" s="345">
        <f t="shared" si="9"/>
        <v>0</v>
      </c>
      <c r="AC14" s="345">
        <f t="shared" si="10"/>
        <v>0</v>
      </c>
    </row>
    <row r="15" spans="1:29" s="19" customFormat="1" ht="12" x14ac:dyDescent="0.2">
      <c r="A15" s="312">
        <f t="shared" si="6"/>
        <v>44388</v>
      </c>
      <c r="B15" s="129">
        <f t="shared" si="0"/>
        <v>44388</v>
      </c>
      <c r="C15" s="262" t="str">
        <f t="shared" si="1"/>
        <v/>
      </c>
      <c r="D15" s="358"/>
      <c r="E15" s="352"/>
      <c r="F15" s="255"/>
      <c r="G15" s="309"/>
      <c r="H15" s="309"/>
      <c r="I15" s="348">
        <f>IFERROR(VLOOKUP(D15&amp;G15,tbl_Entfernung[[Verketten]:[Entfernung]],2,FALSE),"")</f>
        <v>0</v>
      </c>
      <c r="J15" s="361"/>
      <c r="K15" s="352"/>
      <c r="L15" s="309"/>
      <c r="M15" s="309"/>
      <c r="N15" s="321">
        <f>IFERROR(VLOOKUP(G15&amp;L15,tbl_Entfernung[[Verketten]:[Entfernung]],2,FALSE),"")</f>
        <v>0</v>
      </c>
      <c r="O15" s="316">
        <f>IF(S15&gt;PauseGTime,PauseGWert,IF(S15&gt;PauseKTime,PauseKWert,IF(S15&lt;=PauseKTime,0,WENN)))</f>
        <v>0</v>
      </c>
      <c r="P15" s="364"/>
      <c r="Q15" s="356">
        <f t="shared" si="2"/>
        <v>0</v>
      </c>
      <c r="R15" s="225">
        <f t="shared" ca="1" si="3"/>
        <v>0</v>
      </c>
      <c r="S15" s="225">
        <f t="shared" si="7"/>
        <v>0</v>
      </c>
      <c r="T15" s="130">
        <f t="shared" ca="1" si="4"/>
        <v>0</v>
      </c>
      <c r="U15" s="251">
        <f t="shared" ca="1" si="5"/>
        <v>0</v>
      </c>
      <c r="V15" s="131"/>
      <c r="W15" s="214" t="e">
        <f t="shared" ca="1" si="8"/>
        <v>#REF!</v>
      </c>
      <c r="AB15" s="345">
        <f t="shared" si="9"/>
        <v>0</v>
      </c>
      <c r="AC15" s="345">
        <f t="shared" si="10"/>
        <v>0</v>
      </c>
    </row>
    <row r="16" spans="1:29" s="19" customFormat="1" ht="12" x14ac:dyDescent="0.2">
      <c r="A16" s="312">
        <f t="shared" si="6"/>
        <v>44389</v>
      </c>
      <c r="B16" s="129">
        <f t="shared" si="0"/>
        <v>44389</v>
      </c>
      <c r="C16" s="262" t="str">
        <f t="shared" si="1"/>
        <v/>
      </c>
      <c r="D16" s="358"/>
      <c r="E16" s="352"/>
      <c r="F16" s="255"/>
      <c r="G16" s="309"/>
      <c r="H16" s="309"/>
      <c r="I16" s="349">
        <f>IFERROR(VLOOKUP(D16&amp;G16,tbl_Entfernung[[Verketten]:[Entfernung]],2,FALSE),"")</f>
        <v>0</v>
      </c>
      <c r="J16" s="361"/>
      <c r="K16" s="352"/>
      <c r="L16" s="309"/>
      <c r="M16" s="309"/>
      <c r="N16" s="322">
        <f>IFERROR(VLOOKUP(G16&amp;L16,tbl_Entfernung[[Verketten]:[Entfernung]],2,FALSE),"")</f>
        <v>0</v>
      </c>
      <c r="O16" s="316">
        <f>IF(S16&gt;PauseGTime,PauseGWert,IF(S16&gt;PauseKTime,PauseKWert,IF(S16&lt;=PauseKTime,0,WENN)))</f>
        <v>0</v>
      </c>
      <c r="P16" s="364"/>
      <c r="Q16" s="356">
        <f t="shared" si="2"/>
        <v>0</v>
      </c>
      <c r="R16" s="225">
        <f t="shared" ca="1" si="3"/>
        <v>0</v>
      </c>
      <c r="S16" s="225">
        <f t="shared" si="7"/>
        <v>0</v>
      </c>
      <c r="T16" s="130">
        <f t="shared" ca="1" si="4"/>
        <v>0</v>
      </c>
      <c r="U16" s="251">
        <f t="shared" ca="1" si="5"/>
        <v>0</v>
      </c>
      <c r="V16" s="131"/>
      <c r="W16" s="214" t="e">
        <f t="shared" ca="1" si="8"/>
        <v>#REF!</v>
      </c>
      <c r="AB16" s="345">
        <f t="shared" si="9"/>
        <v>0</v>
      </c>
      <c r="AC16" s="345">
        <f t="shared" si="10"/>
        <v>0</v>
      </c>
    </row>
    <row r="17" spans="1:29" s="19" customFormat="1" ht="12" x14ac:dyDescent="0.2">
      <c r="A17" s="312">
        <f t="shared" si="6"/>
        <v>44390</v>
      </c>
      <c r="B17" s="129">
        <f t="shared" si="0"/>
        <v>44390</v>
      </c>
      <c r="C17" s="262" t="str">
        <f t="shared" si="1"/>
        <v/>
      </c>
      <c r="D17" s="358"/>
      <c r="E17" s="352"/>
      <c r="F17" s="255"/>
      <c r="G17" s="309"/>
      <c r="H17" s="309"/>
      <c r="I17" s="349">
        <f>IFERROR(VLOOKUP(D17&amp;G17,tbl_Entfernung[[Verketten]:[Entfernung]],2,FALSE),"")</f>
        <v>0</v>
      </c>
      <c r="J17" s="361"/>
      <c r="K17" s="352"/>
      <c r="L17" s="309"/>
      <c r="M17" s="309"/>
      <c r="N17" s="322">
        <f>IFERROR(VLOOKUP(G17&amp;L17,tbl_Entfernung[[Verketten]:[Entfernung]],2,FALSE),"")</f>
        <v>0</v>
      </c>
      <c r="O17" s="316">
        <f>IF(S17&gt;PauseGTime,PauseGWert,IF(S17&gt;PauseKTime,PauseKWert,IF(S17&lt;=PauseKTime,0,WENN)))</f>
        <v>0</v>
      </c>
      <c r="P17" s="364"/>
      <c r="Q17" s="356">
        <f t="shared" si="2"/>
        <v>0</v>
      </c>
      <c r="R17" s="225">
        <f t="shared" ca="1" si="3"/>
        <v>0.29166666666666669</v>
      </c>
      <c r="S17" s="225">
        <f t="shared" si="7"/>
        <v>0</v>
      </c>
      <c r="T17" s="130">
        <f t="shared" ca="1" si="4"/>
        <v>-0.29166666666667002</v>
      </c>
      <c r="U17" s="251">
        <f t="shared" ca="1" si="5"/>
        <v>0.29166666666666669</v>
      </c>
      <c r="V17" s="131"/>
      <c r="W17" s="214" t="e">
        <f t="shared" ca="1" si="8"/>
        <v>#REF!</v>
      </c>
      <c r="AB17" s="345">
        <f t="shared" si="9"/>
        <v>0</v>
      </c>
      <c r="AC17" s="345">
        <f t="shared" si="10"/>
        <v>0</v>
      </c>
    </row>
    <row r="18" spans="1:29" s="19" customFormat="1" ht="12" x14ac:dyDescent="0.2">
      <c r="A18" s="312">
        <f t="shared" si="6"/>
        <v>44391</v>
      </c>
      <c r="B18" s="129">
        <f t="shared" si="0"/>
        <v>44391</v>
      </c>
      <c r="C18" s="262" t="str">
        <f t="shared" si="1"/>
        <v/>
      </c>
      <c r="D18" s="358"/>
      <c r="E18" s="352"/>
      <c r="F18" s="255"/>
      <c r="G18" s="309"/>
      <c r="H18" s="309"/>
      <c r="I18" s="348">
        <f>IFERROR(VLOOKUP(D18&amp;G18,tbl_Entfernung[[Verketten]:[Entfernung]],2,FALSE),"")</f>
        <v>0</v>
      </c>
      <c r="J18" s="361"/>
      <c r="K18" s="352"/>
      <c r="L18" s="309"/>
      <c r="M18" s="309"/>
      <c r="N18" s="321">
        <f>IFERROR(VLOOKUP(G18&amp;L18,tbl_Entfernung[[Verketten]:[Entfernung]],2,FALSE),"")</f>
        <v>0</v>
      </c>
      <c r="O18" s="316">
        <f>IF(S18&gt;PauseGTime,PauseGWert,IF(S18&gt;PauseKTime,PauseKWert,IF(S18&lt;=PauseKTime,0,WENN)))</f>
        <v>0</v>
      </c>
      <c r="P18" s="364"/>
      <c r="Q18" s="356">
        <f t="shared" si="2"/>
        <v>0</v>
      </c>
      <c r="R18" s="225">
        <f t="shared" ca="1" si="3"/>
        <v>0.29166666666666669</v>
      </c>
      <c r="S18" s="225">
        <f t="shared" si="7"/>
        <v>0</v>
      </c>
      <c r="T18" s="130">
        <f t="shared" ca="1" si="4"/>
        <v>-0.29166666666667002</v>
      </c>
      <c r="U18" s="251">
        <f t="shared" ca="1" si="5"/>
        <v>0.29166666666666669</v>
      </c>
      <c r="V18" s="131"/>
      <c r="W18" s="214" t="e">
        <f t="shared" ca="1" si="8"/>
        <v>#REF!</v>
      </c>
      <c r="AB18" s="345">
        <f t="shared" si="9"/>
        <v>0</v>
      </c>
      <c r="AC18" s="345">
        <f t="shared" si="10"/>
        <v>0</v>
      </c>
    </row>
    <row r="19" spans="1:29" s="19" customFormat="1" ht="12" x14ac:dyDescent="0.2">
      <c r="A19" s="312">
        <f t="shared" si="6"/>
        <v>44392</v>
      </c>
      <c r="B19" s="129">
        <f t="shared" si="0"/>
        <v>44392</v>
      </c>
      <c r="C19" s="262" t="str">
        <f t="shared" si="1"/>
        <v/>
      </c>
      <c r="D19" s="358"/>
      <c r="E19" s="352"/>
      <c r="F19" s="255"/>
      <c r="G19" s="309"/>
      <c r="H19" s="309"/>
      <c r="I19" s="348">
        <f>IFERROR(VLOOKUP(D19&amp;G19,tbl_Entfernung[[Verketten]:[Entfernung]],2,FALSE),"")</f>
        <v>0</v>
      </c>
      <c r="J19" s="361"/>
      <c r="K19" s="352"/>
      <c r="L19" s="309"/>
      <c r="M19" s="309"/>
      <c r="N19" s="321">
        <f>IFERROR(VLOOKUP(G19&amp;L19,tbl_Entfernung[[Verketten]:[Entfernung]],2,FALSE),"")</f>
        <v>0</v>
      </c>
      <c r="O19" s="316">
        <f>IF(S19&gt;PauseGTime,PauseGWert,IF(S19&gt;PauseKTime,PauseKWert,IF(S19&lt;=PauseKTime,0,WENN)))</f>
        <v>0</v>
      </c>
      <c r="P19" s="364"/>
      <c r="Q19" s="356">
        <f t="shared" si="2"/>
        <v>0</v>
      </c>
      <c r="R19" s="225">
        <f t="shared" ca="1" si="3"/>
        <v>0.29166666666666669</v>
      </c>
      <c r="S19" s="225">
        <f t="shared" si="7"/>
        <v>0</v>
      </c>
      <c r="T19" s="130">
        <f t="shared" ca="1" si="4"/>
        <v>-0.29166666666667002</v>
      </c>
      <c r="U19" s="251">
        <f t="shared" ca="1" si="5"/>
        <v>0.29166666666666669</v>
      </c>
      <c r="V19" s="131"/>
      <c r="W19" s="214" t="e">
        <f t="shared" ca="1" si="8"/>
        <v>#REF!</v>
      </c>
      <c r="AB19" s="345">
        <f t="shared" si="9"/>
        <v>0</v>
      </c>
      <c r="AC19" s="345">
        <f t="shared" si="10"/>
        <v>0</v>
      </c>
    </row>
    <row r="20" spans="1:29" s="19" customFormat="1" ht="12" x14ac:dyDescent="0.2">
      <c r="A20" s="312">
        <f t="shared" si="6"/>
        <v>44393</v>
      </c>
      <c r="B20" s="129">
        <f t="shared" si="0"/>
        <v>44393</v>
      </c>
      <c r="C20" s="262" t="str">
        <f t="shared" si="1"/>
        <v/>
      </c>
      <c r="D20" s="358"/>
      <c r="E20" s="352"/>
      <c r="F20" s="255"/>
      <c r="G20" s="309"/>
      <c r="H20" s="309"/>
      <c r="I20" s="348">
        <f>IFERROR(VLOOKUP(D20&amp;G20,tbl_Entfernung[[Verketten]:[Entfernung]],2,FALSE),"")</f>
        <v>0</v>
      </c>
      <c r="J20" s="361"/>
      <c r="K20" s="352"/>
      <c r="L20" s="309"/>
      <c r="M20" s="309"/>
      <c r="N20" s="321">
        <f>IFERROR(VLOOKUP(G20&amp;L20,tbl_Entfernung[[Verketten]:[Entfernung]],2,FALSE),"")</f>
        <v>0</v>
      </c>
      <c r="O20" s="316">
        <f>IF(S20&gt;PauseGTime,PauseGWert,IF(S20&gt;PauseKTime,PauseKWert,IF(S20&lt;=PauseKTime,0,WENN)))</f>
        <v>0</v>
      </c>
      <c r="P20" s="364"/>
      <c r="Q20" s="356">
        <f t="shared" si="2"/>
        <v>0</v>
      </c>
      <c r="R20" s="225">
        <f t="shared" ca="1" si="3"/>
        <v>0.29166666666666669</v>
      </c>
      <c r="S20" s="225">
        <f t="shared" si="7"/>
        <v>0</v>
      </c>
      <c r="T20" s="130">
        <f t="shared" ca="1" si="4"/>
        <v>-0.29166666666667002</v>
      </c>
      <c r="U20" s="251">
        <f t="shared" ca="1" si="5"/>
        <v>0.29166666666666669</v>
      </c>
      <c r="V20" s="131"/>
      <c r="W20" s="214" t="e">
        <f t="shared" ca="1" si="8"/>
        <v>#REF!</v>
      </c>
      <c r="AB20" s="345">
        <f t="shared" si="9"/>
        <v>0</v>
      </c>
      <c r="AC20" s="345">
        <f t="shared" si="10"/>
        <v>0</v>
      </c>
    </row>
    <row r="21" spans="1:29" s="19" customFormat="1" ht="12" x14ac:dyDescent="0.2">
      <c r="A21" s="312">
        <f t="shared" si="6"/>
        <v>44394</v>
      </c>
      <c r="B21" s="129">
        <f t="shared" si="0"/>
        <v>44394</v>
      </c>
      <c r="C21" s="262" t="str">
        <f t="shared" si="1"/>
        <v/>
      </c>
      <c r="D21" s="358"/>
      <c r="E21" s="352"/>
      <c r="F21" s="255"/>
      <c r="G21" s="309"/>
      <c r="H21" s="309"/>
      <c r="I21" s="348">
        <f>IFERROR(VLOOKUP(D21&amp;G21,tbl_Entfernung[[Verketten]:[Entfernung]],2,FALSE),"")</f>
        <v>0</v>
      </c>
      <c r="J21" s="361"/>
      <c r="K21" s="352"/>
      <c r="L21" s="309"/>
      <c r="M21" s="309"/>
      <c r="N21" s="321">
        <f>IFERROR(VLOOKUP(G21&amp;L21,tbl_Entfernung[[Verketten]:[Entfernung]],2,FALSE),"")</f>
        <v>0</v>
      </c>
      <c r="O21" s="316">
        <f>IF(S21&gt;PauseGTime,PauseGWert,IF(S21&gt;PauseKTime,PauseKWert,IF(S21&lt;=PauseKTime,0,WENN)))</f>
        <v>0</v>
      </c>
      <c r="P21" s="364"/>
      <c r="Q21" s="356">
        <f t="shared" si="2"/>
        <v>0</v>
      </c>
      <c r="R21" s="225">
        <f t="shared" ca="1" si="3"/>
        <v>0.29166666666666669</v>
      </c>
      <c r="S21" s="225">
        <f t="shared" si="7"/>
        <v>0</v>
      </c>
      <c r="T21" s="130">
        <f t="shared" ca="1" si="4"/>
        <v>-0.29166666666667002</v>
      </c>
      <c r="U21" s="251">
        <f t="shared" ca="1" si="5"/>
        <v>0.29166666666666669</v>
      </c>
      <c r="V21" s="131"/>
      <c r="W21" s="214" t="e">
        <f t="shared" ca="1" si="8"/>
        <v>#REF!</v>
      </c>
      <c r="AB21" s="345">
        <f t="shared" si="9"/>
        <v>0</v>
      </c>
      <c r="AC21" s="345">
        <f t="shared" si="10"/>
        <v>0</v>
      </c>
    </row>
    <row r="22" spans="1:29" s="19" customFormat="1" ht="12" x14ac:dyDescent="0.2">
      <c r="A22" s="312">
        <f t="shared" si="6"/>
        <v>44395</v>
      </c>
      <c r="B22" s="129">
        <f t="shared" si="0"/>
        <v>44395</v>
      </c>
      <c r="C22" s="262" t="str">
        <f t="shared" si="1"/>
        <v/>
      </c>
      <c r="D22" s="358"/>
      <c r="E22" s="352"/>
      <c r="F22" s="255"/>
      <c r="G22" s="309"/>
      <c r="H22" s="309"/>
      <c r="I22" s="348">
        <f>IFERROR(VLOOKUP(D22&amp;G22,tbl_Entfernung[[Verketten]:[Entfernung]],2,FALSE),"")</f>
        <v>0</v>
      </c>
      <c r="J22" s="361"/>
      <c r="K22" s="352"/>
      <c r="L22" s="309"/>
      <c r="M22" s="309"/>
      <c r="N22" s="321">
        <f>IFERROR(VLOOKUP(G22&amp;L22,tbl_Entfernung[[Verketten]:[Entfernung]],2,FALSE),"")</f>
        <v>0</v>
      </c>
      <c r="O22" s="316">
        <f>IF(S22&gt;PauseGTime,PauseGWert,IF(S22&gt;PauseKTime,PauseKWert,IF(S22&lt;=PauseKTime,0,WENN)))</f>
        <v>0</v>
      </c>
      <c r="P22" s="364"/>
      <c r="Q22" s="356">
        <f t="shared" si="2"/>
        <v>0</v>
      </c>
      <c r="R22" s="225">
        <f t="shared" ca="1" si="3"/>
        <v>0</v>
      </c>
      <c r="S22" s="225">
        <f t="shared" si="7"/>
        <v>0</v>
      </c>
      <c r="T22" s="130">
        <f t="shared" ca="1" si="4"/>
        <v>0</v>
      </c>
      <c r="U22" s="251">
        <f t="shared" ca="1" si="5"/>
        <v>0</v>
      </c>
      <c r="V22" s="131"/>
      <c r="W22" s="214" t="e">
        <f t="shared" ca="1" si="8"/>
        <v>#REF!</v>
      </c>
      <c r="AB22" s="345">
        <f t="shared" si="9"/>
        <v>0</v>
      </c>
      <c r="AC22" s="345">
        <f t="shared" si="10"/>
        <v>0</v>
      </c>
    </row>
    <row r="23" spans="1:29" s="19" customFormat="1" ht="12" x14ac:dyDescent="0.2">
      <c r="A23" s="312">
        <f t="shared" si="6"/>
        <v>44396</v>
      </c>
      <c r="B23" s="129">
        <f t="shared" si="0"/>
        <v>44396</v>
      </c>
      <c r="C23" s="262" t="str">
        <f t="shared" si="1"/>
        <v/>
      </c>
      <c r="D23" s="358"/>
      <c r="E23" s="352"/>
      <c r="F23" s="255"/>
      <c r="G23" s="309"/>
      <c r="H23" s="309"/>
      <c r="I23" s="349">
        <f>IFERROR(VLOOKUP(D23&amp;G23,tbl_Entfernung[[Verketten]:[Entfernung]],2,FALSE),"")</f>
        <v>0</v>
      </c>
      <c r="J23" s="361"/>
      <c r="K23" s="352"/>
      <c r="L23" s="309"/>
      <c r="M23" s="309"/>
      <c r="N23" s="322">
        <f>IFERROR(VLOOKUP(G23&amp;L23,tbl_Entfernung[[Verketten]:[Entfernung]],2,FALSE),"")</f>
        <v>0</v>
      </c>
      <c r="O23" s="316">
        <f>IF(S23&gt;PauseGTime,PauseGWert,IF(S23&gt;PauseKTime,PauseKWert,IF(S23&lt;=PauseKTime,0,WENN)))</f>
        <v>0</v>
      </c>
      <c r="P23" s="364"/>
      <c r="Q23" s="356">
        <f t="shared" si="2"/>
        <v>0</v>
      </c>
      <c r="R23" s="225">
        <f t="shared" ca="1" si="3"/>
        <v>0</v>
      </c>
      <c r="S23" s="225">
        <f t="shared" si="7"/>
        <v>0</v>
      </c>
      <c r="T23" s="130">
        <f t="shared" ca="1" si="4"/>
        <v>0</v>
      </c>
      <c r="U23" s="251">
        <f t="shared" ca="1" si="5"/>
        <v>0</v>
      </c>
      <c r="V23" s="131"/>
      <c r="W23" s="214" t="e">
        <f t="shared" ca="1" si="8"/>
        <v>#REF!</v>
      </c>
      <c r="AB23" s="345">
        <f t="shared" si="9"/>
        <v>0</v>
      </c>
      <c r="AC23" s="345">
        <f t="shared" si="10"/>
        <v>0</v>
      </c>
    </row>
    <row r="24" spans="1:29" s="19" customFormat="1" ht="12" x14ac:dyDescent="0.2">
      <c r="A24" s="312">
        <f t="shared" si="6"/>
        <v>44397</v>
      </c>
      <c r="B24" s="129">
        <f t="shared" si="0"/>
        <v>44397</v>
      </c>
      <c r="C24" s="262" t="str">
        <f t="shared" si="1"/>
        <v/>
      </c>
      <c r="D24" s="358"/>
      <c r="E24" s="352"/>
      <c r="F24" s="255"/>
      <c r="G24" s="309"/>
      <c r="H24" s="309"/>
      <c r="I24" s="349">
        <f>IFERROR(VLOOKUP(D24&amp;G24,tbl_Entfernung[[Verketten]:[Entfernung]],2,FALSE),"")</f>
        <v>0</v>
      </c>
      <c r="J24" s="361"/>
      <c r="K24" s="352"/>
      <c r="L24" s="309"/>
      <c r="M24" s="309"/>
      <c r="N24" s="322">
        <f>IFERROR(VLOOKUP(G24&amp;L24,tbl_Entfernung[[Verketten]:[Entfernung]],2,FALSE),"")</f>
        <v>0</v>
      </c>
      <c r="O24" s="316">
        <f>IF(S24&gt;PauseGTime,PauseGWert,IF(S24&gt;PauseKTime,PauseKWert,IF(S24&lt;=PauseKTime,0,WENN)))</f>
        <v>0</v>
      </c>
      <c r="P24" s="364"/>
      <c r="Q24" s="356">
        <f t="shared" si="2"/>
        <v>0</v>
      </c>
      <c r="R24" s="225">
        <f t="shared" ca="1" si="3"/>
        <v>0.29166666666666669</v>
      </c>
      <c r="S24" s="225">
        <f t="shared" si="7"/>
        <v>0</v>
      </c>
      <c r="T24" s="130">
        <f t="shared" ca="1" si="4"/>
        <v>-0.29166666666667002</v>
      </c>
      <c r="U24" s="251">
        <f t="shared" ca="1" si="5"/>
        <v>0.29166666666666669</v>
      </c>
      <c r="V24" s="131"/>
      <c r="W24" s="214" t="e">
        <f t="shared" ca="1" si="8"/>
        <v>#REF!</v>
      </c>
      <c r="AB24" s="345">
        <f t="shared" si="9"/>
        <v>0</v>
      </c>
      <c r="AC24" s="345">
        <f t="shared" si="10"/>
        <v>0</v>
      </c>
    </row>
    <row r="25" spans="1:29" s="19" customFormat="1" ht="12" x14ac:dyDescent="0.2">
      <c r="A25" s="312">
        <f t="shared" si="6"/>
        <v>44398</v>
      </c>
      <c r="B25" s="129">
        <f t="shared" si="0"/>
        <v>44398</v>
      </c>
      <c r="C25" s="262" t="str">
        <f t="shared" si="1"/>
        <v/>
      </c>
      <c r="D25" s="358"/>
      <c r="E25" s="352"/>
      <c r="F25" s="255"/>
      <c r="G25" s="309"/>
      <c r="H25" s="309"/>
      <c r="I25" s="348">
        <f>IFERROR(VLOOKUP(D25&amp;G25,tbl_Entfernung[[Verketten]:[Entfernung]],2,FALSE),"")</f>
        <v>0</v>
      </c>
      <c r="J25" s="361"/>
      <c r="K25" s="352"/>
      <c r="L25" s="309"/>
      <c r="M25" s="309"/>
      <c r="N25" s="321">
        <f>IFERROR(VLOOKUP(G25&amp;L25,tbl_Entfernung[[Verketten]:[Entfernung]],2,FALSE),"")</f>
        <v>0</v>
      </c>
      <c r="O25" s="316">
        <f>IF(S25&gt;PauseGTime,PauseGWert,IF(S25&gt;PauseKTime,PauseKWert,IF(S25&lt;=PauseKTime,0,WENN)))</f>
        <v>0</v>
      </c>
      <c r="P25" s="364"/>
      <c r="Q25" s="356">
        <f t="shared" si="2"/>
        <v>0</v>
      </c>
      <c r="R25" s="225">
        <f t="shared" ca="1" si="3"/>
        <v>0.29166666666666669</v>
      </c>
      <c r="S25" s="225">
        <f t="shared" si="7"/>
        <v>0</v>
      </c>
      <c r="T25" s="130">
        <f t="shared" ca="1" si="4"/>
        <v>-0.29166666666667002</v>
      </c>
      <c r="U25" s="251">
        <f t="shared" ca="1" si="5"/>
        <v>0.29166666666666669</v>
      </c>
      <c r="V25" s="131"/>
      <c r="W25" s="214" t="e">
        <f t="shared" ca="1" si="8"/>
        <v>#REF!</v>
      </c>
      <c r="AB25" s="345">
        <f t="shared" si="9"/>
        <v>0</v>
      </c>
      <c r="AC25" s="345">
        <f t="shared" si="10"/>
        <v>0</v>
      </c>
    </row>
    <row r="26" spans="1:29" s="19" customFormat="1" ht="12" x14ac:dyDescent="0.2">
      <c r="A26" s="312">
        <f t="shared" si="6"/>
        <v>44399</v>
      </c>
      <c r="B26" s="129">
        <f t="shared" si="0"/>
        <v>44399</v>
      </c>
      <c r="C26" s="262" t="str">
        <f t="shared" si="1"/>
        <v/>
      </c>
      <c r="D26" s="358"/>
      <c r="E26" s="352"/>
      <c r="F26" s="255"/>
      <c r="G26" s="309"/>
      <c r="H26" s="309"/>
      <c r="I26" s="348">
        <f>IFERROR(VLOOKUP(D26&amp;G26,tbl_Entfernung[[Verketten]:[Entfernung]],2,FALSE),"")</f>
        <v>0</v>
      </c>
      <c r="J26" s="361"/>
      <c r="K26" s="352"/>
      <c r="L26" s="309"/>
      <c r="M26" s="309"/>
      <c r="N26" s="321">
        <f>IFERROR(VLOOKUP(G26&amp;L26,tbl_Entfernung[[Verketten]:[Entfernung]],2,FALSE),"")</f>
        <v>0</v>
      </c>
      <c r="O26" s="316">
        <f>IF(S26&gt;PauseGTime,PauseGWert,IF(S26&gt;PauseKTime,PauseKWert,IF(S26&lt;=PauseKTime,0,WENN)))</f>
        <v>0</v>
      </c>
      <c r="P26" s="364"/>
      <c r="Q26" s="356">
        <f t="shared" si="2"/>
        <v>0</v>
      </c>
      <c r="R26" s="225">
        <f t="shared" ca="1" si="3"/>
        <v>0.29166666666666669</v>
      </c>
      <c r="S26" s="225">
        <f t="shared" si="7"/>
        <v>0</v>
      </c>
      <c r="T26" s="130">
        <f t="shared" ca="1" si="4"/>
        <v>-0.29166666666667002</v>
      </c>
      <c r="U26" s="251">
        <f t="shared" ca="1" si="5"/>
        <v>0.29166666666666669</v>
      </c>
      <c r="V26" s="131"/>
      <c r="W26" s="214" t="e">
        <f t="shared" ca="1" si="8"/>
        <v>#REF!</v>
      </c>
      <c r="AB26" s="345">
        <f t="shared" si="9"/>
        <v>0</v>
      </c>
      <c r="AC26" s="345">
        <f t="shared" si="10"/>
        <v>0</v>
      </c>
    </row>
    <row r="27" spans="1:29" s="19" customFormat="1" ht="12" x14ac:dyDescent="0.2">
      <c r="A27" s="312">
        <f t="shared" si="6"/>
        <v>44400</v>
      </c>
      <c r="B27" s="129">
        <f t="shared" si="0"/>
        <v>44400</v>
      </c>
      <c r="C27" s="262" t="str">
        <f t="shared" si="1"/>
        <v/>
      </c>
      <c r="D27" s="358"/>
      <c r="E27" s="352"/>
      <c r="F27" s="255"/>
      <c r="G27" s="309"/>
      <c r="H27" s="309"/>
      <c r="I27" s="348">
        <f>IFERROR(VLOOKUP(D27&amp;G27,tbl_Entfernung[[Verketten]:[Entfernung]],2,FALSE),"")</f>
        <v>0</v>
      </c>
      <c r="J27" s="361"/>
      <c r="K27" s="352"/>
      <c r="L27" s="309"/>
      <c r="M27" s="309"/>
      <c r="N27" s="321">
        <f>IFERROR(VLOOKUP(G27&amp;L27,tbl_Entfernung[[Verketten]:[Entfernung]],2,FALSE),"")</f>
        <v>0</v>
      </c>
      <c r="O27" s="316">
        <f>IF(S27&gt;PauseGTime,PauseGWert,IF(S27&gt;PauseKTime,PauseKWert,IF(S27&lt;=PauseKTime,0,WENN)))</f>
        <v>0</v>
      </c>
      <c r="P27" s="364"/>
      <c r="Q27" s="356">
        <f t="shared" si="2"/>
        <v>0</v>
      </c>
      <c r="R27" s="225">
        <f t="shared" ca="1" si="3"/>
        <v>0.29166666666666669</v>
      </c>
      <c r="S27" s="225">
        <f t="shared" si="7"/>
        <v>0</v>
      </c>
      <c r="T27" s="130">
        <f t="shared" ca="1" si="4"/>
        <v>-0.29166666666667002</v>
      </c>
      <c r="U27" s="251">
        <f t="shared" ca="1" si="5"/>
        <v>0.29166666666666669</v>
      </c>
      <c r="V27" s="131"/>
      <c r="W27" s="214" t="e">
        <f t="shared" ca="1" si="8"/>
        <v>#REF!</v>
      </c>
      <c r="AB27" s="345">
        <f t="shared" si="9"/>
        <v>0</v>
      </c>
      <c r="AC27" s="345">
        <f t="shared" si="10"/>
        <v>0</v>
      </c>
    </row>
    <row r="28" spans="1:29" s="19" customFormat="1" ht="12" x14ac:dyDescent="0.2">
      <c r="A28" s="312">
        <f t="shared" si="6"/>
        <v>44401</v>
      </c>
      <c r="B28" s="129">
        <f t="shared" si="0"/>
        <v>44401</v>
      </c>
      <c r="C28" s="262" t="str">
        <f t="shared" si="1"/>
        <v/>
      </c>
      <c r="D28" s="358"/>
      <c r="E28" s="352"/>
      <c r="F28" s="255"/>
      <c r="G28" s="309"/>
      <c r="H28" s="309"/>
      <c r="I28" s="348">
        <f>IFERROR(VLOOKUP(D28&amp;G28,tbl_Entfernung[[Verketten]:[Entfernung]],2,FALSE),"")</f>
        <v>0</v>
      </c>
      <c r="J28" s="361"/>
      <c r="K28" s="352"/>
      <c r="L28" s="309"/>
      <c r="M28" s="309"/>
      <c r="N28" s="321">
        <f>IFERROR(VLOOKUP(G28&amp;L28,tbl_Entfernung[[Verketten]:[Entfernung]],2,FALSE),"")</f>
        <v>0</v>
      </c>
      <c r="O28" s="316">
        <f>IF(S28&gt;PauseGTime,PauseGWert,IF(S28&gt;PauseKTime,PauseKWert,IF(S28&lt;=PauseKTime,0,WENN)))</f>
        <v>0</v>
      </c>
      <c r="P28" s="364"/>
      <c r="Q28" s="356">
        <f t="shared" si="2"/>
        <v>0</v>
      </c>
      <c r="R28" s="225">
        <f t="shared" ca="1" si="3"/>
        <v>0.29166666666666669</v>
      </c>
      <c r="S28" s="225">
        <f t="shared" si="7"/>
        <v>0</v>
      </c>
      <c r="T28" s="130">
        <f t="shared" ca="1" si="4"/>
        <v>-0.29166666666667002</v>
      </c>
      <c r="U28" s="251">
        <f t="shared" ca="1" si="5"/>
        <v>0.29166666666666669</v>
      </c>
      <c r="V28" s="131"/>
      <c r="W28" s="214" t="e">
        <f t="shared" ca="1" si="8"/>
        <v>#REF!</v>
      </c>
      <c r="AB28" s="345">
        <f t="shared" si="9"/>
        <v>0</v>
      </c>
      <c r="AC28" s="345">
        <f t="shared" si="10"/>
        <v>0</v>
      </c>
    </row>
    <row r="29" spans="1:29" s="19" customFormat="1" ht="12" x14ac:dyDescent="0.2">
      <c r="A29" s="312">
        <f t="shared" si="6"/>
        <v>44402</v>
      </c>
      <c r="B29" s="129">
        <f t="shared" si="0"/>
        <v>44402</v>
      </c>
      <c r="C29" s="262" t="str">
        <f t="shared" si="1"/>
        <v/>
      </c>
      <c r="D29" s="358"/>
      <c r="E29" s="352"/>
      <c r="F29" s="255"/>
      <c r="G29" s="309"/>
      <c r="H29" s="309"/>
      <c r="I29" s="348">
        <f>IFERROR(VLOOKUP(D29&amp;G29,tbl_Entfernung[[Verketten]:[Entfernung]],2,FALSE),"")</f>
        <v>0</v>
      </c>
      <c r="J29" s="361"/>
      <c r="K29" s="352"/>
      <c r="L29" s="309"/>
      <c r="M29" s="309"/>
      <c r="N29" s="321">
        <f>IFERROR(VLOOKUP(G29&amp;L29,tbl_Entfernung[[Verketten]:[Entfernung]],2,FALSE),"")</f>
        <v>0</v>
      </c>
      <c r="O29" s="316">
        <f>IF(S29&gt;PauseGTime,PauseGWert,IF(S29&gt;PauseKTime,PauseKWert,IF(S29&lt;=PauseKTime,0,WENN)))</f>
        <v>0</v>
      </c>
      <c r="P29" s="364"/>
      <c r="Q29" s="356">
        <f t="shared" si="2"/>
        <v>0</v>
      </c>
      <c r="R29" s="225">
        <f t="shared" ca="1" si="3"/>
        <v>0</v>
      </c>
      <c r="S29" s="225">
        <f t="shared" si="7"/>
        <v>0</v>
      </c>
      <c r="T29" s="130">
        <f t="shared" ca="1" si="4"/>
        <v>0</v>
      </c>
      <c r="U29" s="251">
        <f t="shared" ca="1" si="5"/>
        <v>0</v>
      </c>
      <c r="V29" s="131"/>
      <c r="W29" s="214" t="e">
        <f t="shared" ca="1" si="8"/>
        <v>#REF!</v>
      </c>
      <c r="AB29" s="345">
        <f t="shared" si="9"/>
        <v>0</v>
      </c>
      <c r="AC29" s="345">
        <f t="shared" si="10"/>
        <v>0</v>
      </c>
    </row>
    <row r="30" spans="1:29" s="19" customFormat="1" ht="12" x14ac:dyDescent="0.2">
      <c r="A30" s="312">
        <f t="shared" si="6"/>
        <v>44403</v>
      </c>
      <c r="B30" s="129">
        <f t="shared" si="0"/>
        <v>44403</v>
      </c>
      <c r="C30" s="262" t="str">
        <f t="shared" si="1"/>
        <v/>
      </c>
      <c r="D30" s="358"/>
      <c r="E30" s="352"/>
      <c r="F30" s="255"/>
      <c r="G30" s="309"/>
      <c r="H30" s="309"/>
      <c r="I30" s="349">
        <f>IFERROR(VLOOKUP(D30&amp;G30,tbl_Entfernung[[Verketten]:[Entfernung]],2,FALSE),"")</f>
        <v>0</v>
      </c>
      <c r="J30" s="361"/>
      <c r="K30" s="352"/>
      <c r="L30" s="309"/>
      <c r="M30" s="309"/>
      <c r="N30" s="322">
        <f>IFERROR(VLOOKUP(G30&amp;L30,tbl_Entfernung[[Verketten]:[Entfernung]],2,FALSE),"")</f>
        <v>0</v>
      </c>
      <c r="O30" s="316">
        <f>IF(S30&gt;PauseGTime,PauseGWert,IF(S30&gt;PauseKTime,PauseKWert,IF(S30&lt;=PauseKTime,0,WENN)))</f>
        <v>0</v>
      </c>
      <c r="P30" s="364"/>
      <c r="Q30" s="356">
        <f t="shared" si="2"/>
        <v>0</v>
      </c>
      <c r="R30" s="225">
        <f t="shared" ca="1" si="3"/>
        <v>0</v>
      </c>
      <c r="S30" s="225">
        <f t="shared" si="7"/>
        <v>0</v>
      </c>
      <c r="T30" s="130">
        <f t="shared" ca="1" si="4"/>
        <v>0</v>
      </c>
      <c r="U30" s="251">
        <f t="shared" ca="1" si="5"/>
        <v>0</v>
      </c>
      <c r="V30" s="131"/>
      <c r="W30" s="214" t="e">
        <f t="shared" ca="1" si="8"/>
        <v>#REF!</v>
      </c>
      <c r="AB30" s="345">
        <f t="shared" si="9"/>
        <v>0</v>
      </c>
      <c r="AC30" s="345">
        <f t="shared" si="10"/>
        <v>0</v>
      </c>
    </row>
    <row r="31" spans="1:29" s="19" customFormat="1" ht="12" x14ac:dyDescent="0.2">
      <c r="A31" s="312">
        <f t="shared" si="6"/>
        <v>44404</v>
      </c>
      <c r="B31" s="129">
        <f t="shared" si="0"/>
        <v>44404</v>
      </c>
      <c r="C31" s="262" t="str">
        <f t="shared" si="1"/>
        <v/>
      </c>
      <c r="D31" s="358"/>
      <c r="E31" s="352"/>
      <c r="F31" s="255"/>
      <c r="G31" s="309"/>
      <c r="H31" s="309"/>
      <c r="I31" s="349">
        <f>IFERROR(VLOOKUP(D31&amp;G31,tbl_Entfernung[[Verketten]:[Entfernung]],2,FALSE),"")</f>
        <v>0</v>
      </c>
      <c r="J31" s="361"/>
      <c r="K31" s="352"/>
      <c r="L31" s="309"/>
      <c r="M31" s="309"/>
      <c r="N31" s="322">
        <f>IFERROR(VLOOKUP(G31&amp;L31,tbl_Entfernung[[Verketten]:[Entfernung]],2,FALSE),"")</f>
        <v>0</v>
      </c>
      <c r="O31" s="316">
        <f>IF(S31&gt;PauseGTime,PauseGWert,IF(S31&gt;PauseKTime,PauseKWert,IF(S31&lt;=PauseKTime,0,WENN)))</f>
        <v>0</v>
      </c>
      <c r="P31" s="364"/>
      <c r="Q31" s="356">
        <f t="shared" si="2"/>
        <v>0</v>
      </c>
      <c r="R31" s="225">
        <f t="shared" ca="1" si="3"/>
        <v>0.29166666666666669</v>
      </c>
      <c r="S31" s="225">
        <f t="shared" si="7"/>
        <v>0</v>
      </c>
      <c r="T31" s="130">
        <f t="shared" ca="1" si="4"/>
        <v>-0.29166666666667002</v>
      </c>
      <c r="U31" s="251">
        <f t="shared" ca="1" si="5"/>
        <v>0.29166666666666669</v>
      </c>
      <c r="V31" s="131"/>
      <c r="W31" s="214" t="e">
        <f t="shared" ca="1" si="8"/>
        <v>#REF!</v>
      </c>
      <c r="AB31" s="345">
        <f t="shared" si="9"/>
        <v>0</v>
      </c>
      <c r="AC31" s="345">
        <f t="shared" si="10"/>
        <v>0</v>
      </c>
    </row>
    <row r="32" spans="1:29" s="19" customFormat="1" ht="12" x14ac:dyDescent="0.2">
      <c r="A32" s="312">
        <f>IF(MONTH(A31+1)&gt;MONTH(A31),"",A31+1)</f>
        <v>44405</v>
      </c>
      <c r="B32" s="129">
        <f t="shared" si="0"/>
        <v>44405</v>
      </c>
      <c r="C32" s="262" t="str">
        <f>IF(ISERROR(VLOOKUP(A32,Feiertage,2,FALSE)),"",(VLOOKUP(A32,Feiertage,2,FALSE)))</f>
        <v/>
      </c>
      <c r="D32" s="358"/>
      <c r="E32" s="352"/>
      <c r="F32" s="255"/>
      <c r="G32" s="309"/>
      <c r="H32" s="309"/>
      <c r="I32" s="349">
        <f>IFERROR(VLOOKUP(D32&amp;G32,tbl_Entfernung[[Verketten]:[Entfernung]],2,FALSE),"")</f>
        <v>0</v>
      </c>
      <c r="J32" s="361"/>
      <c r="K32" s="352"/>
      <c r="L32" s="309"/>
      <c r="M32" s="309"/>
      <c r="N32" s="322">
        <f>IFERROR(VLOOKUP(G32&amp;L32,tbl_Entfernung[[Verketten]:[Entfernung]],2,FALSE),"")</f>
        <v>0</v>
      </c>
      <c r="O32" s="316">
        <f>IF(S32&gt;PauseGTime,PauseGWert,IF(S32&gt;PauseKTime,PauseKWert,IF(S32&lt;=PauseKTime,0,WENN)))</f>
        <v>0</v>
      </c>
      <c r="P32" s="364"/>
      <c r="Q32" s="356">
        <f t="shared" si="2"/>
        <v>0</v>
      </c>
      <c r="R32" s="225">
        <f t="shared" ca="1" si="3"/>
        <v>0.29166666666666669</v>
      </c>
      <c r="S32" s="225">
        <f t="shared" si="7"/>
        <v>0</v>
      </c>
      <c r="T32" s="130">
        <f t="shared" ca="1" si="4"/>
        <v>-0.29166666666667002</v>
      </c>
      <c r="U32" s="251">
        <f t="shared" ca="1" si="5"/>
        <v>0.29166666666666669</v>
      </c>
      <c r="V32" s="131"/>
      <c r="W32" s="214" t="e">
        <f t="shared" ca="1" si="8"/>
        <v>#REF!</v>
      </c>
      <c r="AB32" s="345">
        <f t="shared" si="9"/>
        <v>0</v>
      </c>
      <c r="AC32" s="345">
        <f t="shared" si="10"/>
        <v>0</v>
      </c>
    </row>
    <row r="33" spans="1:29" s="19" customFormat="1" ht="12" x14ac:dyDescent="0.2">
      <c r="A33" s="312">
        <f>IF(MONTH(A31+2)&gt;MONTH(A31),"",A31+2)</f>
        <v>44406</v>
      </c>
      <c r="B33" s="129">
        <f t="shared" si="0"/>
        <v>44406</v>
      </c>
      <c r="C33" s="262" t="str">
        <f>IF(ISERROR(VLOOKUP(A33,Feiertage,2,FALSE)),"",(VLOOKUP(A33,Feiertage,2,FALSE)))</f>
        <v/>
      </c>
      <c r="D33" s="358"/>
      <c r="E33" s="352"/>
      <c r="F33" s="255"/>
      <c r="G33" s="309"/>
      <c r="H33" s="309"/>
      <c r="I33" s="349">
        <f>IFERROR(VLOOKUP(D33&amp;G33,tbl_Entfernung[[Verketten]:[Entfernung]],2,FALSE),"")</f>
        <v>0</v>
      </c>
      <c r="J33" s="361"/>
      <c r="K33" s="352"/>
      <c r="L33" s="309"/>
      <c r="M33" s="309"/>
      <c r="N33" s="322">
        <f>IFERROR(VLOOKUP(G33&amp;L33,tbl_Entfernung[[Verketten]:[Entfernung]],2,FALSE),"")</f>
        <v>0</v>
      </c>
      <c r="O33" s="316">
        <f>IF(S33&gt;PauseGTime,PauseGWert,IF(S33&gt;PauseKTime,PauseKWert,IF(S33&lt;=PauseKTime,0,WENN)))</f>
        <v>0</v>
      </c>
      <c r="P33" s="364"/>
      <c r="Q33" s="356">
        <f t="shared" si="2"/>
        <v>0</v>
      </c>
      <c r="R33" s="225">
        <f t="shared" ca="1" si="3"/>
        <v>0.29166666666666669</v>
      </c>
      <c r="S33" s="225">
        <f t="shared" si="7"/>
        <v>0</v>
      </c>
      <c r="T33" s="130">
        <f t="shared" ca="1" si="4"/>
        <v>-0.29166666666667002</v>
      </c>
      <c r="U33" s="251">
        <f t="shared" ca="1" si="5"/>
        <v>0.29166666666666669</v>
      </c>
      <c r="V33" s="131"/>
      <c r="W33" s="214" t="e">
        <f t="shared" ca="1" si="8"/>
        <v>#REF!</v>
      </c>
      <c r="AB33" s="345">
        <f t="shared" si="9"/>
        <v>0</v>
      </c>
      <c r="AC33" s="345">
        <f t="shared" si="10"/>
        <v>0</v>
      </c>
    </row>
    <row r="34" spans="1:29" s="19" customFormat="1" ht="12" x14ac:dyDescent="0.2">
      <c r="A34" s="313">
        <f>IF(MONTH(A31+3)&gt;MONTH(A31),"",A31+3)</f>
        <v>44407</v>
      </c>
      <c r="B34" s="215">
        <f t="shared" si="0"/>
        <v>44407</v>
      </c>
      <c r="C34" s="263" t="str">
        <f>IF(ISERROR(VLOOKUP(A34,Feiertage,2,FALSE)),"",(VLOOKUP(A34,Feiertage,2,FALSE)))</f>
        <v/>
      </c>
      <c r="D34" s="359"/>
      <c r="E34" s="353"/>
      <c r="F34" s="256"/>
      <c r="G34" s="310"/>
      <c r="H34" s="310"/>
      <c r="I34" s="350">
        <f>IFERROR(VLOOKUP(D34&amp;G34,tbl_Entfernung[[Verketten]:[Entfernung]],2,FALSE),"")</f>
        <v>0</v>
      </c>
      <c r="J34" s="362"/>
      <c r="K34" s="354"/>
      <c r="L34" s="310"/>
      <c r="M34" s="310"/>
      <c r="N34" s="323">
        <f>IFERROR(VLOOKUP(G34&amp;L34,tbl_Entfernung[[Verketten]:[Entfernung]],2,FALSE),"")</f>
        <v>0</v>
      </c>
      <c r="O34" s="317">
        <f>IF(S34&gt;PauseGTime,PauseGWert,IF(S34&gt;PauseKTime,PauseKWert,IF(S34&lt;=PauseKTime,0,WENN)))</f>
        <v>0</v>
      </c>
      <c r="P34" s="365"/>
      <c r="Q34" s="357">
        <f t="shared" si="2"/>
        <v>0</v>
      </c>
      <c r="R34" s="226">
        <f t="shared" ca="1" si="3"/>
        <v>0.29166666666666669</v>
      </c>
      <c r="S34" s="226">
        <f t="shared" si="7"/>
        <v>0</v>
      </c>
      <c r="T34" s="216">
        <f t="shared" ca="1" si="4"/>
        <v>-0.29166666666667002</v>
      </c>
      <c r="U34" s="252">
        <f t="shared" ca="1" si="5"/>
        <v>0.29166666666666669</v>
      </c>
      <c r="V34" s="217"/>
      <c r="W34" s="218" t="e">
        <f t="shared" ca="1" si="8"/>
        <v>#REF!</v>
      </c>
      <c r="AB34" s="345">
        <f t="shared" si="9"/>
        <v>0</v>
      </c>
      <c r="AC34" s="345">
        <f t="shared" si="10"/>
        <v>0</v>
      </c>
    </row>
    <row r="35" spans="1:29" s="19" customFormat="1" ht="4.5" customHeight="1" x14ac:dyDescent="0.2">
      <c r="B35" s="48"/>
      <c r="C35" s="48"/>
      <c r="D35" s="48"/>
      <c r="E35" s="48"/>
      <c r="F35" s="49"/>
      <c r="G35" s="49"/>
      <c r="H35" s="49"/>
      <c r="I35" s="49"/>
      <c r="J35" s="49"/>
      <c r="K35" s="49"/>
      <c r="L35" s="50"/>
      <c r="M35" s="50"/>
      <c r="N35" s="50"/>
      <c r="O35" s="50"/>
      <c r="P35" s="50"/>
      <c r="Q35" s="49"/>
      <c r="R35" s="51"/>
      <c r="S35" s="51"/>
      <c r="T35" s="51"/>
      <c r="U35" s="1"/>
      <c r="V35" s="1"/>
      <c r="W35" s="1"/>
    </row>
    <row r="36" spans="1:29" ht="12.75" customHeight="1" x14ac:dyDescent="0.2">
      <c r="A36" s="132"/>
      <c r="B36" s="133"/>
      <c r="C36" s="133"/>
      <c r="D36" s="290"/>
      <c r="E36" s="272"/>
      <c r="F36" s="291" t="str">
        <f>"Übertrag "&amp;TEXT(DATE(YEAR(A1),MONTH(A1)-1,1),"MMMM JJJJ")&amp;":"</f>
        <v>Übertrag Juni 2025:</v>
      </c>
      <c r="G36" s="272"/>
      <c r="H36" s="272"/>
      <c r="I36" s="272"/>
      <c r="J36" s="292" t="e">
        <f ca="1">Juni!J40</f>
        <v>#REF!</v>
      </c>
      <c r="K36" s="287"/>
      <c r="P36" s="293">
        <f>COUNTIF(P4:P34,Voreinstellungen!B21)+IF(COUNTIF(P4:P34,Voreinstellungen!B22)&gt;0,1-(SUMIF(P4:P34,Voreinstellungen!B22,R4:R34)/SUMIF(P4:P34,Voreinstellungen!B22,U4:U34)),0)</f>
        <v>0</v>
      </c>
      <c r="Q36" s="325" t="str">
        <f>Voreinstellungen!A21&amp;" ("&amp;Voreinstellungen!B21&amp;"/"&amp;Voreinstellungen!B22&amp;")"</f>
        <v>Krank (K/KK)</v>
      </c>
      <c r="R36" s="326"/>
      <c r="S36" s="326"/>
      <c r="T36" s="326"/>
      <c r="U36" s="326"/>
      <c r="V36" s="326"/>
      <c r="W36" s="173">
        <f>(SUMIF(P4:P34,Voreinstellungen!B21,R4:R34)-SUMIF(P4:P34,Voreinstellungen!B21,U4:U34)+SUMIF(P4:P34,Voreinstellungen!B22,R4:R34)-SUMIF(P4:P34,Voreinstellungen!B22,U4:U34))*-1</f>
        <v>0</v>
      </c>
      <c r="Y36" s="384" t="s">
        <v>155</v>
      </c>
      <c r="Z36" s="385" t="s">
        <v>150</v>
      </c>
      <c r="AA36" s="385" t="s">
        <v>151</v>
      </c>
      <c r="AB36" s="386" t="s">
        <v>152</v>
      </c>
    </row>
    <row r="37" spans="1:29" ht="12.75" customHeight="1" x14ac:dyDescent="0.2">
      <c r="A37" s="134"/>
      <c r="B37" s="135"/>
      <c r="C37" s="135"/>
      <c r="D37" s="135"/>
      <c r="E37" s="136"/>
      <c r="F37" s="294" t="str">
        <f>"SOLL Arbeitszeit ("&amp;TEXT(A1,"MMMM")&amp;"):"</f>
        <v>SOLL Arbeitszeit (Juli):</v>
      </c>
      <c r="G37" s="136"/>
      <c r="H37" s="136"/>
      <c r="I37" s="136"/>
      <c r="J37" s="295">
        <f ca="1">SUM(R4:R34)</f>
        <v>6.7083333333333357</v>
      </c>
      <c r="K37" s="287"/>
      <c r="P37" s="296">
        <f>COUNTIF(P4:P34,Voreinstellungen!B25)+(COUNTIF(P4:P34,Voreinstellungen!B26)*Voreinstellungen!C26)</f>
        <v>0</v>
      </c>
      <c r="Q37" s="327" t="str">
        <f>Voreinstellungen!A25&amp;" ("&amp;Voreinstellungen!B25&amp;"/"&amp;Voreinstellungen!B26&amp;") aktuell noch Verfügbar: "&amp;Voreinstellungen!C38&amp;" Tag(e)"</f>
        <v>Urlaub (U/UH) aktuell noch Verfügbar: 27 Tag(e)</v>
      </c>
      <c r="R37" s="328"/>
      <c r="S37" s="328"/>
      <c r="T37" s="328"/>
      <c r="U37" s="328"/>
      <c r="V37" s="328"/>
      <c r="W37" s="167">
        <f>SUMIF(P4:P34,Voreinstellungen!B25,U4:U34)+(SUMIF(P4:P34,Voreinstellungen!B26,U4:U34)*0.5)</f>
        <v>0</v>
      </c>
      <c r="Y37" s="374">
        <f>Voreinstellungen!J45</f>
        <v>0</v>
      </c>
      <c r="Z37" s="377">
        <f t="shared" ref="Z37:Z49" si="11">SUMIFS($AB$4:$AB$34,$G$4:$G$34,$Y37)+SUMIFS($AC$4:$AC$34,$L$4:$L$34,$Y37)</f>
        <v>0</v>
      </c>
      <c r="AA37" s="378">
        <f t="shared" ref="AA37:AA49" si="12">SUMIFS($I$4:$I$34,$G$4:$G$34,$Y37)+SUMIFS($N$4:$N$34,$L$4:$L$34,$Y37)</f>
        <v>0</v>
      </c>
      <c r="AB37" s="379">
        <f>SUM(AA37*Voreinstellungen!$C$44)</f>
        <v>0</v>
      </c>
    </row>
    <row r="38" spans="1:29" ht="12.75" customHeight="1" x14ac:dyDescent="0.2">
      <c r="A38" s="137"/>
      <c r="B38" s="138"/>
      <c r="C38" s="138"/>
      <c r="D38" s="138"/>
      <c r="E38" s="136"/>
      <c r="F38" s="294" t="str">
        <f>"IST Arbeitszeit ("&amp;TEXT(A1,"MMMM")&amp;"):"</f>
        <v>IST Arbeitszeit (Juli):</v>
      </c>
      <c r="G38" s="273"/>
      <c r="H38" s="273"/>
      <c r="I38" s="273"/>
      <c r="J38" s="297">
        <f>SUM(Q4:Q34)</f>
        <v>0</v>
      </c>
      <c r="K38" s="287"/>
      <c r="P38" s="296">
        <f>COUNTIF(P4:P34,Voreinstellungen!B20)</f>
        <v>0</v>
      </c>
      <c r="Q38" s="327" t="str">
        <f>Voreinstellungen!A20&amp;" ("&amp;Voreinstellungen!B20&amp;")"</f>
        <v>Gleittag (G)</v>
      </c>
      <c r="R38" s="328"/>
      <c r="S38" s="328"/>
      <c r="T38" s="328"/>
      <c r="U38" s="328"/>
      <c r="V38" s="328"/>
      <c r="W38" s="172"/>
      <c r="Y38" s="375">
        <f>Voreinstellungen!J46</f>
        <v>0</v>
      </c>
      <c r="Z38" s="380">
        <f t="shared" si="11"/>
        <v>0</v>
      </c>
      <c r="AA38" s="380">
        <f t="shared" si="12"/>
        <v>0</v>
      </c>
      <c r="AB38" s="381">
        <f>SUM(AA38*Voreinstellungen!$C$44)</f>
        <v>0</v>
      </c>
    </row>
    <row r="39" spans="1:29" ht="12.75" customHeight="1" x14ac:dyDescent="0.2">
      <c r="A39" s="137"/>
      <c r="B39" s="138"/>
      <c r="C39" s="138"/>
      <c r="D39" s="138"/>
      <c r="E39" s="136"/>
      <c r="F39" s="136" t="s">
        <v>84</v>
      </c>
      <c r="G39" s="274"/>
      <c r="H39" s="274"/>
      <c r="I39" s="274"/>
      <c r="J39" s="298"/>
      <c r="K39" s="287"/>
      <c r="P39" s="296">
        <f>COUNTIF(P4:P34,Voreinstellungen!B23)+IF(SUMIF(P4:P34,Voreinstellungen!B24,U4:U34)&lt;&gt;0,(1-(SUMIF(P4:P34,Voreinstellungen!B24,R4:R34)/SUMIF(P4:P34,Voreinstellungen!B24,U4:U34)))*COUNTIF(P4:P34,Voreinstellungen!B24),0)</f>
        <v>0</v>
      </c>
      <c r="Q39" s="327" t="str">
        <f>Voreinstellungen!A23&amp;" ("&amp;Voreinstellungen!B23&amp;")/("&amp;Voreinstellungen!B24&amp;")"</f>
        <v>Kurzarbeit (KU)/(KA)</v>
      </c>
      <c r="R39" s="329"/>
      <c r="S39" s="329"/>
      <c r="T39" s="329"/>
      <c r="U39" s="329"/>
      <c r="V39" s="329"/>
      <c r="W39" s="166">
        <f>(SUMIF(P4:P34,Voreinstellungen!B23,R4:R34)-SUMIF(P4:P34,Voreinstellungen!B23,U4:U34)+SUMIF(P4:P34,Voreinstellungen!B24,R4:R34)-SUMIF(P4:P34,Voreinstellungen!B24,U4:U34))*-1</f>
        <v>0</v>
      </c>
      <c r="Y39" s="375">
        <f>Voreinstellungen!J48</f>
        <v>0</v>
      </c>
      <c r="Z39" s="380">
        <f t="shared" si="11"/>
        <v>0</v>
      </c>
      <c r="AA39" s="380">
        <f t="shared" si="12"/>
        <v>0</v>
      </c>
      <c r="AB39" s="381">
        <f>SUM(AA39*Voreinstellungen!$C$44)</f>
        <v>0</v>
      </c>
    </row>
    <row r="40" spans="1:29" ht="12.75" customHeight="1" x14ac:dyDescent="0.2">
      <c r="A40" s="139"/>
      <c r="B40" s="140"/>
      <c r="C40" s="140"/>
      <c r="D40" s="140"/>
      <c r="E40" s="141"/>
      <c r="F40" s="299" t="s">
        <v>85</v>
      </c>
      <c r="G40" s="275"/>
      <c r="H40" s="275"/>
      <c r="I40" s="275"/>
      <c r="J40" s="300" t="e">
        <f ca="1">ROUND(J38+J36-J39-J37,14)</f>
        <v>#REF!</v>
      </c>
      <c r="K40" s="287"/>
      <c r="P40" s="296">
        <f>COUNTIF(Q4:Q34,"&gt;0")-IF(Voreinstellungen!C28="XTRA",COUNTIF(P4:P34,Voreinstellungen!B28),0)-IF(Voreinstellungen!C29="XTRA",COUNTIF(P4:P34,Voreinstellungen!B29),0)-IF(Voreinstellungen!C30="XTRA",COUNTIF(P4:P34,Voreinstellungen!B30),0)-IF(Voreinstellungen!C31="XTRA",COUNTIF(P4:P34,Voreinstellungen!B31),0)-IF(Voreinstellungen!C32="XTRA",COUNTIF(P4:P34,Voreinstellungen!B32),0)-IF(Voreinstellungen!C33="XTRA",COUNTIF(P4:P34,Voreinstellungen!B33),0)-COUNTIF(P4:P34,"H")</f>
        <v>0</v>
      </c>
      <c r="Q40" s="327" t="s">
        <v>86</v>
      </c>
      <c r="R40" s="328"/>
      <c r="S40" s="328"/>
      <c r="T40" s="328"/>
      <c r="U40" s="328"/>
      <c r="V40" s="328"/>
      <c r="W40" s="234"/>
      <c r="Y40" s="375">
        <f>Voreinstellungen!J49</f>
        <v>0</v>
      </c>
      <c r="Z40" s="380">
        <f t="shared" si="11"/>
        <v>0</v>
      </c>
      <c r="AA40" s="380">
        <f t="shared" si="12"/>
        <v>0</v>
      </c>
      <c r="AB40" s="381">
        <f>SUM(AA40*Voreinstellungen!$C$44)</f>
        <v>0</v>
      </c>
    </row>
    <row r="41" spans="1:29" ht="12.75" customHeight="1" x14ac:dyDescent="0.2">
      <c r="P41" s="296">
        <f>COUNTIF(P4:P34,Voreinstellungen!B27)</f>
        <v>0</v>
      </c>
      <c r="Q41" s="327" t="str">
        <f>Voreinstellungen!A27</f>
        <v>Homeoffice</v>
      </c>
      <c r="R41" s="328"/>
      <c r="S41" s="328"/>
      <c r="T41" s="328"/>
      <c r="U41" s="328"/>
      <c r="V41" s="328"/>
      <c r="W41" s="234"/>
      <c r="Y41" s="375">
        <f>Voreinstellungen!J50</f>
        <v>0</v>
      </c>
      <c r="Z41" s="380">
        <f t="shared" si="11"/>
        <v>0</v>
      </c>
      <c r="AA41" s="380">
        <f t="shared" si="12"/>
        <v>0</v>
      </c>
      <c r="AB41" s="381">
        <f>SUM(AA41*Voreinstellungen!$C$44)</f>
        <v>0</v>
      </c>
    </row>
    <row r="42" spans="1:29" ht="12.75" customHeight="1" x14ac:dyDescent="0.2">
      <c r="A42" s="169"/>
      <c r="B42" s="169"/>
      <c r="C42" s="169"/>
      <c r="D42" s="277"/>
      <c r="E42" s="277"/>
      <c r="F42" s="277"/>
      <c r="G42" s="277"/>
      <c r="H42" s="277"/>
      <c r="I42" s="277"/>
      <c r="J42" s="277"/>
      <c r="P42" s="302">
        <f>IF(Voreinstellungen!C28="","",IF(Voreinstellungen!C28="REST",IFERROR(SUMIF(P4:P34,Voreinstellungen!B28,Q4:Q34)/SUMIF(P4:P34,Voreinstellungen!B28,U4:U34),0),IF(Voreinstellungen!C28="NONE",COUNTIF(P4:P34,Voreinstellungen!B28),IF(Voreinstellungen!C28="XTRA",COUNTIF(P4:P34,Voreinstellungen!B28),COUNTIF(P4:P34,Voreinstellungen!B28)*IF(Voreinstellungen!C28=0,1,Voreinstellungen!C28)))))</f>
        <v>0</v>
      </c>
      <c r="Q42" s="330" t="str">
        <f>IF(Voreinstellungen!A28="","",REPT(Voreinstellungen!A28,1) &amp; " (" &amp; REPT(Voreinstellungen!B28,1) &amp; ")")</f>
        <v>Bereitschaft (B)</v>
      </c>
      <c r="R42" s="331"/>
      <c r="S42" s="331"/>
      <c r="T42" s="331"/>
      <c r="U42" s="331"/>
      <c r="V42" s="331"/>
      <c r="W42" s="168">
        <f>IF(ISBLANK(Voreinstellungen!C28),"",IF(Voreinstellungen!C28="REST",SUMIF(P4:P34,Voreinstellungen!B28,U4:U34)-SUMIF(P4:P34,Voreinstellungen!B28,Q4:Q34),IF(ISTEXT(Voreinstellungen!C28),SUMIF(P4:P34,Voreinstellungen!B28,Q4:Q34),"")))</f>
        <v>0</v>
      </c>
      <c r="Y42" s="375">
        <f>Voreinstellungen!J51</f>
        <v>0</v>
      </c>
      <c r="Z42" s="380">
        <f t="shared" si="11"/>
        <v>0</v>
      </c>
      <c r="AA42" s="380">
        <f t="shared" si="12"/>
        <v>0</v>
      </c>
      <c r="AB42" s="381">
        <f>SUM(AA42*Voreinstellungen!$C$44)</f>
        <v>0</v>
      </c>
    </row>
    <row r="43" spans="1:29" ht="12.75" customHeight="1" x14ac:dyDescent="0.2">
      <c r="A43" s="170"/>
      <c r="B43" s="170"/>
      <c r="C43" s="170"/>
      <c r="D43" s="278"/>
      <c r="E43" s="278"/>
      <c r="F43" s="278"/>
      <c r="G43" s="278"/>
      <c r="H43" s="278"/>
      <c r="I43" s="278"/>
      <c r="J43" s="278"/>
      <c r="P43" s="302">
        <f>IF(Voreinstellungen!C29="","",IF(Voreinstellungen!C29="REST",IFERROR(SUMIF(P4:P34,Voreinstellungen!B29,Q4:Q34)/SUMIF(P4:P34,Voreinstellungen!B29,U4:U34),0),IF(Voreinstellungen!C29="NONE",COUNTIF(P4:P34,Voreinstellungen!B29),IF(Voreinstellungen!C29="XTRA",COUNTIF(P4:P34,Voreinstellungen!B29),COUNTIF(P4:P34,Voreinstellungen!B29)*IF(Voreinstellungen!C29=0,1,Voreinstellungen!C29)))))</f>
        <v>0</v>
      </c>
      <c r="Q43" s="330" t="str">
        <f>IF(Voreinstellungen!A29="","",REPT(Voreinstellungen!A29,1) &amp; " (" &amp; REPT(Voreinstellungen!B29,1) &amp; ")")</f>
        <v>Eigener Code 1 (E1)</v>
      </c>
      <c r="R43" s="331"/>
      <c r="S43" s="331"/>
      <c r="T43" s="331"/>
      <c r="U43" s="331"/>
      <c r="V43" s="331"/>
      <c r="W43" s="168">
        <f>IF(ISBLANK(Voreinstellungen!C29),"",IF(Voreinstellungen!C29="REST",SUMIF(P4:P34,Voreinstellungen!B29,U4:U34)-SUMIF(P4:P34,Voreinstellungen!B29,Q4:Q34),IF(ISTEXT(Voreinstellungen!C29),SUMIF(P4:P34,Voreinstellungen!B29,Q4:Q34),"")))</f>
        <v>0</v>
      </c>
      <c r="Y43" s="375">
        <f>Voreinstellungen!J52</f>
        <v>0</v>
      </c>
      <c r="Z43" s="380">
        <f t="shared" si="11"/>
        <v>0</v>
      </c>
      <c r="AA43" s="380">
        <f t="shared" si="12"/>
        <v>0</v>
      </c>
      <c r="AB43" s="381">
        <f>SUM(AA43*Voreinstellungen!$C$44)</f>
        <v>0</v>
      </c>
    </row>
    <row r="44" spans="1:29" ht="12.75" customHeight="1" x14ac:dyDescent="0.2">
      <c r="A44" s="169" t="s">
        <v>46</v>
      </c>
      <c r="B44" s="169"/>
      <c r="C44" s="169"/>
      <c r="D44" s="277"/>
      <c r="E44" s="277"/>
      <c r="F44" s="277"/>
      <c r="G44" s="277"/>
      <c r="H44" s="277"/>
      <c r="I44" s="277"/>
      <c r="J44" s="277" t="s">
        <v>87</v>
      </c>
      <c r="P44" s="302">
        <f>IF(Voreinstellungen!C30="","",IF(Voreinstellungen!C30="REST",IFERROR(SUMIF(P4:P34,Voreinstellungen!B30,Q4:Q34)/SUMIF(P4:P34,Voreinstellungen!B30,U4:U34),0),IF(Voreinstellungen!C30="NONE",COUNTIF(P4:P34,Voreinstellungen!B30),IF(Voreinstellungen!C30="XTRA",COUNTIF(P4:P34,Voreinstellungen!B30),COUNTIF(P4:P34,Voreinstellungen!B30)*IF(Voreinstellungen!C30=0,1,Voreinstellungen!C30)))))</f>
        <v>0</v>
      </c>
      <c r="Q44" s="330" t="str">
        <f>IF(Voreinstellungen!A30="","",REPT(Voreinstellungen!A30,1) &amp; " (" &amp; REPT(Voreinstellungen!B30,1) &amp; ")")</f>
        <v>Eigener Code 2 (E2)</v>
      </c>
      <c r="R44" s="331"/>
      <c r="S44" s="331"/>
      <c r="T44" s="331"/>
      <c r="U44" s="331"/>
      <c r="V44" s="331"/>
      <c r="W44" s="168" t="str">
        <f>IF(ISBLANK(Voreinstellungen!C30),"",IF(Voreinstellungen!C30="REST",SUMIF(P4:P34,Voreinstellungen!B30,U4:U34)-SUMIF(P4:P34,Voreinstellungen!B30,Q4:Q34),IF(ISTEXT(Voreinstellungen!C30),SUMIF(P4:P34,Voreinstellungen!B30,Q4:Q34),"")))</f>
        <v/>
      </c>
      <c r="Y44" s="375">
        <f>Voreinstellungen!J53</f>
        <v>0</v>
      </c>
      <c r="Z44" s="380">
        <f t="shared" si="11"/>
        <v>0</v>
      </c>
      <c r="AA44" s="380">
        <f t="shared" si="12"/>
        <v>0</v>
      </c>
      <c r="AB44" s="381">
        <f>SUM(AA44*Voreinstellungen!$C$44)</f>
        <v>0</v>
      </c>
    </row>
    <row r="45" spans="1:29" ht="12.75" customHeight="1" x14ac:dyDescent="0.2">
      <c r="A45" s="169"/>
      <c r="B45" s="169"/>
      <c r="C45" s="169"/>
      <c r="D45" s="277"/>
      <c r="E45" s="277"/>
      <c r="F45" s="277"/>
      <c r="G45" s="277"/>
      <c r="H45" s="277"/>
      <c r="I45" s="277"/>
      <c r="J45" s="277"/>
      <c r="P45" s="302">
        <f>IF(Voreinstellungen!C31="","",IF(Voreinstellungen!C31="REST",IFERROR(SUMIF(P4:P34,Voreinstellungen!B31,Q4:Q34)/SUMIF(P4:P34,Voreinstellungen!B31,U4:U34),0),IF(Voreinstellungen!C31="NONE",COUNTIF(P4:P34,Voreinstellungen!B31),IF(Voreinstellungen!C31="XTRA",COUNTIF(P4:P34,Voreinstellungen!B31),COUNTIF(P4:P34,Voreinstellungen!B31)*IF(Voreinstellungen!C31=0,1,Voreinstellungen!C31)))))</f>
        <v>0</v>
      </c>
      <c r="Q45" s="330" t="str">
        <f>IF(Voreinstellungen!A31="","",REPT(Voreinstellungen!A31,1) &amp; " (" &amp; REPT(Voreinstellungen!B31,1) &amp; ")")</f>
        <v>Eigener Code 3 (E3)</v>
      </c>
      <c r="R45" s="331"/>
      <c r="S45" s="331"/>
      <c r="T45" s="331"/>
      <c r="U45" s="331"/>
      <c r="V45" s="331"/>
      <c r="W45" s="168" t="str">
        <f>IF(ISBLANK(Voreinstellungen!C31),"",IF(Voreinstellungen!C31="REST",SUMIF(P4:P34,Voreinstellungen!B31,U4:U34)-SUMIF(P4:P34,Voreinstellungen!B31,Q4:Q34),IF(ISTEXT(Voreinstellungen!C31),SUMIF(P4:P34,Voreinstellungen!B31,Q4:Q34),"")))</f>
        <v/>
      </c>
      <c r="Y45" s="375">
        <f>Voreinstellungen!J54</f>
        <v>0</v>
      </c>
      <c r="Z45" s="380">
        <f t="shared" si="11"/>
        <v>0</v>
      </c>
      <c r="AA45" s="380">
        <f t="shared" si="12"/>
        <v>0</v>
      </c>
      <c r="AB45" s="381">
        <f>SUM(AA45*Voreinstellungen!$C$44)</f>
        <v>0</v>
      </c>
    </row>
    <row r="46" spans="1:29" ht="12.75" customHeight="1" x14ac:dyDescent="0.2">
      <c r="A46" s="170"/>
      <c r="B46" s="170"/>
      <c r="C46" s="170"/>
      <c r="D46" s="278"/>
      <c r="E46" s="278"/>
      <c r="F46" s="278"/>
      <c r="G46" s="278"/>
      <c r="H46" s="278"/>
      <c r="I46" s="278"/>
      <c r="J46" s="278"/>
      <c r="P46" s="302">
        <f>IF(Voreinstellungen!C32="","",IF(Voreinstellungen!C32="REST",IFERROR(SUMIF(P4:P34,Voreinstellungen!B32,Q4:Q34)/SUMIF(P4:P34,Voreinstellungen!B32,U4:U34),0),IF(Voreinstellungen!C32="NONE",COUNTIF(P4:P34,Voreinstellungen!B32),IF(Voreinstellungen!C32="XTRA",COUNTIF(P4:P34,Voreinstellungen!B32),COUNTIF(P4:P34,Voreinstellungen!B32)*IF(Voreinstellungen!C32=0,1,Voreinstellungen!C32)))))</f>
        <v>0</v>
      </c>
      <c r="Q46" s="330" t="str">
        <f>IF(Voreinstellungen!A32="","",REPT(Voreinstellungen!A32,1) &amp; " (" &amp; REPT(Voreinstellungen!B32,1) &amp; ")")</f>
        <v>Eigener Code 4 (E4)</v>
      </c>
      <c r="R46" s="331"/>
      <c r="S46" s="331"/>
      <c r="T46" s="331"/>
      <c r="U46" s="331"/>
      <c r="V46" s="331"/>
      <c r="W46" s="168" t="str">
        <f>IF(ISBLANK(Voreinstellungen!C32),"",IF(Voreinstellungen!C32="REST",SUMIF(P4:P34,Voreinstellungen!B32,U4:U34)-SUMIF(P4:P34,Voreinstellungen!B32,Q4:Q34),IF(ISTEXT(Voreinstellungen!C32),SUMIF(P4:P34,Voreinstellungen!B32,Q4:Q34),"")))</f>
        <v/>
      </c>
      <c r="Y46" s="375">
        <f>Voreinstellungen!J55</f>
        <v>0</v>
      </c>
      <c r="Z46" s="380">
        <f t="shared" si="11"/>
        <v>0</v>
      </c>
      <c r="AA46" s="380">
        <f t="shared" si="12"/>
        <v>0</v>
      </c>
      <c r="AB46" s="381">
        <f>SUM(AA46*Voreinstellungen!$C$44)</f>
        <v>0</v>
      </c>
    </row>
    <row r="47" spans="1:29" ht="12.75" customHeight="1" x14ac:dyDescent="0.2">
      <c r="A47" s="169" t="s">
        <v>46</v>
      </c>
      <c r="B47" s="169"/>
      <c r="C47" s="169"/>
      <c r="D47" s="277"/>
      <c r="E47" s="277"/>
      <c r="F47" s="277"/>
      <c r="G47" s="277"/>
      <c r="H47" s="277"/>
      <c r="I47" s="277"/>
      <c r="J47" s="277" t="s">
        <v>88</v>
      </c>
      <c r="P47" s="303">
        <f>IF(Voreinstellungen!C33="","",IF(Voreinstellungen!C33="REST",IFERROR(SUMIF(P4:P34,Voreinstellungen!B33,Q4:Q34)/SUMIF(P4:P34,Voreinstellungen!B33,U4:U34),0),IF(Voreinstellungen!C33="NONE",COUNTIF(P4:P34,Voreinstellungen!B33),IF(Voreinstellungen!C33="XTRA",COUNTIF(P4:P34,Voreinstellungen!B33),COUNTIF(P4:P34,Voreinstellungen!B33)*IF(Voreinstellungen!C33=0,1,Voreinstellungen!C33)))))</f>
        <v>0</v>
      </c>
      <c r="Q47" s="332" t="str">
        <f>IF(Voreinstellungen!A33="","",REPT(Voreinstellungen!A33,1) &amp; " (" &amp; REPT(Voreinstellungen!B33,1) &amp; ")")</f>
        <v>Eigener Code 5 (E5)</v>
      </c>
      <c r="R47" s="333"/>
      <c r="S47" s="333"/>
      <c r="T47" s="333"/>
      <c r="U47" s="333"/>
      <c r="V47" s="333"/>
      <c r="W47" s="319" t="str">
        <f>IF(ISBLANK(Voreinstellungen!C33),"",IF(Voreinstellungen!C33="REST",SUMIF(P4:P34,Voreinstellungen!B33,U4:U34)-SUMIF(P4:P34,Voreinstellungen!B33,Q4:Q34),IF(ISTEXT(Voreinstellungen!C33),SUMIF(P4:P34,Voreinstellungen!B33,Q4:Q34),"")))</f>
        <v/>
      </c>
      <c r="Y47" s="375">
        <f>Voreinstellungen!J56</f>
        <v>0</v>
      </c>
      <c r="Z47" s="380">
        <f t="shared" si="11"/>
        <v>0</v>
      </c>
      <c r="AA47" s="380">
        <f t="shared" si="12"/>
        <v>0</v>
      </c>
      <c r="AB47" s="381">
        <f>SUM(AA47*Voreinstellungen!$C$44)</f>
        <v>0</v>
      </c>
    </row>
    <row r="48" spans="1:29" x14ac:dyDescent="0.2">
      <c r="P48" s="334"/>
      <c r="Q48" s="45" t="s">
        <v>148</v>
      </c>
      <c r="R48" s="335"/>
      <c r="S48" s="335"/>
      <c r="T48" s="335"/>
      <c r="U48" s="335"/>
      <c r="V48" s="336"/>
      <c r="W48" s="337">
        <f>SUM(I7:I34,N7:N34)</f>
        <v>0</v>
      </c>
      <c r="X48" s="338"/>
      <c r="Y48" s="375">
        <f>Voreinstellungen!J57</f>
        <v>0</v>
      </c>
      <c r="Z48" s="380">
        <f t="shared" si="11"/>
        <v>0</v>
      </c>
      <c r="AA48" s="380">
        <f t="shared" si="12"/>
        <v>0</v>
      </c>
      <c r="AB48" s="381">
        <f>SUM(AA48*Voreinstellungen!$C$44)</f>
        <v>0</v>
      </c>
    </row>
    <row r="49" spans="1:30" x14ac:dyDescent="0.2">
      <c r="Q49" s="339"/>
      <c r="R49" s="340"/>
      <c r="S49" s="340"/>
      <c r="T49" s="340"/>
      <c r="U49" s="339"/>
      <c r="V49" s="339"/>
      <c r="Y49" s="376">
        <f>Voreinstellungen!J58</f>
        <v>0</v>
      </c>
      <c r="Z49" s="382">
        <f t="shared" si="11"/>
        <v>0</v>
      </c>
      <c r="AA49" s="382">
        <f t="shared" si="12"/>
        <v>0</v>
      </c>
      <c r="AB49" s="383">
        <f>SUM(AA49*Voreinstellungen!$C$44)</f>
        <v>0</v>
      </c>
    </row>
    <row r="51" spans="1:30" s="373" customFormat="1" x14ac:dyDescent="0.2">
      <c r="A51" s="45"/>
      <c r="B51" s="45"/>
      <c r="C51" s="45"/>
      <c r="D51" s="276"/>
      <c r="E51" s="301"/>
      <c r="F51" s="276"/>
      <c r="G51" s="276"/>
      <c r="H51" s="276"/>
      <c r="I51" s="276"/>
      <c r="J51" s="276"/>
      <c r="K51" s="276"/>
      <c r="L51" s="287"/>
      <c r="M51" s="287"/>
      <c r="N51" s="287"/>
      <c r="O51" s="287"/>
      <c r="P51" s="287"/>
      <c r="Q51" s="45"/>
      <c r="R51" s="46"/>
      <c r="S51" s="46"/>
      <c r="T51" s="46"/>
      <c r="U51" s="45"/>
      <c r="V51" s="45"/>
      <c r="W51" s="45"/>
      <c r="X51" s="45"/>
      <c r="Y51" s="367"/>
      <c r="Z51" s="368"/>
      <c r="AA51" s="368"/>
      <c r="AB51" s="369"/>
      <c r="AC51" s="45"/>
      <c r="AD51" s="45"/>
    </row>
    <row r="52" spans="1:30" x14ac:dyDescent="0.2">
      <c r="Y52" s="341" t="s">
        <v>153</v>
      </c>
      <c r="Z52" s="346">
        <f>SUM(Z37:Z49)</f>
        <v>0</v>
      </c>
      <c r="AA52" s="342">
        <f>SUM(AA37:AA49)</f>
        <v>0</v>
      </c>
      <c r="AB52" s="343">
        <f>SUM(AB37:AB49)</f>
        <v>0</v>
      </c>
    </row>
  </sheetData>
  <mergeCells count="3">
    <mergeCell ref="A1:C2"/>
    <mergeCell ref="V1:W1"/>
    <mergeCell ref="V2:W2"/>
  </mergeCells>
  <conditionalFormatting sqref="E4:E34">
    <cfRule type="expression" dxfId="281" priority="7">
      <formula>ISTEXT($E4)</formula>
    </cfRule>
  </conditionalFormatting>
  <conditionalFormatting sqref="F4:I34">
    <cfRule type="expression" dxfId="280" priority="6">
      <formula>ISTEXT($F4)</formula>
    </cfRule>
  </conditionalFormatting>
  <conditionalFormatting sqref="J4:J34">
    <cfRule type="expression" dxfId="279" priority="5">
      <formula>ISTEXT($J4)</formula>
    </cfRule>
  </conditionalFormatting>
  <conditionalFormatting sqref="K4:K34">
    <cfRule type="expression" dxfId="278" priority="4">
      <formula>ISTEXT($K4)</formula>
    </cfRule>
  </conditionalFormatting>
  <conditionalFormatting sqref="M5:O34">
    <cfRule type="expression" dxfId="277" priority="3">
      <formula>ISTEXT($F5)</formula>
    </cfRule>
  </conditionalFormatting>
  <conditionalFormatting sqref="N4:N34">
    <cfRule type="expression" dxfId="276" priority="2">
      <formula>ISTEXT($F4)</formula>
    </cfRule>
  </conditionalFormatting>
  <conditionalFormatting sqref="P36:P47">
    <cfRule type="expression" dxfId="275" priority="1">
      <formula>MOD(P36,1)=0</formula>
    </cfRule>
  </conditionalFormatting>
  <conditionalFormatting sqref="Q4:W34 A4:O34">
    <cfRule type="expression" dxfId="274" priority="16">
      <formula>WEEKDAY($A4,2)=6</formula>
    </cfRule>
    <cfRule type="expression" dxfId="273" priority="17">
      <formula>OR(WEEKDAY($A4,2)=7,$C4&lt;&gt;"")</formula>
    </cfRule>
  </conditionalFormatting>
  <conditionalFormatting sqref="P4:P34">
    <cfRule type="expression" dxfId="272" priority="26">
      <formula>WEEKDAY($A4,2)=6</formula>
    </cfRule>
    <cfRule type="expression" dxfId="271" priority="27">
      <formula>OR(WEEKDAY($A4,2)=7,$C4&lt;&gt;"")</formula>
    </cfRule>
  </conditionalFormatting>
  <dataValidations count="3">
    <dataValidation type="list" allowBlank="1" showInputMessage="1" showErrorMessage="1" sqref="P4:P34" xr:uid="{2A9EA5D3-152D-40A5-8CF7-76A3EBF3510C}">
      <formula1>CodeList</formula1>
    </dataValidation>
    <dataValidation type="list" allowBlank="1" showInputMessage="1" showErrorMessage="1" sqref="D4:D34 G4:G34 L4:L34" xr:uid="{85CC79F5-D8A6-4C28-902A-9C65994BE1F5}">
      <formula1>Einsatzorte</formula1>
    </dataValidation>
    <dataValidation type="list" allowBlank="1" showInputMessage="1" showErrorMessage="1" sqref="H4:H34 M4:M34" xr:uid="{350FD145-22FE-4109-B710-27B2F5DD5704}">
      <formula1>Tätigkeiten</formula1>
    </dataValidation>
  </dataValidations>
  <printOptions horizontalCentered="1" verticalCentered="1"/>
  <pageMargins left="0.23622047244094491" right="0.23622047244094491" top="0.23622047244094491" bottom="0.23622047244094491" header="0.11811023622047245" footer="0.11811023622047245"/>
  <pageSetup paperSize="9" scale="95" firstPageNumber="0" orientation="landscape" r:id="rId1"/>
  <headerFooter alignWithMargins="0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8" id="{933E79C3-2240-4DBC-862F-0E53E5708A2E}">
            <xm:f>$P4=Voreinstellungen!$B$25</xm:f>
            <x14:dxf>
              <fill>
                <patternFill>
                  <bgColor rgb="FF0070C0"/>
                </patternFill>
              </fill>
            </x14:dxf>
          </x14:cfRule>
          <x14:cfRule type="expression" priority="9" id="{F7EAE5EF-1975-4238-849E-462C79538EF1}">
            <xm:f>$P4=Voreinstellungen!$B$26</xm:f>
            <x14:dxf>
              <fill>
                <patternFill>
                  <bgColor rgb="FF00B0F0"/>
                </patternFill>
              </fill>
            </x14:dxf>
          </x14:cfRule>
          <x14:cfRule type="expression" priority="10" id="{46B51BA9-7579-451F-8577-9F8774276D06}">
            <xm:f>$P4=Voreinstellungen!$B$20</xm:f>
            <x14:dxf>
              <fill>
                <patternFill>
                  <bgColor theme="4" tint="0.59996337778862885"/>
                </patternFill>
              </fill>
            </x14:dxf>
          </x14:cfRule>
          <x14:cfRule type="expression" priority="11" id="{4DCD1918-8EC4-4377-9F0B-278E6A06B41D}">
            <xm:f>$P4=Voreinstellungen!$B$21</xm:f>
            <x14:dxf>
              <fill>
                <patternFill>
                  <bgColor indexed="13"/>
                </patternFill>
              </fill>
            </x14:dxf>
          </x14:cfRule>
          <x14:cfRule type="expression" priority="12" id="{8E6A6BC1-7353-4EB3-8267-654302FA0F57}">
            <xm:f>$P4=Voreinstellungen!$B$22</xm:f>
            <x14:dxf>
              <fill>
                <patternFill>
                  <bgColor rgb="FFFFFF66"/>
                </patternFill>
              </fill>
            </x14:dxf>
          </x14:cfRule>
          <x14:cfRule type="expression" priority="13" id="{0E6578D6-AE85-4DB7-A38B-0EA51F080E29}">
            <xm:f>$P4=Voreinstellungen!$B$31</xm:f>
            <x14:dxf>
              <fill>
                <patternFill>
                  <bgColor theme="3" tint="0.59996337778862885"/>
                </patternFill>
              </fill>
            </x14:dxf>
          </x14:cfRule>
          <x14:cfRule type="expression" priority="14" id="{46A02A88-357E-4A0B-B2D9-7AB3C9EADF5B}">
            <xm:f>$P4=Voreinstellungen!$B$32</xm:f>
            <x14:dxf>
              <fill>
                <patternFill>
                  <bgColor rgb="FF92D050"/>
                </patternFill>
              </fill>
            </x14:dxf>
          </x14:cfRule>
          <x14:cfRule type="expression" priority="15" id="{4193E32D-7CFF-4D5B-8F56-6C312FBC47C3}">
            <xm:f>$P4=Voreinstellungen!$B$33</xm:f>
            <x14:dxf>
              <fill>
                <patternFill>
                  <bgColor theme="9" tint="0.39994506668294322"/>
                </patternFill>
              </fill>
            </x14:dxf>
          </x14:cfRule>
          <xm:sqref>Q4:W34 A4:O34</xm:sqref>
        </x14:conditionalFormatting>
        <x14:conditionalFormatting xmlns:xm="http://schemas.microsoft.com/office/excel/2006/main">
          <x14:cfRule type="expression" priority="18" id="{8A236392-6327-4DCF-AAA4-FC288492CB1A}">
            <xm:f>$L4=Voreinstellungen!$B$25</xm:f>
            <x14:dxf>
              <fill>
                <patternFill>
                  <bgColor rgb="FF0070C0"/>
                </patternFill>
              </fill>
            </x14:dxf>
          </x14:cfRule>
          <x14:cfRule type="expression" priority="19" id="{4E7C9C12-98CF-4759-9C85-1A0A51A1AD8B}">
            <xm:f>$L4=Voreinstellungen!$B$26</xm:f>
            <x14:dxf>
              <fill>
                <patternFill>
                  <bgColor rgb="FF00B0F0"/>
                </patternFill>
              </fill>
            </x14:dxf>
          </x14:cfRule>
          <x14:cfRule type="expression" priority="20" id="{DF72EB49-A3EF-48DA-8EA0-09A59657AC08}">
            <xm:f>$L4=Voreinstellungen!$B$20</xm:f>
            <x14:dxf>
              <fill>
                <patternFill>
                  <bgColor theme="4" tint="0.59996337778862885"/>
                </patternFill>
              </fill>
            </x14:dxf>
          </x14:cfRule>
          <x14:cfRule type="expression" priority="21" id="{DF6FC2D6-55F8-4C9B-A135-F74B1DCAEA01}">
            <xm:f>$L4=Voreinstellungen!$B$21</xm:f>
            <x14:dxf>
              <fill>
                <patternFill>
                  <bgColor indexed="13"/>
                </patternFill>
              </fill>
            </x14:dxf>
          </x14:cfRule>
          <x14:cfRule type="expression" priority="22" id="{376D7C8F-144B-4D5F-A0EF-859BFDAA9BAF}">
            <xm:f>$L4=Voreinstellungen!$B$22</xm:f>
            <x14:dxf>
              <fill>
                <patternFill>
                  <bgColor rgb="FFFFFF66"/>
                </patternFill>
              </fill>
            </x14:dxf>
          </x14:cfRule>
          <x14:cfRule type="expression" priority="23" id="{ABAD2383-C706-4DE6-91A1-80FA311C371A}">
            <xm:f>$L4=Voreinstellungen!$B$31</xm:f>
            <x14:dxf>
              <fill>
                <patternFill>
                  <bgColor theme="3" tint="0.59996337778862885"/>
                </patternFill>
              </fill>
            </x14:dxf>
          </x14:cfRule>
          <x14:cfRule type="expression" priority="24" id="{D925D254-65E8-4A2C-B082-4798739062EC}">
            <xm:f>$L4=Voreinstellungen!$B$32</xm:f>
            <x14:dxf>
              <fill>
                <patternFill>
                  <bgColor rgb="FF92D050"/>
                </patternFill>
              </fill>
            </x14:dxf>
          </x14:cfRule>
          <x14:cfRule type="expression" priority="25" id="{6F8428B5-ECC6-4B1E-ADC7-04517EB2B66B}">
            <xm:f>$L4=Voreinstellungen!$B$33</xm:f>
            <x14:dxf>
              <fill>
                <patternFill>
                  <bgColor theme="9" tint="0.39994506668294322"/>
                </patternFill>
              </fill>
            </x14:dxf>
          </x14:cfRule>
          <xm:sqref>P4:P34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Y D A A B Q S w M E F A A C A A g A T T 8 0 W u j 0 v C S m A A A A 9 w A A A B I A H A B D b 2 5 m a W c v U G F j a 2 F n Z S 5 4 b W w g o h g A K K A U A A A A A A A A A A A A A A A A A A A A A A A A A A A A h Y 8 x D o I w G I W v Q r r T F i R E z E 8 Z 1 E 0 S E x P j 2 p Q K j V A M L Z a 7 O X g k r y B G U T f H 9 7 1 v e O 9 + v U E 2 N L V 3 k Z 1 R r U 5 R g C n y p B Z t o X S Z o t 4 e / T n K G G y 5 O P F S e q O s z W I w R Y o q a 8 8 L Q p x z 2 M 1 w 2 5 U k p D Q g h 3 y z E 5 V s O P r I 6 r / s K 2 0 s 1 0 I i B v v X G B b i J M Z B E k c R p k A m C r n S X y M c B z / b H w j L v r Z 9 J 1 k h / d U a y B S B v E + w B 1 B L A w Q U A A I A C A B N P z R a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T T 8 0 W i i K R 7 g O A A A A E Q A A A B M A H A B G b 3 J t d W x h c y 9 T Z W N 0 a W 9 u M S 5 t I K I Y A C i g F A A A A A A A A A A A A A A A A A A A A A A A A A A A A C t O T S 7 J z M 9 T C I b Q h t Y A U E s B A i 0 A F A A C A A g A T T 8 0 W u j 0 v C S m A A A A 9 w A A A B I A A A A A A A A A A A A A A A A A A A A A A E N v b m Z p Z y 9 Q Y W N r Y W d l L n h t b F B L A Q I t A B Q A A g A I A E 0 / N F o P y u m r p A A A A O k A A A A T A A A A A A A A A A A A A A A A A P I A A A B b Q 2 9 u d G V u d F 9 U e X B l c 1 0 u e G 1 s U E s B A i 0 A F A A C A A g A T T 8 0 W i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2 g A A A A E A A A D Q j J 3 f A R X R E Y x 6 A M B P w p f r A Q A A A I P U v s q Q 9 Y h C p i 6 0 l J r e 3 X A A A A A A A g A A A A A A A 2 Y A A M A A A A A Q A A A A k v k J m W 9 h r 0 I Q Q c d R Y v u I f Q A A A A A E g A A A o A A A A B A A A A B e m g N v b m 1 b o m 4 g j / M p 2 Z O J U A A A A L n p a R x k 8 n h m i o H q b d R Z N D / 9 e J S x h v y q J w 0 X X g i a V m 6 c d Q 6 C d s k j + R M G e 0 V 3 / I 4 9 3 g S C g m V o r C E K C U R f a Z 5 W + v v I y E L J A B T c L 1 0 y O Z C T B N H u F A A A A P 4 M i B a l W F H a 2 J L q V R Q Q + U a k U D J 5 < / D a t a M a s h u p > 
</file>

<file path=customXml/itemProps1.xml><?xml version="1.0" encoding="utf-8"?>
<ds:datastoreItem xmlns:ds="http://schemas.openxmlformats.org/officeDocument/2006/customXml" ds:itemID="{595AECA4-EFB3-4ED4-98FC-CC46D163A26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16</vt:i4>
      </vt:variant>
      <vt:variant>
        <vt:lpstr>Benannte Bereiche</vt:lpstr>
      </vt:variant>
      <vt:variant>
        <vt:i4>31</vt:i4>
      </vt:variant>
    </vt:vector>
  </HeadingPairs>
  <TitlesOfParts>
    <vt:vector size="47" baseType="lpstr">
      <vt:lpstr>Voreinstellungen</vt:lpstr>
      <vt:lpstr>Feiertage</vt:lpstr>
      <vt:lpstr>Januar</vt:lpstr>
      <vt:lpstr>Februar</vt:lpstr>
      <vt:lpstr>März</vt:lpstr>
      <vt:lpstr>April</vt:lpstr>
      <vt:lpstr>Mai</vt:lpstr>
      <vt:lpstr>Juni</vt:lpstr>
      <vt:lpstr>Juli</vt:lpstr>
      <vt:lpstr>August</vt:lpstr>
      <vt:lpstr>September</vt:lpstr>
      <vt:lpstr>Oktober</vt:lpstr>
      <vt:lpstr>November</vt:lpstr>
      <vt:lpstr>Dezember</vt:lpstr>
      <vt:lpstr>Jahresübersicht</vt:lpstr>
      <vt:lpstr>Fahrtkosten</vt:lpstr>
      <vt:lpstr>Code</vt:lpstr>
      <vt:lpstr>CodeList</vt:lpstr>
      <vt:lpstr>April!Druckbereich</vt:lpstr>
      <vt:lpstr>August!Druckbereich</vt:lpstr>
      <vt:lpstr>Dezember!Druckbereich</vt:lpstr>
      <vt:lpstr>Fahrtkosten!Druckbereich</vt:lpstr>
      <vt:lpstr>Februar!Druckbereich</vt:lpstr>
      <vt:lpstr>Feiertage!Druckbereich</vt:lpstr>
      <vt:lpstr>Jahresübersicht!Druckbereich</vt:lpstr>
      <vt:lpstr>Januar!Druckbereich</vt:lpstr>
      <vt:lpstr>Juli!Druckbereich</vt:lpstr>
      <vt:lpstr>Juni!Druckbereich</vt:lpstr>
      <vt:lpstr>Mai!Druckbereich</vt:lpstr>
      <vt:lpstr>März!Druckbereich</vt:lpstr>
      <vt:lpstr>November!Druckbereich</vt:lpstr>
      <vt:lpstr>Oktober!Druckbereich</vt:lpstr>
      <vt:lpstr>September!Druckbereich</vt:lpstr>
      <vt:lpstr>Voreinstellungen!Druckbereich</vt:lpstr>
      <vt:lpstr>Februar!Einsatzorte</vt:lpstr>
      <vt:lpstr>Einsatzorte</vt:lpstr>
      <vt:lpstr>Feiertage</vt:lpstr>
      <vt:lpstr>Jahr</vt:lpstr>
      <vt:lpstr>Ostern0</vt:lpstr>
      <vt:lpstr>Ostern1</vt:lpstr>
      <vt:lpstr>PauseGTime</vt:lpstr>
      <vt:lpstr>PauseGWert</vt:lpstr>
      <vt:lpstr>PauseKTime</vt:lpstr>
      <vt:lpstr>PauseKWert</vt:lpstr>
      <vt:lpstr>SOLL_AZ_Ab</vt:lpstr>
      <vt:lpstr>Februar!Tätigkeiten</vt:lpstr>
      <vt:lpstr>Tätigkeiten</vt:lpstr>
    </vt:vector>
  </TitlesOfParts>
  <Manager/>
  <Company>Steffen Hanske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Arbeitszeiterfassung</dc:title>
  <dc:subject/>
  <dc:creator>S. Thieme</dc:creator>
  <cp:keywords/>
  <dc:description/>
  <cp:lastModifiedBy>Stephan Thieme</cp:lastModifiedBy>
  <cp:revision/>
  <cp:lastPrinted>2025-02-06T11:10:25Z</cp:lastPrinted>
  <dcterms:created xsi:type="dcterms:W3CDTF">2012-09-18T05:54:06Z</dcterms:created>
  <dcterms:modified xsi:type="dcterms:W3CDTF">2025-02-18T09:28:13Z</dcterms:modified>
  <cp:category/>
  <cp:contentStatus/>
</cp:coreProperties>
</file>