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Holger\Desktop\"/>
    </mc:Choice>
  </mc:AlternateContent>
  <xr:revisionPtr revIDLastSave="0" documentId="8_{69D99111-996A-4679-B61D-8CFF3383C20E}" xr6:coauthVersionLast="36" xr6:coauthVersionMax="36" xr10:uidLastSave="{00000000-0000-0000-0000-000000000000}"/>
  <bookViews>
    <workbookView xWindow="0" yWindow="0" windowWidth="19200" windowHeight="5480" activeTab="1" xr2:uid="{F6E0AF29-347C-4B18-B74B-2E7510580C7D}"/>
  </bookViews>
  <sheets>
    <sheet name="HeatMap" sheetId="2" r:id="rId1"/>
    <sheet name="TopSol" sheetId="3" r:id="rId2"/>
  </sheets>
  <definedNames>
    <definedName name="_xlnm.Print_Area" localSheetId="0">HeatMap!$A$1:$AI$44</definedName>
    <definedName name="_xlnm.Print_Area" localSheetId="1">TopSol!$A$1:$R$39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H2" i="3"/>
  <c r="I2" i="3"/>
  <c r="J2" i="3"/>
  <c r="K2" i="3"/>
  <c r="L2" i="3"/>
  <c r="M2" i="3"/>
  <c r="N2" i="3"/>
  <c r="Q2" i="3"/>
  <c r="R2" i="3"/>
  <c r="C3" i="3"/>
  <c r="F3" i="3" s="1"/>
  <c r="D3" i="3"/>
  <c r="E3" i="3"/>
  <c r="G3" i="3"/>
  <c r="H3" i="3"/>
  <c r="I3" i="3"/>
  <c r="J3" i="3"/>
  <c r="K3" i="3"/>
  <c r="L3" i="3"/>
  <c r="M3" i="3"/>
  <c r="N3" i="3"/>
  <c r="Q3" i="3"/>
  <c r="R3" i="3"/>
  <c r="C4" i="3"/>
  <c r="F4" i="3" s="1"/>
  <c r="D4" i="3"/>
  <c r="E4" i="3"/>
  <c r="G4" i="3"/>
  <c r="H4" i="3"/>
  <c r="I4" i="3"/>
  <c r="J4" i="3"/>
  <c r="K4" i="3"/>
  <c r="L4" i="3"/>
  <c r="M4" i="3"/>
  <c r="N4" i="3"/>
  <c r="Q4" i="3"/>
  <c r="R4" i="3"/>
  <c r="C5" i="3"/>
  <c r="D5" i="3"/>
  <c r="E5" i="3"/>
  <c r="F5" i="3"/>
  <c r="G5" i="3"/>
  <c r="H5" i="3"/>
  <c r="I5" i="3"/>
  <c r="J5" i="3"/>
  <c r="K5" i="3"/>
  <c r="L5" i="3"/>
  <c r="M5" i="3"/>
  <c r="N5" i="3"/>
  <c r="Q5" i="3"/>
  <c r="R5" i="3"/>
  <c r="C6" i="3"/>
  <c r="F6" i="3" s="1"/>
  <c r="D6" i="3"/>
  <c r="E6" i="3"/>
  <c r="G6" i="3"/>
  <c r="H6" i="3"/>
  <c r="I6" i="3"/>
  <c r="J6" i="3"/>
  <c r="K6" i="3"/>
  <c r="L6" i="3"/>
  <c r="M6" i="3"/>
  <c r="N6" i="3"/>
  <c r="Q6" i="3"/>
  <c r="R6" i="3"/>
  <c r="C7" i="3"/>
  <c r="F7" i="3" s="1"/>
  <c r="D7" i="3"/>
  <c r="E7" i="3"/>
  <c r="G7" i="3"/>
  <c r="H7" i="3"/>
  <c r="I7" i="3"/>
  <c r="J7" i="3"/>
  <c r="K7" i="3"/>
  <c r="L7" i="3"/>
  <c r="M7" i="3"/>
  <c r="N7" i="3"/>
  <c r="Q7" i="3"/>
  <c r="R7" i="3"/>
  <c r="C8" i="3"/>
  <c r="F8" i="3" s="1"/>
  <c r="D8" i="3"/>
  <c r="D12" i="3" s="1"/>
  <c r="E8" i="3"/>
  <c r="G8" i="3"/>
  <c r="H8" i="3"/>
  <c r="I8" i="3"/>
  <c r="J8" i="3"/>
  <c r="K8" i="3"/>
  <c r="L8" i="3"/>
  <c r="M8" i="3"/>
  <c r="N8" i="3"/>
  <c r="Q8" i="3"/>
  <c r="R8" i="3"/>
  <c r="C9" i="3"/>
  <c r="F9" i="3" s="1"/>
  <c r="D9" i="3"/>
  <c r="E9" i="3"/>
  <c r="G9" i="3"/>
  <c r="H9" i="3"/>
  <c r="I9" i="3"/>
  <c r="J9" i="3"/>
  <c r="K9" i="3"/>
  <c r="L9" i="3"/>
  <c r="M9" i="3"/>
  <c r="N9" i="3"/>
  <c r="Q9" i="3"/>
  <c r="R9" i="3"/>
  <c r="C10" i="3"/>
  <c r="D10" i="3"/>
  <c r="E10" i="3"/>
  <c r="F10" i="3"/>
  <c r="G10" i="3"/>
  <c r="H10" i="3"/>
  <c r="I10" i="3"/>
  <c r="J10" i="3"/>
  <c r="K10" i="3"/>
  <c r="L10" i="3"/>
  <c r="M10" i="3"/>
  <c r="N10" i="3"/>
  <c r="Q10" i="3"/>
  <c r="R10" i="3"/>
  <c r="C11" i="3"/>
  <c r="D11" i="3"/>
  <c r="E11" i="3"/>
  <c r="F11" i="3"/>
  <c r="G11" i="3"/>
  <c r="H11" i="3"/>
  <c r="I11" i="3"/>
  <c r="J11" i="3"/>
  <c r="K11" i="3"/>
  <c r="L11" i="3"/>
  <c r="M11" i="3"/>
  <c r="N11" i="3"/>
  <c r="Q11" i="3"/>
  <c r="R11" i="3"/>
  <c r="H15" i="3"/>
  <c r="I15" i="3"/>
  <c r="J15" i="3"/>
  <c r="K15" i="3"/>
  <c r="L15" i="3"/>
  <c r="M15" i="3"/>
  <c r="N15" i="3"/>
  <c r="Q15" i="3"/>
  <c r="R15" i="3"/>
  <c r="H16" i="3"/>
  <c r="I16" i="3"/>
  <c r="J16" i="3"/>
  <c r="K16" i="3"/>
  <c r="L16" i="3"/>
  <c r="M16" i="3"/>
  <c r="M25" i="3" s="1"/>
  <c r="N16" i="3"/>
  <c r="Q16" i="3"/>
  <c r="Q25" i="3" s="1"/>
  <c r="R16" i="3"/>
  <c r="H17" i="3"/>
  <c r="I17" i="3"/>
  <c r="J17" i="3"/>
  <c r="K17" i="3"/>
  <c r="L17" i="3"/>
  <c r="L25" i="3" s="1"/>
  <c r="M17" i="3"/>
  <c r="N17" i="3"/>
  <c r="N25" i="3" s="1"/>
  <c r="Q17" i="3"/>
  <c r="R17" i="3"/>
  <c r="H18" i="3"/>
  <c r="I18" i="3"/>
  <c r="J18" i="3"/>
  <c r="K18" i="3"/>
  <c r="K25" i="3" s="1"/>
  <c r="L18" i="3"/>
  <c r="M18" i="3"/>
  <c r="N18" i="3"/>
  <c r="Q18" i="3"/>
  <c r="R18" i="3"/>
  <c r="H19" i="3"/>
  <c r="I19" i="3"/>
  <c r="J19" i="3"/>
  <c r="J25" i="3" s="1"/>
  <c r="K19" i="3"/>
  <c r="L19" i="3"/>
  <c r="M19" i="3"/>
  <c r="N19" i="3"/>
  <c r="Q19" i="3"/>
  <c r="R19" i="3"/>
  <c r="AE19" i="3"/>
  <c r="H20" i="3"/>
  <c r="I20" i="3"/>
  <c r="J20" i="3"/>
  <c r="K20" i="3"/>
  <c r="L20" i="3"/>
  <c r="M20" i="3"/>
  <c r="N20" i="3"/>
  <c r="Q20" i="3"/>
  <c r="R20" i="3"/>
  <c r="H21" i="3"/>
  <c r="I21" i="3"/>
  <c r="I25" i="3" s="1"/>
  <c r="J21" i="3"/>
  <c r="K21" i="3"/>
  <c r="L21" i="3"/>
  <c r="M21" i="3"/>
  <c r="N21" i="3"/>
  <c r="Q21" i="3"/>
  <c r="R21" i="3"/>
  <c r="H22" i="3"/>
  <c r="I22" i="3"/>
  <c r="J22" i="3"/>
  <c r="K22" i="3"/>
  <c r="L22" i="3"/>
  <c r="M22" i="3"/>
  <c r="N22" i="3"/>
  <c r="Q22" i="3"/>
  <c r="R22" i="3"/>
  <c r="H23" i="3"/>
  <c r="I23" i="3"/>
  <c r="J23" i="3"/>
  <c r="K23" i="3"/>
  <c r="L23" i="3"/>
  <c r="M23" i="3"/>
  <c r="N23" i="3"/>
  <c r="Q23" i="3"/>
  <c r="R23" i="3"/>
  <c r="H24" i="3"/>
  <c r="I24" i="3"/>
  <c r="J24" i="3"/>
  <c r="K24" i="3"/>
  <c r="L24" i="3"/>
  <c r="M24" i="3"/>
  <c r="N24" i="3"/>
  <c r="Q24" i="3"/>
  <c r="R24" i="3"/>
  <c r="C25" i="3"/>
  <c r="D25" i="3"/>
  <c r="E25" i="3"/>
  <c r="F25" i="3"/>
  <c r="G25" i="3"/>
  <c r="H25" i="3"/>
  <c r="B2" i="2"/>
  <c r="AH2" i="2"/>
  <c r="AI2" i="2" s="1"/>
  <c r="B3" i="2"/>
  <c r="AH3" i="2"/>
  <c r="B4" i="2"/>
  <c r="AH4" i="2"/>
  <c r="B5" i="2"/>
  <c r="AH5" i="2"/>
  <c r="B6" i="2"/>
  <c r="AH6" i="2"/>
  <c r="B7" i="2"/>
  <c r="AH7" i="2"/>
  <c r="B8" i="2"/>
  <c r="AH8" i="2"/>
  <c r="B9" i="2"/>
  <c r="AH9" i="2"/>
  <c r="B10" i="2"/>
  <c r="AH10" i="2"/>
  <c r="B11" i="2"/>
  <c r="AH11" i="2"/>
  <c r="B12" i="2"/>
  <c r="AH12" i="2"/>
  <c r="B13" i="2"/>
  <c r="AH13" i="2"/>
  <c r="B14" i="2"/>
  <c r="AH14" i="2"/>
  <c r="B15" i="2"/>
  <c r="AH15" i="2"/>
  <c r="AK15" i="2"/>
  <c r="AK16" i="2" s="1"/>
  <c r="AI8" i="2" s="1"/>
  <c r="B16" i="2"/>
  <c r="AH16" i="2"/>
  <c r="B17" i="2"/>
  <c r="AH17" i="2"/>
  <c r="B18" i="2"/>
  <c r="AH18" i="2"/>
  <c r="B19" i="2"/>
  <c r="AH19" i="2"/>
  <c r="B20" i="2"/>
  <c r="AH20" i="2"/>
  <c r="E12" i="3" l="1"/>
  <c r="AI9" i="2"/>
  <c r="Q12" i="3"/>
  <c r="AH21" i="2"/>
  <c r="M12" i="3"/>
  <c r="N12" i="3"/>
  <c r="G12" i="3"/>
  <c r="J12" i="3"/>
  <c r="H12" i="3"/>
  <c r="K12" i="3"/>
  <c r="I12" i="3"/>
  <c r="L12" i="3"/>
  <c r="F12" i="3"/>
  <c r="C12" i="3"/>
  <c r="AK20" i="2"/>
  <c r="AK21" i="2" s="1"/>
  <c r="AI20" i="2" s="1"/>
</calcChain>
</file>

<file path=xl/sharedStrings.xml><?xml version="1.0" encoding="utf-8"?>
<sst xmlns="http://schemas.openxmlformats.org/spreadsheetml/2006/main" count="13" uniqueCount="7">
  <si>
    <t>Top</t>
  </si>
  <si>
    <t>Top 2025</t>
  </si>
  <si>
    <t>Datum</t>
  </si>
  <si>
    <t>Ø</t>
  </si>
  <si>
    <t>Σ kWh</t>
  </si>
  <si>
    <t>Top 2024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</si>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</sst>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"/>
    <numFmt numFmtId="165" formatCode="0.000"/>
    <numFmt numFmtId="166" formatCode="#,##0.000&quot; kWh&quot;;#,##0.000&quot; kWh&quot;"/>
    <numFmt numFmtId="167" formatCode="yyyy\-mm\-dd;@"/>
    <numFmt numFmtId="168" formatCode="d/m;@"/>
  </numFmts>
  <fonts count="23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b/>
      <sz val="10"/>
      <color rgb="FF474747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2"/>
    </font>
    <font>
      <sz val="7.5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sz val="7.5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7.5"/>
      <color theme="1"/>
      <name val="Arial"/>
      <family val="2"/>
    </font>
    <font>
      <b/>
      <sz val="9.3000000000000007"/>
      <color rgb="FF000000"/>
      <name val="Arial"/>
      <family val="2"/>
    </font>
    <font>
      <sz val="7.5"/>
      <color theme="0"/>
      <name val="Times New Roman"/>
      <family val="1"/>
    </font>
    <font>
      <sz val="12"/>
      <color rgb="FF000000"/>
      <name val="Times New Roman"/>
      <family val="1"/>
    </font>
    <font>
      <b/>
      <sz val="8"/>
      <color rgb="FF000000"/>
      <name val="Arial"/>
      <family val="2"/>
    </font>
    <font>
      <b/>
      <sz val="16"/>
      <color rgb="FF000000"/>
      <name val="Arial"/>
      <family val="2"/>
    </font>
    <font>
      <sz val="7"/>
      <color rgb="FFFFFFFF"/>
      <name val="Consolas"/>
      <family val="3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5A5A5A"/>
      <name val="Consolas"/>
      <family val="3"/>
    </font>
    <font>
      <sz val="7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6EBEE"/>
        <bgColor indexed="64"/>
      </patternFill>
    </fill>
    <fill>
      <patternFill patternType="solid">
        <fgColor rgb="FFC7CDE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D3C55F"/>
        <bgColor indexed="64"/>
      </patternFill>
    </fill>
    <fill>
      <patternFill patternType="solid">
        <fgColor rgb="FFFFFE00"/>
        <bgColor indexed="64"/>
      </patternFill>
    </fill>
    <fill>
      <patternFill patternType="solid">
        <fgColor rgb="FFD4F24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C85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FF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45">
    <xf numFmtId="0" fontId="0" fillId="0" borderId="0" xfId="0"/>
    <xf numFmtId="0" fontId="9" fillId="0" borderId="0" xfId="1" applyFont="1" applyBorder="1" applyAlignment="1">
      <alignment horizontal="left" vertical="top"/>
    </xf>
    <xf numFmtId="0" fontId="10" fillId="0" borderId="0" xfId="1" applyFont="1" applyAlignment="1">
      <alignment horizontal="left" vertical="top"/>
    </xf>
    <xf numFmtId="14" fontId="9" fillId="0" borderId="0" xfId="1" applyNumberFormat="1" applyFont="1" applyBorder="1" applyAlignment="1">
      <alignment horizontal="left" vertical="top"/>
    </xf>
    <xf numFmtId="0" fontId="9" fillId="20" borderId="0" xfId="1" applyFont="1" applyFill="1" applyBorder="1" applyAlignment="1">
      <alignment horizontal="left" vertical="top"/>
    </xf>
    <xf numFmtId="0" fontId="6" fillId="20" borderId="0" xfId="1" applyFont="1" applyFill="1" applyBorder="1" applyAlignment="1">
      <alignment horizontal="center"/>
    </xf>
    <xf numFmtId="0" fontId="6" fillId="20" borderId="0" xfId="1" applyFont="1" applyFill="1" applyBorder="1"/>
    <xf numFmtId="0" fontId="11" fillId="2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2" fontId="12" fillId="21" borderId="16" xfId="1" applyNumberFormat="1" applyFont="1" applyFill="1" applyBorder="1" applyAlignment="1">
      <alignment horizontal="center" vertical="center"/>
    </xf>
    <xf numFmtId="2" fontId="12" fillId="21" borderId="18" xfId="1" applyNumberFormat="1" applyFont="1" applyFill="1" applyBorder="1" applyAlignment="1">
      <alignment horizontal="center" vertical="center"/>
    </xf>
    <xf numFmtId="14" fontId="13" fillId="0" borderId="0" xfId="1" applyNumberFormat="1" applyFont="1" applyBorder="1" applyAlignment="1">
      <alignment horizontal="left" vertical="top"/>
    </xf>
    <xf numFmtId="2" fontId="12" fillId="21" borderId="7" xfId="1" applyNumberFormat="1" applyFont="1" applyFill="1" applyBorder="1" applyAlignment="1">
      <alignment horizontal="center" vertical="center"/>
    </xf>
    <xf numFmtId="2" fontId="12" fillId="21" borderId="19" xfId="1" applyNumberFormat="1" applyFont="1" applyFill="1" applyBorder="1" applyAlignment="1">
      <alignment horizontal="center" vertical="center"/>
    </xf>
    <xf numFmtId="2" fontId="7" fillId="2" borderId="17" xfId="1" applyNumberFormat="1" applyFont="1" applyFill="1" applyBorder="1" applyAlignment="1">
      <alignment horizontal="center"/>
    </xf>
    <xf numFmtId="165" fontId="6" fillId="2" borderId="16" xfId="1" applyNumberFormat="1" applyFont="1" applyFill="1" applyBorder="1"/>
    <xf numFmtId="165" fontId="6" fillId="0" borderId="14" xfId="1" applyNumberFormat="1" applyFont="1" applyBorder="1"/>
    <xf numFmtId="164" fontId="6" fillId="18" borderId="15" xfId="1" applyNumberFormat="1" applyFont="1" applyFill="1" applyBorder="1" applyAlignment="1">
      <alignment horizontal="left"/>
    </xf>
    <xf numFmtId="0" fontId="5" fillId="2" borderId="14" xfId="1" applyFont="1" applyFill="1" applyBorder="1" applyAlignment="1">
      <alignment horizontal="center" vertical="center" textRotation="90"/>
    </xf>
    <xf numFmtId="49" fontId="13" fillId="0" borderId="0" xfId="1" applyNumberFormat="1" applyFont="1" applyBorder="1" applyAlignment="1">
      <alignment horizontal="left" vertical="top"/>
    </xf>
    <xf numFmtId="1" fontId="2" fillId="2" borderId="11" xfId="1" applyNumberFormat="1" applyFont="1" applyFill="1" applyBorder="1" applyAlignment="1">
      <alignment horizontal="center" vertical="center" textRotation="255" wrapText="1"/>
    </xf>
    <xf numFmtId="165" fontId="6" fillId="2" borderId="10" xfId="1" applyNumberFormat="1" applyFont="1" applyFill="1" applyBorder="1"/>
    <xf numFmtId="165" fontId="6" fillId="0" borderId="0" xfId="1" applyNumberFormat="1" applyFont="1" applyBorder="1"/>
    <xf numFmtId="164" fontId="6" fillId="18" borderId="12" xfId="1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center" vertical="center" textRotation="90"/>
    </xf>
    <xf numFmtId="164" fontId="6" fillId="18" borderId="13" xfId="1" applyNumberFormat="1" applyFont="1" applyFill="1" applyBorder="1" applyAlignment="1">
      <alignment horizontal="left"/>
    </xf>
    <xf numFmtId="2" fontId="13" fillId="0" borderId="0" xfId="1" applyNumberFormat="1" applyFont="1" applyBorder="1" applyAlignment="1">
      <alignment horizontal="left" vertical="top"/>
    </xf>
    <xf numFmtId="164" fontId="6" fillId="18" borderId="3" xfId="1" applyNumberFormat="1" applyFont="1" applyFill="1" applyBorder="1" applyAlignment="1">
      <alignment horizontal="left"/>
    </xf>
    <xf numFmtId="2" fontId="14" fillId="0" borderId="0" xfId="1" applyNumberFormat="1" applyFont="1" applyBorder="1" applyAlignment="1">
      <alignment horizontal="left" vertical="top" textRotation="255" wrapText="1"/>
    </xf>
    <xf numFmtId="164" fontId="6" fillId="18" borderId="9" xfId="1" applyNumberFormat="1" applyFont="1" applyFill="1" applyBorder="1" applyAlignment="1">
      <alignment horizontal="left"/>
    </xf>
    <xf numFmtId="1" fontId="2" fillId="2" borderId="8" xfId="1" applyNumberFormat="1" applyFont="1" applyFill="1" applyBorder="1" applyAlignment="1">
      <alignment horizontal="center" vertical="center" textRotation="255" wrapText="1"/>
    </xf>
    <xf numFmtId="165" fontId="6" fillId="2" borderId="7" xfId="1" applyNumberFormat="1" applyFont="1" applyFill="1" applyBorder="1"/>
    <xf numFmtId="165" fontId="6" fillId="0" borderId="6" xfId="1" applyNumberFormat="1" applyFont="1" applyBorder="1"/>
    <xf numFmtId="0" fontId="5" fillId="2" borderId="6" xfId="1" applyFont="1" applyFill="1" applyBorder="1" applyAlignment="1">
      <alignment horizontal="center" vertical="center" textRotation="90"/>
    </xf>
    <xf numFmtId="0" fontId="9" fillId="0" borderId="0" xfId="1" applyFont="1" applyBorder="1" applyAlignment="1">
      <alignment horizontal="left" vertical="top" wrapText="1"/>
    </xf>
    <xf numFmtId="2" fontId="15" fillId="22" borderId="17" xfId="1" applyNumberFormat="1" applyFont="1" applyFill="1" applyBorder="1" applyAlignment="1">
      <alignment horizontal="center" vertical="center"/>
    </xf>
    <xf numFmtId="165" fontId="6" fillId="22" borderId="10" xfId="1" applyNumberFormat="1" applyFont="1" applyFill="1" applyBorder="1"/>
    <xf numFmtId="1" fontId="6" fillId="23" borderId="20" xfId="1" applyNumberFormat="1" applyFont="1" applyFill="1" applyBorder="1" applyAlignment="1">
      <alignment horizontal="left"/>
    </xf>
    <xf numFmtId="0" fontId="5" fillId="22" borderId="14" xfId="1" applyFont="1" applyFill="1" applyBorder="1" applyAlignment="1">
      <alignment horizontal="center" vertical="center" textRotation="90"/>
    </xf>
    <xf numFmtId="1" fontId="16" fillId="22" borderId="11" xfId="1" applyNumberFormat="1" applyFont="1" applyFill="1" applyBorder="1" applyAlignment="1">
      <alignment horizontal="center" vertical="top" textRotation="255"/>
    </xf>
    <xf numFmtId="165" fontId="6" fillId="0" borderId="21" xfId="1" applyNumberFormat="1" applyFont="1" applyBorder="1"/>
    <xf numFmtId="165" fontId="6" fillId="0" borderId="0" xfId="1" applyNumberFormat="1" applyFont="1"/>
    <xf numFmtId="1" fontId="6" fillId="23" borderId="3" xfId="1" applyNumberFormat="1" applyFont="1" applyFill="1" applyBorder="1" applyAlignment="1">
      <alignment horizontal="left"/>
    </xf>
    <xf numFmtId="0" fontId="5" fillId="22" borderId="0" xfId="1" applyFont="1" applyFill="1" applyBorder="1" applyAlignment="1">
      <alignment horizontal="center" vertical="center" textRotation="90"/>
    </xf>
    <xf numFmtId="165" fontId="6" fillId="24" borderId="0" xfId="1" applyNumberFormat="1" applyFont="1" applyFill="1" applyBorder="1"/>
    <xf numFmtId="1" fontId="6" fillId="23" borderId="12" xfId="1" applyNumberFormat="1" applyFont="1" applyFill="1" applyBorder="1" applyAlignment="1">
      <alignment horizontal="left"/>
    </xf>
    <xf numFmtId="1" fontId="6" fillId="23" borderId="9" xfId="1" applyNumberFormat="1" applyFont="1" applyFill="1" applyBorder="1" applyAlignment="1">
      <alignment horizontal="left"/>
    </xf>
    <xf numFmtId="0" fontId="9" fillId="0" borderId="0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top"/>
    </xf>
    <xf numFmtId="1" fontId="16" fillId="22" borderId="22" xfId="1" applyNumberFormat="1" applyFont="1" applyFill="1" applyBorder="1" applyAlignment="1">
      <alignment horizontal="center" vertical="top" textRotation="255"/>
    </xf>
    <xf numFmtId="0" fontId="6" fillId="19" borderId="21" xfId="1" applyFont="1" applyFill="1" applyBorder="1" applyAlignment="1">
      <alignment horizontal="center"/>
    </xf>
    <xf numFmtId="49" fontId="6" fillId="19" borderId="21" xfId="1" applyNumberFormat="1" applyFont="1" applyFill="1" applyBorder="1" applyAlignment="1">
      <alignment horizontal="center" vertical="center"/>
    </xf>
    <xf numFmtId="49" fontId="6" fillId="19" borderId="23" xfId="1" applyNumberFormat="1" applyFont="1" applyFill="1" applyBorder="1" applyAlignment="1">
      <alignment horizontal="center" vertical="center"/>
    </xf>
    <xf numFmtId="0" fontId="11" fillId="19" borderId="21" xfId="1" applyFont="1" applyFill="1" applyBorder="1" applyAlignment="1">
      <alignment horizontal="center" vertical="center"/>
    </xf>
    <xf numFmtId="0" fontId="6" fillId="19" borderId="21" xfId="1" applyFont="1" applyFill="1" applyBorder="1" applyAlignment="1">
      <alignment horizontal="left" vertical="top"/>
    </xf>
    <xf numFmtId="0" fontId="8" fillId="0" borderId="0" xfId="1" applyAlignment="1">
      <alignment horizontal="left" vertical="top"/>
    </xf>
    <xf numFmtId="0" fontId="8" fillId="0" borderId="0" xfId="1" applyBorder="1" applyAlignment="1">
      <alignment horizontal="left" vertical="top"/>
    </xf>
    <xf numFmtId="14" fontId="8" fillId="0" borderId="0" xfId="1" applyNumberFormat="1" applyAlignment="1">
      <alignment horizontal="left" vertical="top"/>
    </xf>
    <xf numFmtId="14" fontId="8" fillId="0" borderId="0" xfId="1" applyNumberFormat="1" applyBorder="1" applyAlignment="1">
      <alignment horizontal="left" vertical="top"/>
    </xf>
    <xf numFmtId="14" fontId="8" fillId="0" borderId="0" xfId="1" applyNumberFormat="1" applyAlignment="1">
      <alignment horizontal="left" vertical="top"/>
    </xf>
    <xf numFmtId="0" fontId="1" fillId="0" borderId="0" xfId="1" applyFont="1" applyAlignment="1">
      <alignment horizontal="left" vertical="top"/>
    </xf>
    <xf numFmtId="165" fontId="4" fillId="17" borderId="4" xfId="1" applyNumberFormat="1" applyFont="1" applyFill="1" applyBorder="1" applyAlignment="1">
      <alignment horizontal="center" vertical="center"/>
    </xf>
    <xf numFmtId="0" fontId="3" fillId="17" borderId="4" xfId="1" applyFont="1" applyFill="1" applyBorder="1" applyAlignment="1">
      <alignment horizontal="center" vertical="center"/>
    </xf>
    <xf numFmtId="165" fontId="4" fillId="16" borderId="4" xfId="1" applyNumberFormat="1" applyFont="1" applyFill="1" applyBorder="1" applyAlignment="1">
      <alignment horizontal="center" vertical="center"/>
    </xf>
    <xf numFmtId="0" fontId="3" fillId="16" borderId="4" xfId="1" applyFont="1" applyFill="1" applyBorder="1" applyAlignment="1">
      <alignment horizontal="center" vertical="center"/>
    </xf>
    <xf numFmtId="0" fontId="2" fillId="22" borderId="5" xfId="1" applyFont="1" applyFill="1" applyBorder="1" applyAlignment="1">
      <alignment horizontal="center" vertical="center" textRotation="90"/>
    </xf>
    <xf numFmtId="0" fontId="8" fillId="0" borderId="0" xfId="1" applyFont="1" applyAlignment="1">
      <alignment horizontal="left" vertical="top"/>
    </xf>
    <xf numFmtId="165" fontId="1" fillId="0" borderId="2" xfId="1" applyNumberFormat="1" applyFont="1" applyBorder="1" applyAlignment="1">
      <alignment horizontal="left" vertical="top"/>
    </xf>
    <xf numFmtId="14" fontId="1" fillId="0" borderId="0" xfId="1" applyNumberFormat="1" applyFont="1" applyBorder="1" applyAlignment="1">
      <alignment horizontal="left" vertical="top"/>
    </xf>
    <xf numFmtId="14" fontId="1" fillId="0" borderId="2" xfId="1" applyNumberFormat="1" applyFont="1" applyBorder="1" applyAlignment="1">
      <alignment horizontal="left" vertical="top"/>
    </xf>
    <xf numFmtId="165" fontId="1" fillId="0" borderId="2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165" fontId="1" fillId="4" borderId="2" xfId="1" applyNumberFormat="1" applyFont="1" applyFill="1" applyBorder="1" applyAlignment="1">
      <alignment horizontal="center" vertical="center"/>
    </xf>
    <xf numFmtId="165" fontId="1" fillId="14" borderId="2" xfId="1" applyNumberFormat="1" applyFont="1" applyFill="1" applyBorder="1" applyAlignment="1">
      <alignment horizontal="center" vertical="center"/>
    </xf>
    <xf numFmtId="165" fontId="1" fillId="13" borderId="2" xfId="1" applyNumberFormat="1" applyFont="1" applyFill="1" applyBorder="1" applyAlignment="1">
      <alignment horizontal="center" vertical="center"/>
    </xf>
    <xf numFmtId="165" fontId="1" fillId="12" borderId="2" xfId="1" applyNumberFormat="1" applyFont="1" applyFill="1" applyBorder="1" applyAlignment="1">
      <alignment horizontal="center" vertical="center"/>
    </xf>
    <xf numFmtId="165" fontId="1" fillId="11" borderId="2" xfId="1" applyNumberFormat="1" applyFont="1" applyFill="1" applyBorder="1" applyAlignment="1">
      <alignment horizontal="center" vertical="center"/>
    </xf>
    <xf numFmtId="165" fontId="1" fillId="10" borderId="2" xfId="1" applyNumberFormat="1" applyFont="1" applyFill="1" applyBorder="1" applyAlignment="1">
      <alignment horizontal="center" vertical="center"/>
    </xf>
    <xf numFmtId="165" fontId="1" fillId="9" borderId="2" xfId="1" applyNumberFormat="1" applyFont="1" applyFill="1" applyBorder="1" applyAlignment="1">
      <alignment horizontal="center" vertical="center"/>
    </xf>
    <xf numFmtId="165" fontId="1" fillId="8" borderId="2" xfId="1" applyNumberFormat="1" applyFont="1" applyFill="1" applyBorder="1" applyAlignment="1">
      <alignment horizontal="center" vertical="center"/>
    </xf>
    <xf numFmtId="165" fontId="1" fillId="7" borderId="2" xfId="1" applyNumberFormat="1" applyFont="1" applyFill="1" applyBorder="1" applyAlignment="1">
      <alignment horizontal="center" vertical="center"/>
    </xf>
    <xf numFmtId="165" fontId="1" fillId="6" borderId="2" xfId="1" applyNumberFormat="1" applyFont="1" applyFill="1" applyBorder="1" applyAlignment="1">
      <alignment horizontal="center" vertical="center"/>
    </xf>
    <xf numFmtId="165" fontId="1" fillId="5" borderId="2" xfId="1" applyNumberFormat="1" applyFont="1" applyFill="1" applyBorder="1" applyAlignment="1">
      <alignment horizontal="center" vertical="center"/>
    </xf>
    <xf numFmtId="0" fontId="2" fillId="22" borderId="3" xfId="1" applyFont="1" applyFill="1" applyBorder="1" applyAlignment="1">
      <alignment horizontal="center" vertical="center" textRotation="90"/>
    </xf>
    <xf numFmtId="167" fontId="1" fillId="0" borderId="24" xfId="1" applyNumberFormat="1" applyFont="1" applyBorder="1" applyAlignment="1">
      <alignment horizontal="left" vertical="top"/>
    </xf>
    <xf numFmtId="0" fontId="21" fillId="0" borderId="0" xfId="1" applyFont="1" applyAlignment="1">
      <alignment horizontal="left" vertical="top"/>
    </xf>
    <xf numFmtId="14" fontId="1" fillId="0" borderId="0" xfId="1" applyNumberFormat="1" applyFont="1" applyBorder="1" applyAlignment="1">
      <alignment horizontal="center" vertical="center"/>
    </xf>
    <xf numFmtId="14" fontId="1" fillId="0" borderId="2" xfId="1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left" vertical="top"/>
    </xf>
    <xf numFmtId="0" fontId="1" fillId="3" borderId="2" xfId="1" applyFont="1" applyFill="1" applyBorder="1" applyAlignment="1">
      <alignment horizontal="center" vertical="center"/>
    </xf>
    <xf numFmtId="0" fontId="1" fillId="3" borderId="25" xfId="1" applyFont="1" applyFill="1" applyBorder="1" applyAlignment="1">
      <alignment horizontal="center" vertical="center"/>
    </xf>
    <xf numFmtId="0" fontId="1" fillId="3" borderId="26" xfId="1" applyFont="1" applyFill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16" fontId="1" fillId="3" borderId="2" xfId="1" applyNumberFormat="1" applyFont="1" applyFill="1" applyBorder="1" applyAlignment="1">
      <alignment horizontal="center" vertical="center"/>
    </xf>
    <xf numFmtId="0" fontId="8" fillId="22" borderId="1" xfId="1" applyFill="1" applyBorder="1" applyAlignment="1">
      <alignment horizontal="left" vertical="top"/>
    </xf>
    <xf numFmtId="0" fontId="8" fillId="20" borderId="0" xfId="1" applyFill="1" applyBorder="1" applyAlignment="1">
      <alignment horizontal="left" vertical="top"/>
    </xf>
    <xf numFmtId="165" fontId="1" fillId="20" borderId="0" xfId="1" applyNumberFormat="1" applyFont="1" applyFill="1" applyBorder="1" applyAlignment="1">
      <alignment horizontal="center" vertical="top"/>
    </xf>
    <xf numFmtId="14" fontId="1" fillId="20" borderId="27" xfId="1" applyNumberFormat="1" applyFont="1" applyFill="1" applyBorder="1" applyAlignment="1">
      <alignment horizontal="center" vertical="top"/>
    </xf>
    <xf numFmtId="165" fontId="1" fillId="20" borderId="9" xfId="1" applyNumberFormat="1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center" textRotation="90"/>
    </xf>
    <xf numFmtId="14" fontId="1" fillId="20" borderId="26" xfId="1" applyNumberFormat="1" applyFont="1" applyFill="1" applyBorder="1" applyAlignment="1">
      <alignment horizontal="center" vertical="top"/>
    </xf>
    <xf numFmtId="14" fontId="1" fillId="20" borderId="12" xfId="1" applyNumberFormat="1" applyFont="1" applyFill="1" applyBorder="1" applyAlignment="1">
      <alignment horizontal="center" vertical="top"/>
    </xf>
    <xf numFmtId="14" fontId="1" fillId="0" borderId="0" xfId="1" applyNumberFormat="1" applyFont="1" applyAlignment="1">
      <alignment horizontal="center" vertical="center"/>
    </xf>
    <xf numFmtId="0" fontId="1" fillId="0" borderId="2" xfId="1" applyFont="1" applyBorder="1" applyAlignment="1">
      <alignment horizontal="center" vertical="top"/>
    </xf>
    <xf numFmtId="165" fontId="1" fillId="15" borderId="2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textRotation="90"/>
    </xf>
    <xf numFmtId="165" fontId="1" fillId="20" borderId="12" xfId="1" applyNumberFormat="1" applyFont="1" applyFill="1" applyBorder="1" applyAlignment="1">
      <alignment horizontal="center" vertical="top"/>
    </xf>
    <xf numFmtId="14" fontId="4" fillId="20" borderId="24" xfId="1" applyNumberFormat="1" applyFont="1" applyFill="1" applyBorder="1" applyAlignment="1">
      <alignment vertical="top"/>
    </xf>
    <xf numFmtId="165" fontId="1" fillId="11" borderId="4" xfId="1" applyNumberFormat="1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 vertical="center"/>
    </xf>
    <xf numFmtId="165" fontId="1" fillId="6" borderId="4" xfId="1" applyNumberFormat="1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 vertical="center"/>
    </xf>
    <xf numFmtId="165" fontId="1" fillId="4" borderId="4" xfId="1" applyNumberFormat="1" applyFont="1" applyFill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68" fontId="1" fillId="20" borderId="12" xfId="1" applyNumberFormat="1" applyFont="1" applyFill="1" applyBorder="1" applyAlignment="1">
      <alignment horizontal="center" vertical="top"/>
    </xf>
    <xf numFmtId="165" fontId="1" fillId="0" borderId="24" xfId="1" applyNumberFormat="1" applyFont="1" applyBorder="1" applyAlignment="1">
      <alignment horizontal="center" vertical="center"/>
    </xf>
    <xf numFmtId="14" fontId="4" fillId="20" borderId="13" xfId="1" applyNumberFormat="1" applyFont="1" applyFill="1" applyBorder="1" applyAlignment="1">
      <alignment vertical="top"/>
    </xf>
    <xf numFmtId="2" fontId="22" fillId="0" borderId="0" xfId="1" applyNumberFormat="1" applyFont="1" applyAlignment="1">
      <alignment horizontal="left" vertical="top"/>
    </xf>
    <xf numFmtId="14" fontId="1" fillId="20" borderId="25" xfId="1" applyNumberFormat="1" applyFont="1" applyFill="1" applyBorder="1" applyAlignment="1">
      <alignment horizontal="center" vertical="center"/>
    </xf>
    <xf numFmtId="0" fontId="4" fillId="20" borderId="3" xfId="1" applyFont="1" applyFill="1" applyBorder="1" applyAlignment="1">
      <alignment vertical="top"/>
    </xf>
    <xf numFmtId="0" fontId="4" fillId="20" borderId="0" xfId="1" applyFont="1" applyFill="1" applyBorder="1" applyAlignment="1">
      <alignment vertical="top"/>
    </xf>
    <xf numFmtId="14" fontId="4" fillId="20" borderId="21" xfId="1" applyNumberFormat="1" applyFont="1" applyFill="1" applyBorder="1" applyAlignment="1">
      <alignment horizontal="left" vertical="top" indent="1"/>
    </xf>
    <xf numFmtId="0" fontId="18" fillId="20" borderId="28" xfId="1" applyFont="1" applyFill="1" applyBorder="1" applyAlignment="1">
      <alignment horizontal="center" vertical="top"/>
    </xf>
    <xf numFmtId="0" fontId="18" fillId="20" borderId="29" xfId="1" applyFont="1" applyFill="1" applyBorder="1" applyAlignment="1">
      <alignment horizontal="center" vertical="top"/>
    </xf>
    <xf numFmtId="0" fontId="18" fillId="20" borderId="30" xfId="1" applyFont="1" applyFill="1" applyBorder="1" applyAlignment="1">
      <alignment horizontal="center" vertical="top"/>
    </xf>
    <xf numFmtId="0" fontId="18" fillId="20" borderId="31" xfId="1" applyFont="1" applyFill="1" applyBorder="1" applyAlignment="1">
      <alignment horizontal="center" vertical="top"/>
    </xf>
    <xf numFmtId="0" fontId="1" fillId="3" borderId="2" xfId="1" applyFont="1" applyFill="1" applyBorder="1" applyAlignment="1">
      <alignment horizontal="center" vertical="center"/>
    </xf>
    <xf numFmtId="0" fontId="1" fillId="0" borderId="0" xfId="1" applyFont="1"/>
    <xf numFmtId="0" fontId="8" fillId="2" borderId="1" xfId="1" applyFill="1" applyBorder="1" applyAlignment="1">
      <alignment horizontal="left" vertical="top"/>
    </xf>
    <xf numFmtId="0" fontId="18" fillId="20" borderId="0" xfId="1" applyFont="1" applyFill="1" applyAlignment="1">
      <alignment horizontal="left"/>
    </xf>
    <xf numFmtId="0" fontId="14" fillId="20" borderId="0" xfId="1" applyFont="1" applyFill="1" applyAlignment="1">
      <alignment horizontal="left"/>
    </xf>
    <xf numFmtId="166" fontId="18" fillId="20" borderId="0" xfId="1" applyNumberFormat="1" applyFont="1" applyFill="1" applyAlignment="1">
      <alignment horizontal="left"/>
    </xf>
    <xf numFmtId="14" fontId="18" fillId="20" borderId="0" xfId="1" applyNumberFormat="1" applyFont="1" applyFill="1" applyAlignment="1">
      <alignment horizontal="left"/>
    </xf>
    <xf numFmtId="0" fontId="19" fillId="20" borderId="0" xfId="1" applyFont="1" applyFill="1" applyBorder="1" applyAlignment="1">
      <alignment horizontal="center" vertical="center"/>
    </xf>
    <xf numFmtId="166" fontId="18" fillId="20" borderId="0" xfId="1" applyNumberFormat="1" applyFont="1" applyFill="1" applyAlignment="1">
      <alignment horizontal="center" vertical="center"/>
    </xf>
    <xf numFmtId="14" fontId="18" fillId="20" borderId="0" xfId="1" applyNumberFormat="1" applyFont="1" applyFill="1" applyAlignment="1">
      <alignment horizontal="center" vertical="center"/>
    </xf>
    <xf numFmtId="0" fontId="8" fillId="20" borderId="0" xfId="1" applyFill="1" applyAlignment="1">
      <alignment horizontal="left" vertical="top"/>
    </xf>
    <xf numFmtId="166" fontId="18" fillId="20" borderId="0" xfId="1" applyNumberFormat="1" applyFont="1" applyFill="1" applyAlignment="1">
      <alignment horizontal="left" vertical="top"/>
    </xf>
    <xf numFmtId="14" fontId="18" fillId="20" borderId="0" xfId="1" applyNumberFormat="1" applyFont="1" applyFill="1" applyAlignment="1">
      <alignment horizontal="left" vertical="top"/>
    </xf>
    <xf numFmtId="166" fontId="18" fillId="20" borderId="0" xfId="1" applyNumberFormat="1" applyFont="1" applyFill="1" applyBorder="1" applyAlignment="1">
      <alignment horizontal="left"/>
    </xf>
    <xf numFmtId="14" fontId="18" fillId="20" borderId="0" xfId="1" applyNumberFormat="1" applyFont="1" applyFill="1" applyBorder="1" applyAlignment="1">
      <alignment horizontal="left" vertical="top"/>
    </xf>
    <xf numFmtId="0" fontId="20" fillId="20" borderId="0" xfId="1" applyFont="1" applyFill="1" applyAlignment="1">
      <alignment horizontal="left" vertical="top"/>
    </xf>
  </cellXfs>
  <cellStyles count="2">
    <cellStyle name="Standard" xfId="0" builtinId="0"/>
    <cellStyle name="Standard 2" xfId="1" xr:uid="{49BCB51C-173C-429D-A056-76CF94E16EE6}"/>
  </cellStyles>
  <dxfs count="45">
    <dxf>
      <fill>
        <patternFill>
          <fgColor rgb="FFFFFF8B"/>
          <bgColor rgb="FFD3C55F"/>
        </patternFill>
      </fill>
    </dxf>
    <dxf>
      <fill>
        <patternFill>
          <bgColor rgb="FFFBC99F"/>
        </patternFill>
      </fill>
    </dxf>
    <dxf>
      <fill>
        <patternFill>
          <bgColor rgb="FFFFFE00"/>
        </patternFill>
      </fill>
    </dxf>
    <dxf>
      <fill>
        <patternFill>
          <bgColor rgb="FFD4F240"/>
        </patternFill>
      </fill>
    </dxf>
    <dxf>
      <fill>
        <patternFill>
          <bgColor rgb="FFEAEAEA"/>
        </patternFill>
      </fill>
    </dxf>
    <dxf>
      <fill>
        <patternFill>
          <bgColor rgb="FFD1D1D1"/>
        </patternFill>
      </fill>
    </dxf>
    <dxf>
      <fill>
        <patternFill>
          <bgColor rgb="FFBFBFBF"/>
        </patternFill>
      </fill>
    </dxf>
    <dxf>
      <fill>
        <patternFill>
          <bgColor rgb="FFFBC99F"/>
        </patternFill>
      </fill>
    </dxf>
    <dxf>
      <fill>
        <patternFill>
          <fgColor rgb="FFFFFF8B"/>
          <bgColor rgb="FFD3C55F"/>
        </patternFill>
      </fill>
    </dxf>
    <dxf>
      <fill>
        <patternFill>
          <bgColor rgb="FFFFFE00"/>
        </patternFill>
      </fill>
    </dxf>
    <dxf>
      <fill>
        <patternFill>
          <bgColor rgb="FFD4F240"/>
        </patternFill>
      </fill>
    </dxf>
    <dxf>
      <fill>
        <patternFill>
          <bgColor rgb="FFEAEAEA"/>
        </patternFill>
      </fill>
    </dxf>
    <dxf>
      <fill>
        <patternFill>
          <bgColor rgb="FFD1D1D1"/>
        </patternFill>
      </fill>
    </dxf>
    <dxf>
      <fill>
        <patternFill>
          <bgColor rgb="FFBFBFBF"/>
        </patternFill>
      </fill>
    </dxf>
    <dxf>
      <fill>
        <patternFill>
          <fgColor rgb="FFFFFF8B"/>
          <bgColor rgb="FFD3C55F"/>
        </patternFill>
      </fill>
    </dxf>
    <dxf>
      <fill>
        <patternFill>
          <bgColor rgb="FF5FE70B"/>
        </patternFill>
      </fill>
    </dxf>
    <dxf>
      <fill>
        <patternFill>
          <fgColor rgb="FFEBE600"/>
          <bgColor rgb="FFFFFE00"/>
        </patternFill>
      </fill>
    </dxf>
    <dxf>
      <fill>
        <patternFill>
          <fgColor rgb="FFFFFF8B"/>
          <bgColor rgb="FFD3C55F"/>
        </patternFill>
      </fill>
    </dxf>
    <dxf>
      <fill>
        <patternFill>
          <bgColor rgb="FF5FE70B"/>
        </patternFill>
      </fill>
    </dxf>
    <dxf>
      <fill>
        <patternFill>
          <bgColor rgb="FFBFBFBF"/>
        </patternFill>
      </fill>
    </dxf>
    <dxf>
      <fill>
        <patternFill>
          <bgColor rgb="FFD1E6EB"/>
        </patternFill>
      </fill>
    </dxf>
    <dxf>
      <fill>
        <patternFill>
          <bgColor rgb="FFC7CDE7"/>
        </patternFill>
      </fill>
    </dxf>
    <dxf>
      <fill>
        <patternFill>
          <bgColor rgb="FF95B3D7"/>
        </patternFill>
      </fill>
    </dxf>
    <dxf>
      <fill>
        <patternFill>
          <bgColor rgb="FFFBC99F"/>
        </patternFill>
      </fill>
    </dxf>
    <dxf>
      <fill>
        <patternFill>
          <bgColor rgb="FFD3C55F"/>
        </patternFill>
      </fill>
    </dxf>
    <dxf>
      <fill>
        <patternFill>
          <bgColor rgb="FFFFFE00"/>
        </patternFill>
      </fill>
    </dxf>
    <dxf>
      <fill>
        <patternFill>
          <bgColor rgb="FFD4F240"/>
        </patternFill>
      </fill>
    </dxf>
    <dxf>
      <fill>
        <patternFill>
          <bgColor rgb="FFEAEAEA"/>
        </patternFill>
      </fill>
    </dxf>
    <dxf>
      <fill>
        <patternFill>
          <bgColor rgb="FFD1D1D1"/>
        </patternFill>
      </fill>
    </dxf>
    <dxf>
      <fill>
        <patternFill>
          <bgColor rgb="FFBFBFBF"/>
        </patternFill>
      </fill>
    </dxf>
    <dxf>
      <fill>
        <patternFill>
          <bgColor rgb="FFE0E0E0"/>
        </patternFill>
      </fill>
    </dxf>
    <dxf>
      <fill>
        <patternFill>
          <bgColor rgb="FFD6EBEE"/>
        </patternFill>
      </fill>
    </dxf>
    <dxf>
      <fill>
        <patternFill>
          <bgColor rgb="FFFFFE00"/>
        </patternFill>
      </fill>
    </dxf>
    <dxf>
      <fill>
        <patternFill>
          <bgColor rgb="FFC7CDE7"/>
        </patternFill>
      </fill>
    </dxf>
    <dxf>
      <fill>
        <patternFill>
          <bgColor rgb="FF95B3D7"/>
        </patternFill>
      </fill>
    </dxf>
    <dxf>
      <fill>
        <patternFill>
          <bgColor rgb="FFFBC99F"/>
        </patternFill>
      </fill>
    </dxf>
    <dxf>
      <fill>
        <patternFill>
          <bgColor rgb="FFD3C55F"/>
        </patternFill>
      </fill>
    </dxf>
    <dxf>
      <fill>
        <patternFill>
          <bgColor rgb="FFD4F240"/>
        </patternFill>
      </fill>
    </dxf>
    <dxf>
      <fill>
        <patternFill>
          <bgColor rgb="FFBFBFBF"/>
        </patternFill>
      </fill>
    </dxf>
    <dxf>
      <fill>
        <patternFill>
          <bgColor rgb="FFEAEAEA"/>
        </patternFill>
      </fill>
    </dxf>
    <dxf>
      <fill>
        <patternFill>
          <bgColor rgb="FFD1D1D1"/>
        </patternFill>
      </fill>
    </dxf>
    <dxf>
      <fill>
        <patternFill>
          <bgColor rgb="FFE0E0E0"/>
        </patternFill>
      </fill>
    </dxf>
    <dxf>
      <fill>
        <patternFill>
          <bgColor theme="0" tint="-0.24994659260841701"/>
        </patternFill>
      </fill>
    </dxf>
    <dxf>
      <fill>
        <patternFill>
          <fgColor rgb="FFEBE600"/>
          <bgColor rgb="FFFFFE00"/>
        </patternFill>
      </fill>
    </dxf>
    <dxf>
      <fill>
        <patternFill>
          <bgColor theme="0" tint="-4.9989318521683403E-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8206-DA42-414D-AF31-575F0CD8C0A1}">
  <sheetPr codeName="Tabelle8"/>
  <dimension ref="A1:AL72"/>
  <sheetViews>
    <sheetView workbookViewId="0">
      <selection activeCell="Q11" sqref="Q11"/>
    </sheetView>
  </sheetViews>
  <sheetFormatPr baseColWidth="10" defaultRowHeight="10" x14ac:dyDescent="0.25"/>
  <cols>
    <col min="1" max="1" width="4.36328125" style="1" customWidth="1"/>
    <col min="2" max="2" width="3.08984375" style="1" bestFit="1" customWidth="1"/>
    <col min="3" max="7" width="3.90625" style="1" bestFit="1" customWidth="1"/>
    <col min="8" max="8" width="3.90625" style="1" customWidth="1"/>
    <col min="9" max="33" width="3.90625" style="1" bestFit="1" customWidth="1"/>
    <col min="34" max="35" width="5.7265625" style="1" customWidth="1"/>
    <col min="36" max="36" width="10.90625" style="1"/>
    <col min="37" max="37" width="11.81640625" style="1" bestFit="1" customWidth="1"/>
    <col min="38" max="16384" width="10.90625" style="1"/>
  </cols>
  <sheetData>
    <row r="1" spans="1:38" x14ac:dyDescent="0.2">
      <c r="A1" s="54"/>
      <c r="B1" s="53"/>
      <c r="C1" s="52">
        <v>1</v>
      </c>
      <c r="D1" s="51">
        <v>2</v>
      </c>
      <c r="E1" s="51">
        <v>3</v>
      </c>
      <c r="F1" s="51">
        <v>4</v>
      </c>
      <c r="G1" s="51">
        <v>5</v>
      </c>
      <c r="H1" s="51">
        <v>6</v>
      </c>
      <c r="I1" s="51">
        <v>7</v>
      </c>
      <c r="J1" s="51">
        <v>8</v>
      </c>
      <c r="K1" s="51">
        <v>9</v>
      </c>
      <c r="L1" s="51">
        <v>10</v>
      </c>
      <c r="M1" s="51">
        <v>11</v>
      </c>
      <c r="N1" s="51">
        <v>12</v>
      </c>
      <c r="O1" s="51">
        <v>13</v>
      </c>
      <c r="P1" s="51">
        <v>14</v>
      </c>
      <c r="Q1" s="51">
        <v>15</v>
      </c>
      <c r="R1" s="51">
        <v>16</v>
      </c>
      <c r="S1" s="51">
        <v>17</v>
      </c>
      <c r="T1" s="51">
        <v>18</v>
      </c>
      <c r="U1" s="51">
        <v>19</v>
      </c>
      <c r="V1" s="51">
        <v>20</v>
      </c>
      <c r="W1" s="51">
        <v>21</v>
      </c>
      <c r="X1" s="51">
        <v>22</v>
      </c>
      <c r="Y1" s="51">
        <v>23</v>
      </c>
      <c r="Z1" s="51">
        <v>24</v>
      </c>
      <c r="AA1" s="51">
        <v>25</v>
      </c>
      <c r="AB1" s="51">
        <v>26</v>
      </c>
      <c r="AC1" s="51">
        <v>27</v>
      </c>
      <c r="AD1" s="51">
        <v>28</v>
      </c>
      <c r="AE1" s="51">
        <v>29</v>
      </c>
      <c r="AF1" s="51">
        <v>30</v>
      </c>
      <c r="AG1" s="51">
        <v>31</v>
      </c>
      <c r="AH1" s="50" t="s">
        <v>4</v>
      </c>
      <c r="AI1" s="50" t="s">
        <v>4</v>
      </c>
      <c r="AK1" s="3"/>
    </row>
    <row r="2" spans="1:38" ht="10" customHeight="1" x14ac:dyDescent="0.2">
      <c r="A2" s="43">
        <v>2024</v>
      </c>
      <c r="B2" s="46" t="str">
        <f>TEXT(DATE(1,ROW(A6),1),"MMM")</f>
        <v>Jun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>
        <v>1.708</v>
      </c>
      <c r="W2" s="22">
        <v>1.2310000000000001</v>
      </c>
      <c r="X2" s="22">
        <v>1.522</v>
      </c>
      <c r="Y2" s="22">
        <v>2.2839999999999998</v>
      </c>
      <c r="Z2" s="22">
        <v>2.9529999999999998</v>
      </c>
      <c r="AA2" s="22">
        <v>3.9260000000000002</v>
      </c>
      <c r="AB2" s="22">
        <v>1.7849999999999999</v>
      </c>
      <c r="AC2" s="22">
        <v>3.0310000000000001</v>
      </c>
      <c r="AD2" s="22">
        <v>3.2509999999999999</v>
      </c>
      <c r="AE2" s="22">
        <v>2.6930000000000001</v>
      </c>
      <c r="AF2" s="22">
        <v>1.3819999999999999</v>
      </c>
      <c r="AG2" s="22"/>
      <c r="AH2" s="36">
        <f>IF(COUNTIF(C2:AG2, "&lt;&gt;") &gt; 0, SUM(C2:AG2), "")</f>
        <v>25.766000000000005</v>
      </c>
      <c r="AI2" s="49">
        <f>INT(SUM(AH2:AH8))</f>
        <v>384</v>
      </c>
      <c r="AK2" s="48"/>
    </row>
    <row r="3" spans="1:38" x14ac:dyDescent="0.2">
      <c r="A3" s="43"/>
      <c r="B3" s="46" t="str">
        <f>TEXT(DATE(1,ROW(A7),1),"MMM")</f>
        <v>Jul</v>
      </c>
      <c r="C3" s="22">
        <v>1.9379999999999999</v>
      </c>
      <c r="D3" s="22">
        <v>1.238</v>
      </c>
      <c r="E3" s="22">
        <v>1.0569999999999999</v>
      </c>
      <c r="F3" s="22">
        <v>1.8640000000000001</v>
      </c>
      <c r="G3" s="22">
        <v>3.2280000000000002</v>
      </c>
      <c r="H3" s="22">
        <v>1.21</v>
      </c>
      <c r="I3" s="22">
        <v>2.9140000000000001</v>
      </c>
      <c r="J3" s="22">
        <v>3.8559999999999999</v>
      </c>
      <c r="K3" s="22">
        <v>4.1040000000000001</v>
      </c>
      <c r="L3" s="22">
        <v>2.4510000000000001</v>
      </c>
      <c r="M3" s="22">
        <v>3.734</v>
      </c>
      <c r="N3" s="22">
        <v>1.7170000000000001</v>
      </c>
      <c r="O3" s="22">
        <v>3.3119999999999998</v>
      </c>
      <c r="P3" s="22">
        <v>3.0830000000000002</v>
      </c>
      <c r="Q3" s="22">
        <v>3.6549999999999998</v>
      </c>
      <c r="R3" s="22">
        <v>3.177</v>
      </c>
      <c r="S3" s="22">
        <v>3.7559999999999998</v>
      </c>
      <c r="T3" s="22">
        <v>3.633</v>
      </c>
      <c r="U3" s="22">
        <v>3.0790000000000002</v>
      </c>
      <c r="V3" s="22">
        <v>4.0110000000000001</v>
      </c>
      <c r="W3" s="22">
        <v>2.855</v>
      </c>
      <c r="X3" s="22">
        <v>3.1680000000000001</v>
      </c>
      <c r="Y3" s="22">
        <v>2.7320000000000002</v>
      </c>
      <c r="Z3" s="22">
        <v>2.9129999999999998</v>
      </c>
      <c r="AA3" s="22">
        <v>3.5259999999999998</v>
      </c>
      <c r="AB3" s="22">
        <v>3.161</v>
      </c>
      <c r="AC3" s="22">
        <v>2.1440000000000001</v>
      </c>
      <c r="AD3" s="22">
        <v>4.1950000000000003</v>
      </c>
      <c r="AE3" s="22">
        <v>4.4000000000000004</v>
      </c>
      <c r="AF3" s="22">
        <v>4.0460000000000003</v>
      </c>
      <c r="AG3" s="22">
        <v>2.9020000000000001</v>
      </c>
      <c r="AH3" s="36">
        <f>IF(COUNTIF(C3:AG3, "&lt;&gt;") &gt; 0, SUM(C3:AG3), "")</f>
        <v>93.059000000000026</v>
      </c>
      <c r="AI3" s="39"/>
      <c r="AK3" s="34"/>
      <c r="AL3" s="47"/>
    </row>
    <row r="4" spans="1:38" x14ac:dyDescent="0.2">
      <c r="A4" s="43"/>
      <c r="B4" s="46" t="str">
        <f>TEXT(DATE(1,ROW(A8),1),"MMM")</f>
        <v>Aug</v>
      </c>
      <c r="C4" s="22">
        <v>1.4019999999999999</v>
      </c>
      <c r="D4" s="22">
        <v>2.9060000000000001</v>
      </c>
      <c r="E4" s="22">
        <v>2.59</v>
      </c>
      <c r="F4" s="22">
        <v>1.8520000000000001</v>
      </c>
      <c r="G4" s="22">
        <v>4.1440000000000001</v>
      </c>
      <c r="H4" s="22">
        <v>4.2960000000000003</v>
      </c>
      <c r="I4" s="22">
        <v>3.262</v>
      </c>
      <c r="J4" s="22">
        <v>3.0219999999999998</v>
      </c>
      <c r="K4" s="22">
        <v>3.956</v>
      </c>
      <c r="L4" s="22">
        <v>4.069</v>
      </c>
      <c r="M4" s="22">
        <v>4.4020000000000001</v>
      </c>
      <c r="N4" s="22">
        <v>3.7240000000000002</v>
      </c>
      <c r="O4" s="22">
        <v>3.2090000000000001</v>
      </c>
      <c r="P4" s="22">
        <v>3.5139999999999998</v>
      </c>
      <c r="Q4" s="22">
        <v>4.3220000000000001</v>
      </c>
      <c r="R4" s="22">
        <v>3.7280000000000002</v>
      </c>
      <c r="S4" s="22">
        <v>3.7730000000000001</v>
      </c>
      <c r="T4" s="22">
        <v>0.57099999999999995</v>
      </c>
      <c r="U4" s="22">
        <v>1.5740000000000001</v>
      </c>
      <c r="V4" s="22">
        <v>2.0019999999999998</v>
      </c>
      <c r="W4" s="22">
        <v>3.915</v>
      </c>
      <c r="X4" s="22">
        <v>4.6360000000000001</v>
      </c>
      <c r="Y4" s="22">
        <v>4.4109999999999996</v>
      </c>
      <c r="Z4" s="22">
        <v>4.4249999999999998</v>
      </c>
      <c r="AA4" s="22">
        <v>3.2370000000000001</v>
      </c>
      <c r="AB4" s="22">
        <v>1.976</v>
      </c>
      <c r="AC4" s="22">
        <v>4.1210000000000004</v>
      </c>
      <c r="AD4" s="22">
        <v>4.5090000000000003</v>
      </c>
      <c r="AE4" s="22">
        <v>4.0490000000000004</v>
      </c>
      <c r="AF4" s="22">
        <v>3.613</v>
      </c>
      <c r="AG4" s="22">
        <v>4.2670000000000003</v>
      </c>
      <c r="AH4" s="36">
        <f>IF(COUNTIF(C4:AG4, "&lt;&gt;") &gt; 0, SUM(C4:AG4), "")</f>
        <v>105.477</v>
      </c>
      <c r="AI4" s="39"/>
      <c r="AK4" s="34"/>
      <c r="AL4" s="3"/>
    </row>
    <row r="5" spans="1:38" x14ac:dyDescent="0.2">
      <c r="A5" s="43"/>
      <c r="B5" s="46" t="str">
        <f>TEXT(DATE(1,ROW(A9),1),"MMM")</f>
        <v>Sep</v>
      </c>
      <c r="C5" s="22">
        <v>2.9649999999999999</v>
      </c>
      <c r="D5" s="22">
        <v>1.958</v>
      </c>
      <c r="E5" s="22">
        <v>2.0950000000000002</v>
      </c>
      <c r="F5" s="22">
        <v>3.0179999999999998</v>
      </c>
      <c r="G5" s="22">
        <v>2.577</v>
      </c>
      <c r="H5" s="22">
        <v>3.802</v>
      </c>
      <c r="I5" s="22">
        <v>4.5819999999999999</v>
      </c>
      <c r="J5" s="22">
        <v>1.002</v>
      </c>
      <c r="K5" s="22">
        <v>1.2629999999999999</v>
      </c>
      <c r="L5" s="22">
        <v>2.008</v>
      </c>
      <c r="M5" s="22">
        <v>0.46800000000000003</v>
      </c>
      <c r="N5" s="22">
        <v>2.57</v>
      </c>
      <c r="O5" s="22">
        <v>1.458</v>
      </c>
      <c r="P5" s="22">
        <v>1.982</v>
      </c>
      <c r="Q5" s="22">
        <v>3.3170000000000002</v>
      </c>
      <c r="R5" s="22">
        <v>0.4</v>
      </c>
      <c r="S5" s="22">
        <v>0.753</v>
      </c>
      <c r="T5" s="22">
        <v>3.2490000000000001</v>
      </c>
      <c r="U5" s="22">
        <v>4.343</v>
      </c>
      <c r="V5" s="22">
        <v>4.5579999999999998</v>
      </c>
      <c r="W5" s="22">
        <v>4.5949999999999998</v>
      </c>
      <c r="X5" s="22">
        <v>3.3159999999999998</v>
      </c>
      <c r="Y5" s="22">
        <v>0.83</v>
      </c>
      <c r="Z5" s="22">
        <v>2.95</v>
      </c>
      <c r="AA5" s="22">
        <v>2.0920000000000001</v>
      </c>
      <c r="AB5" s="22">
        <v>0.27300000000000002</v>
      </c>
      <c r="AC5" s="22">
        <v>1.5920000000000001</v>
      </c>
      <c r="AD5" s="22">
        <v>1.486</v>
      </c>
      <c r="AE5" s="22">
        <v>2.653</v>
      </c>
      <c r="AF5" s="22">
        <v>2.1459999999999999</v>
      </c>
      <c r="AG5" s="22"/>
      <c r="AH5" s="36">
        <f>IF(COUNTIF(C5:AG5, "&lt;&gt;") &gt; 0, SUM(C5:AG5), "")</f>
        <v>70.301000000000016</v>
      </c>
      <c r="AI5" s="39"/>
      <c r="AK5" s="34"/>
    </row>
    <row r="6" spans="1:38" x14ac:dyDescent="0.2">
      <c r="A6" s="43"/>
      <c r="B6" s="45" t="str">
        <f>TEXT(DATE(1,ROW(A10),1),"MMM")</f>
        <v>Okt</v>
      </c>
      <c r="C6" s="40">
        <v>1.0760000000000001</v>
      </c>
      <c r="D6" s="40">
        <v>1.0609999999999999</v>
      </c>
      <c r="E6" s="40">
        <v>0.23100000000000001</v>
      </c>
      <c r="F6" s="40">
        <v>0.56999999999999995</v>
      </c>
      <c r="G6" s="22">
        <v>0.69599999999999995</v>
      </c>
      <c r="H6" s="40">
        <v>2.2589999999999999</v>
      </c>
      <c r="I6" s="40">
        <v>1.0840000000000001</v>
      </c>
      <c r="J6" s="40">
        <v>0.30599999999999999</v>
      </c>
      <c r="K6" s="22">
        <v>1.361</v>
      </c>
      <c r="L6" s="22">
        <v>1.2769999999999999</v>
      </c>
      <c r="M6" s="22">
        <v>1.3180000000000001</v>
      </c>
      <c r="N6" s="44">
        <v>1.861</v>
      </c>
      <c r="O6" s="22">
        <v>1.419</v>
      </c>
      <c r="P6" s="22">
        <v>0.86199999999999999</v>
      </c>
      <c r="Q6" s="22">
        <v>0.71199999999999997</v>
      </c>
      <c r="R6" s="22">
        <v>1.141</v>
      </c>
      <c r="S6" s="22">
        <v>1.8360000000000001</v>
      </c>
      <c r="T6" s="22">
        <v>0.30299999999999999</v>
      </c>
      <c r="U6" s="22">
        <v>0.92400000000000004</v>
      </c>
      <c r="V6" s="22">
        <v>1.135</v>
      </c>
      <c r="W6" s="22">
        <v>2.923</v>
      </c>
      <c r="X6" s="22">
        <v>0.27300000000000002</v>
      </c>
      <c r="Y6" s="22">
        <v>1.276</v>
      </c>
      <c r="Z6" s="22">
        <v>1.1910000000000001</v>
      </c>
      <c r="AA6" s="22">
        <v>3.5870000000000002</v>
      </c>
      <c r="AB6" s="22">
        <v>2.952</v>
      </c>
      <c r="AC6" s="22">
        <v>2.6120000000000001</v>
      </c>
      <c r="AD6" s="22">
        <v>3.5369999999999999</v>
      </c>
      <c r="AE6" s="22">
        <v>3.4239999999999999</v>
      </c>
      <c r="AF6" s="22">
        <v>3.0990000000000002</v>
      </c>
      <c r="AG6" s="22">
        <v>0.40100000000000002</v>
      </c>
      <c r="AH6" s="36">
        <f>IF(COUNTIF(C6:AG6, "&lt;&gt;") &gt; 0, SUM(C6:AG6), "")</f>
        <v>46.707000000000001</v>
      </c>
      <c r="AI6" s="39"/>
      <c r="AK6" s="34"/>
    </row>
    <row r="7" spans="1:38" x14ac:dyDescent="0.2">
      <c r="A7" s="43"/>
      <c r="B7" s="42" t="str">
        <f>TEXT(DATE(1,ROW(A11),1),"MMM")</f>
        <v>Nov</v>
      </c>
      <c r="C7" s="41">
        <v>3.3180000000000001</v>
      </c>
      <c r="D7" s="41">
        <v>0.122</v>
      </c>
      <c r="E7" s="41">
        <v>0.16300000000000001</v>
      </c>
      <c r="F7" s="41">
        <v>2.9329999999999998</v>
      </c>
      <c r="G7" s="41">
        <v>2.4430000000000001</v>
      </c>
      <c r="H7" s="41">
        <v>1.982</v>
      </c>
      <c r="I7" s="41">
        <v>0.19</v>
      </c>
      <c r="J7" s="41">
        <v>0.222</v>
      </c>
      <c r="K7" s="41">
        <v>2.4769999999999999</v>
      </c>
      <c r="L7" s="41">
        <v>0.19900000000000001</v>
      </c>
      <c r="M7" s="41">
        <v>0.878</v>
      </c>
      <c r="N7" s="41">
        <v>0.17</v>
      </c>
      <c r="O7" s="41">
        <v>0.128</v>
      </c>
      <c r="P7" s="41">
        <v>0.46</v>
      </c>
      <c r="Q7" s="41">
        <v>0.17699999999999999</v>
      </c>
      <c r="R7" s="41">
        <v>2.0710000000000002</v>
      </c>
      <c r="S7" s="41">
        <v>0.46500000000000002</v>
      </c>
      <c r="T7" s="41">
        <v>0.48799999999999999</v>
      </c>
      <c r="U7" s="41">
        <v>0.29499999999999998</v>
      </c>
      <c r="V7" s="41">
        <v>1.651</v>
      </c>
      <c r="W7" s="41">
        <v>0.58399999999999996</v>
      </c>
      <c r="X7" s="41">
        <v>0.63</v>
      </c>
      <c r="Y7" s="41">
        <v>1.0980000000000001</v>
      </c>
      <c r="Z7" s="41">
        <v>0.92900000000000005</v>
      </c>
      <c r="AA7" s="41">
        <v>0.94799999999999995</v>
      </c>
      <c r="AB7" s="41">
        <v>0.57199999999999995</v>
      </c>
      <c r="AC7" s="41">
        <v>1.226</v>
      </c>
      <c r="AD7" s="41">
        <v>0.41499999999999998</v>
      </c>
      <c r="AE7" s="41">
        <v>1.2490000000000001</v>
      </c>
      <c r="AF7" s="41">
        <v>1.1990000000000001</v>
      </c>
      <c r="AG7" s="40"/>
      <c r="AH7" s="36">
        <f>IF(COUNTIF(C7:AG7, "&lt;&gt;") &gt; 0, SUM(C7:AG7), "")</f>
        <v>29.681999999999995</v>
      </c>
      <c r="AI7" s="39"/>
      <c r="AK7" s="34"/>
    </row>
    <row r="8" spans="1:38" ht="10" customHeight="1" thickBot="1" x14ac:dyDescent="0.25">
      <c r="A8" s="38"/>
      <c r="B8" s="37" t="str">
        <f>TEXT(DATE(1,ROW(A12),1),"MMM")</f>
        <v>Dez</v>
      </c>
      <c r="C8" s="16">
        <v>1.153</v>
      </c>
      <c r="D8" s="16">
        <v>0.39800000000000002</v>
      </c>
      <c r="E8" s="16">
        <v>0.53600000000000003</v>
      </c>
      <c r="F8" s="16">
        <v>0.36599999999999999</v>
      </c>
      <c r="G8" s="16">
        <v>0.60799999999999998</v>
      </c>
      <c r="H8" s="16">
        <v>0.32500000000000001</v>
      </c>
      <c r="I8" s="16">
        <v>7.6999999999999999E-2</v>
      </c>
      <c r="J8" s="16">
        <v>0.38</v>
      </c>
      <c r="K8" s="16">
        <v>3.3000000000000002E-2</v>
      </c>
      <c r="L8" s="16">
        <v>7.8E-2</v>
      </c>
      <c r="M8" s="16">
        <v>0.09</v>
      </c>
      <c r="N8" s="16">
        <v>0.08</v>
      </c>
      <c r="O8" s="16">
        <v>0.34200000000000003</v>
      </c>
      <c r="P8" s="16">
        <v>0.308</v>
      </c>
      <c r="Q8" s="16">
        <v>0.34899999999999998</v>
      </c>
      <c r="R8" s="16">
        <v>0.59299999999999997</v>
      </c>
      <c r="S8" s="16">
        <v>0.60799999999999998</v>
      </c>
      <c r="T8" s="16">
        <v>0.56100000000000005</v>
      </c>
      <c r="U8" s="16">
        <v>0.34599999999999997</v>
      </c>
      <c r="V8" s="16">
        <v>0.30599999999999999</v>
      </c>
      <c r="W8" s="16">
        <v>0.46500000000000002</v>
      </c>
      <c r="X8" s="16">
        <v>0.186</v>
      </c>
      <c r="Y8" s="16">
        <v>0.122</v>
      </c>
      <c r="Z8" s="16">
        <v>0.45600000000000002</v>
      </c>
      <c r="AA8" s="16">
        <v>0.77</v>
      </c>
      <c r="AB8" s="16">
        <v>0.67500000000000004</v>
      </c>
      <c r="AC8" s="16">
        <v>0.68300000000000005</v>
      </c>
      <c r="AD8" s="16">
        <v>0.67500000000000004</v>
      </c>
      <c r="AE8" s="16">
        <v>0.67900000000000005</v>
      </c>
      <c r="AF8" s="16">
        <v>0.85699999999999998</v>
      </c>
      <c r="AG8" s="16">
        <v>0.72899999999999998</v>
      </c>
      <c r="AH8" s="36">
        <f>IF(COUNTIF(C8:AG8, "&lt;&gt;") &gt; 0, SUM(C8:AG8), "")</f>
        <v>13.834</v>
      </c>
      <c r="AI8" s="35" t="str">
        <f>AK16</f>
        <v>,826</v>
      </c>
      <c r="AK8" s="34"/>
    </row>
    <row r="9" spans="1:38" ht="10.5" customHeight="1" thickTop="1" x14ac:dyDescent="0.2">
      <c r="A9" s="33">
        <v>2025</v>
      </c>
      <c r="B9" s="27" t="str">
        <f>TEXT(DATE(1,ROW(A1),1),"MMM")</f>
        <v>Jan</v>
      </c>
      <c r="C9" s="32">
        <v>0.91300000000000003</v>
      </c>
      <c r="D9" s="32">
        <v>9.7000000000000003E-2</v>
      </c>
      <c r="E9" s="32">
        <v>0.62</v>
      </c>
      <c r="F9" s="32">
        <v>0.84799999999999998</v>
      </c>
      <c r="G9" s="32">
        <v>0.51100000000000001</v>
      </c>
      <c r="H9" s="32">
        <v>0.56699999999999995</v>
      </c>
      <c r="I9" s="32">
        <v>0.32800000000000001</v>
      </c>
      <c r="J9" s="32">
        <v>9.5000000000000001E-2</v>
      </c>
      <c r="K9" s="32">
        <v>0.42599999999999999</v>
      </c>
      <c r="L9" s="32">
        <v>0.82099999999999995</v>
      </c>
      <c r="M9" s="32">
        <v>0.22900000000000001</v>
      </c>
      <c r="N9" s="32">
        <v>0.79600000000000004</v>
      </c>
      <c r="O9" s="32">
        <v>1.0720000000000001</v>
      </c>
      <c r="P9" s="32">
        <v>1.454</v>
      </c>
      <c r="Q9" s="32">
        <v>0.187</v>
      </c>
      <c r="R9" s="32">
        <v>0.68799999999999994</v>
      </c>
      <c r="S9" s="32">
        <v>0.158</v>
      </c>
      <c r="T9" s="32">
        <v>1.631</v>
      </c>
      <c r="U9" s="32">
        <v>1.708</v>
      </c>
      <c r="V9" s="32">
        <v>1.034</v>
      </c>
      <c r="W9" s="32">
        <v>1.9139999999999999</v>
      </c>
      <c r="X9" s="32">
        <v>0.309</v>
      </c>
      <c r="Y9" s="32">
        <v>0.39500000000000002</v>
      </c>
      <c r="Z9" s="32">
        <v>0.94699999999999995</v>
      </c>
      <c r="AA9" s="32">
        <v>1.143</v>
      </c>
      <c r="AB9" s="32">
        <v>1.4430000000000001</v>
      </c>
      <c r="AC9" s="32">
        <v>0.27700000000000002</v>
      </c>
      <c r="AD9" s="32">
        <v>0.54800000000000004</v>
      </c>
      <c r="AE9" s="32">
        <v>1.1359999999999999</v>
      </c>
      <c r="AF9" s="32">
        <v>1.542</v>
      </c>
      <c r="AG9" s="32">
        <v>0.79300000000000004</v>
      </c>
      <c r="AH9" s="31">
        <f>IF(COUNTIF(C9:AG9, "&lt;&gt;") &gt; 0, SUM(C9:AG9), "")</f>
        <v>24.630000000000006</v>
      </c>
      <c r="AI9" s="30">
        <f>INT(SUM(AH9:AH20))</f>
        <v>118</v>
      </c>
    </row>
    <row r="10" spans="1:38" ht="10" customHeight="1" x14ac:dyDescent="0.2">
      <c r="A10" s="24"/>
      <c r="B10" s="29" t="str">
        <f>TEXT(DATE(1,ROW(A2),1),"MMM")</f>
        <v>Feb</v>
      </c>
      <c r="C10" s="22">
        <v>2.7759999999999998</v>
      </c>
      <c r="D10" s="22">
        <v>0.87</v>
      </c>
      <c r="E10" s="22">
        <v>2.3959999999999999</v>
      </c>
      <c r="F10" s="22">
        <v>3.3079999999999998</v>
      </c>
      <c r="G10" s="22">
        <v>3.3330000000000002</v>
      </c>
      <c r="H10" s="22">
        <v>0.126</v>
      </c>
      <c r="I10" s="22">
        <v>2.0529999999999999</v>
      </c>
      <c r="J10" s="22">
        <v>3.3450000000000002</v>
      </c>
      <c r="K10" s="22">
        <v>1.129</v>
      </c>
      <c r="L10" s="22">
        <v>1.306</v>
      </c>
      <c r="M10" s="22">
        <v>0.35499999999999998</v>
      </c>
      <c r="N10" s="22">
        <v>0.61299999999999999</v>
      </c>
      <c r="O10" s="22">
        <v>0.221</v>
      </c>
      <c r="P10" s="22">
        <v>0.30299999999999999</v>
      </c>
      <c r="Q10" s="22">
        <v>1.5740000000000001</v>
      </c>
      <c r="R10" s="22">
        <v>0.80300000000000005</v>
      </c>
      <c r="S10" s="22">
        <v>2.8889999999999998</v>
      </c>
      <c r="T10" s="22">
        <v>4.2370000000000001</v>
      </c>
      <c r="U10" s="22">
        <v>3.6760000000000002</v>
      </c>
      <c r="V10" s="22">
        <v>1.77</v>
      </c>
      <c r="W10" s="22">
        <v>3.9430000000000001</v>
      </c>
      <c r="X10" s="22">
        <v>1.5269999999999999</v>
      </c>
      <c r="Y10" s="22">
        <v>1.6459999999999999</v>
      </c>
      <c r="Z10" s="22">
        <v>0.84499999999999997</v>
      </c>
      <c r="AA10" s="22">
        <v>0.59399999999999997</v>
      </c>
      <c r="AB10" s="22">
        <v>0.58199999999999996</v>
      </c>
      <c r="AC10" s="22">
        <v>1.821</v>
      </c>
      <c r="AD10" s="22">
        <v>0.58299999999999996</v>
      </c>
      <c r="AE10" s="22"/>
      <c r="AF10" s="22"/>
      <c r="AG10" s="22"/>
      <c r="AH10" s="21">
        <f>IF(COUNTIF(C10:AG10, "&lt;&gt;") &gt; 0, SUM(C10:AG10), "")</f>
        <v>48.624000000000002</v>
      </c>
      <c r="AI10" s="20"/>
      <c r="AJ10" s="3"/>
      <c r="AK10" s="28"/>
    </row>
    <row r="11" spans="1:38" x14ac:dyDescent="0.2">
      <c r="A11" s="24"/>
      <c r="B11" s="23" t="str">
        <f>TEXT(DATE(1,ROW(A3),1),"MMM")</f>
        <v>Mrz</v>
      </c>
      <c r="C11" s="22">
        <v>1.9470000000000001</v>
      </c>
      <c r="D11" s="22">
        <v>4.9029999999999996</v>
      </c>
      <c r="E11" s="22">
        <v>5.0460000000000003</v>
      </c>
      <c r="F11" s="22">
        <v>4.6879999999999997</v>
      </c>
      <c r="G11" s="22">
        <v>4.8789999999999996</v>
      </c>
      <c r="H11" s="22">
        <v>4.9029999999999996</v>
      </c>
      <c r="I11" s="22">
        <v>4.6020000000000003</v>
      </c>
      <c r="J11" s="22">
        <v>4.7450000000000001</v>
      </c>
      <c r="K11" s="22">
        <v>4.7489999999999997</v>
      </c>
      <c r="L11" s="22">
        <v>0.35499999999999998</v>
      </c>
      <c r="M11" s="22">
        <v>2.383</v>
      </c>
      <c r="N11" s="22">
        <v>0.19</v>
      </c>
      <c r="O11" s="22">
        <v>1.71</v>
      </c>
      <c r="P11" s="22">
        <v>0.36399999999999999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1">
        <f>IF(COUNTIF(C11:AG11, "&lt;&gt;") &gt; 0, SUM(C11:AG11), "")</f>
        <v>45.463999999999999</v>
      </c>
      <c r="AI11" s="20"/>
      <c r="AJ11" s="3"/>
      <c r="AK11" s="28"/>
    </row>
    <row r="12" spans="1:38" x14ac:dyDescent="0.2">
      <c r="A12" s="24"/>
      <c r="B12" s="27" t="str">
        <f>TEXT(DATE(1,ROW(A4),1),"MMM")</f>
        <v>Apr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1" t="str">
        <f>IF(COUNTIF(C12:AG12, "&lt;&gt;") &gt; 0, SUM(C12:AG12), "")</f>
        <v/>
      </c>
      <c r="AI12" s="20"/>
      <c r="AJ12" s="3"/>
      <c r="AK12" s="28"/>
    </row>
    <row r="13" spans="1:38" x14ac:dyDescent="0.2">
      <c r="A13" s="24"/>
      <c r="B13" s="23" t="str">
        <f>TEXT(DATE(1,ROW(A5),1),"MMM")</f>
        <v>Mai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1" t="str">
        <f>IF(COUNTIF(C13:AG13, "&lt;&gt;") &gt; 0, SUM(C13:AG13), "")</f>
        <v/>
      </c>
      <c r="AI13" s="20"/>
      <c r="AJ13" s="3"/>
      <c r="AK13" s="28"/>
    </row>
    <row r="14" spans="1:38" x14ac:dyDescent="0.2">
      <c r="A14" s="24"/>
      <c r="B14" s="23" t="str">
        <f>TEXT(DATE(1,ROW(A6),1),"MMM")</f>
        <v>Jun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1" t="str">
        <f>IF(COUNTIF(C14:AG14, "&lt;&gt;") &gt; 0, SUM(C14:AG14), "")</f>
        <v/>
      </c>
      <c r="AI14" s="20"/>
      <c r="AJ14" s="3"/>
      <c r="AK14" s="28"/>
    </row>
    <row r="15" spans="1:38" x14ac:dyDescent="0.2">
      <c r="A15" s="24"/>
      <c r="B15" s="27" t="str">
        <f>TEXT(DATE(1,ROW(A7),1),"MMM")</f>
        <v>Jul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1" t="str">
        <f>IF(COUNTIF(C15:AG15, "&lt;&gt;") &gt; 0, SUM(C15:AG15), "")</f>
        <v/>
      </c>
      <c r="AI15" s="20"/>
      <c r="AJ15" s="3"/>
      <c r="AK15" s="19" t="str">
        <f>TEXT(SUM(AH2:AH8)-INT(SUM(AH2:AH8)),",000")</f>
        <v>,826</v>
      </c>
    </row>
    <row r="16" spans="1:38" x14ac:dyDescent="0.2">
      <c r="A16" s="24"/>
      <c r="B16" s="23" t="str">
        <f>TEXT(DATE(1,ROW(A8),1),"MMM")</f>
        <v>Aug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1" t="str">
        <f>IF(COUNTIF(C16:AG16, "&lt;&gt;") &gt; 0, SUM(C16:AG16), "")</f>
        <v/>
      </c>
      <c r="AI16" s="20"/>
      <c r="AJ16" s="3"/>
      <c r="AK16" s="26" t="str">
        <f>AK15</f>
        <v>,826</v>
      </c>
    </row>
    <row r="17" spans="1:37" x14ac:dyDescent="0.2">
      <c r="A17" s="24"/>
      <c r="B17" s="23" t="str">
        <f>TEXT(DATE(1,ROW(A9),1),"MMM")</f>
        <v>Sep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1" t="str">
        <f>IF(COUNTIF(C17:AG17, "&lt;&gt;") &gt; 0, SUM(C17:AG17), "")</f>
        <v/>
      </c>
      <c r="AI17" s="20"/>
      <c r="AK17" s="11"/>
    </row>
    <row r="18" spans="1:37" ht="10.5" customHeight="1" x14ac:dyDescent="0.2">
      <c r="A18" s="24"/>
      <c r="B18" s="25" t="str">
        <f>TEXT(DATE(1,ROW(A10),1),"MMM")</f>
        <v>Okt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1" t="str">
        <f>IF(COUNTIF(C18:AG18, "&lt;&gt;") &gt; 0, SUM(C18:AG18), "")</f>
        <v/>
      </c>
      <c r="AI18" s="20"/>
      <c r="AK18" s="11"/>
    </row>
    <row r="19" spans="1:37" x14ac:dyDescent="0.2">
      <c r="A19" s="24"/>
      <c r="B19" s="23" t="str">
        <f>TEXT(DATE(1,ROW(A11),1),"MMM")</f>
        <v>Nov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1" t="str">
        <f>IF(COUNTIF(C19:AG19, "&lt;&gt;") &gt; 0, SUM(C19:AG19), "")</f>
        <v/>
      </c>
      <c r="AI19" s="20"/>
      <c r="AK19" s="19"/>
    </row>
    <row r="20" spans="1:37" ht="10" customHeight="1" thickBot="1" x14ac:dyDescent="0.3">
      <c r="A20" s="18"/>
      <c r="B20" s="17" t="str">
        <f>TEXT(DATE(1,ROW(A12),1),"MMM")</f>
        <v>Dez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5" t="str">
        <f>IF(COUNTIF(C20:AG20, "&lt;&gt;") &gt; 0, SUM(C20:AG20), "")</f>
        <v/>
      </c>
      <c r="AI20" s="14" t="str">
        <f>AK21</f>
        <v>,718</v>
      </c>
      <c r="AK20" s="11" t="str">
        <f>TEXT(SUM(AH9:AH20)-INT(SUM(AH9:AH20)),",000")</f>
        <v>,718</v>
      </c>
    </row>
    <row r="21" spans="1:37" ht="10.5" thickTop="1" x14ac:dyDescent="0.25">
      <c r="AH21" s="13" t="str">
        <f>SUM(AH2:AH20)&amp; " kWh "</f>
        <v xml:space="preserve">503,544 kWh </v>
      </c>
      <c r="AI21" s="12"/>
      <c r="AK21" s="11" t="str">
        <f>AK20</f>
        <v>,718</v>
      </c>
    </row>
    <row r="22" spans="1:37" ht="10.5" thickBot="1" x14ac:dyDescent="0.3">
      <c r="AH22" s="10"/>
      <c r="AI22" s="9"/>
      <c r="AK22" s="3"/>
    </row>
    <row r="23" spans="1:37" ht="10.5" thickTop="1" x14ac:dyDescent="0.25">
      <c r="Q23" s="8"/>
      <c r="AK23" s="3"/>
    </row>
    <row r="24" spans="1:37" x14ac:dyDescent="0.2">
      <c r="A24" s="4"/>
      <c r="B24" s="7"/>
      <c r="C24" s="6"/>
      <c r="D24" s="6"/>
      <c r="E24" s="6"/>
      <c r="F24" s="6"/>
      <c r="G24" s="6"/>
      <c r="H24" s="6"/>
      <c r="I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5"/>
      <c r="AI24" s="4"/>
    </row>
    <row r="25" spans="1:37" x14ac:dyDescent="0.25">
      <c r="H25" s="3"/>
    </row>
    <row r="26" spans="1:37" x14ac:dyDescent="0.25">
      <c r="AK26" s="3"/>
    </row>
    <row r="38" spans="37:37" ht="13" x14ac:dyDescent="0.25">
      <c r="AK38" s="2"/>
    </row>
    <row r="72" spans="31:31" x14ac:dyDescent="0.25">
      <c r="AE72" s="1">
        <v>35.9</v>
      </c>
    </row>
  </sheetData>
  <mergeCells count="7">
    <mergeCell ref="AH21:AI22"/>
    <mergeCell ref="AK10:AK14"/>
    <mergeCell ref="AI9:AI19"/>
    <mergeCell ref="AK3:AK8"/>
    <mergeCell ref="A2:A8"/>
    <mergeCell ref="A9:A20"/>
    <mergeCell ref="AI2:AI7"/>
  </mergeCells>
  <conditionalFormatting sqref="C9:AG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AG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AG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AG20">
    <cfRule type="cellIs" dxfId="44" priority="1" operator="equal">
      <formula>0</formula>
    </cfRule>
  </conditionalFormatting>
  <pageMargins left="0.27559055118110237" right="7.874015748031496E-2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B143-5E43-4FA1-81B2-4B4AAB297998}">
  <sheetPr codeName="Tabelle9"/>
  <dimension ref="A1:AE73"/>
  <sheetViews>
    <sheetView tabSelected="1" workbookViewId="0">
      <selection activeCell="R4" sqref="R4"/>
    </sheetView>
  </sheetViews>
  <sheetFormatPr baseColWidth="10" defaultColWidth="3.26953125" defaultRowHeight="13" x14ac:dyDescent="0.25"/>
  <cols>
    <col min="1" max="1" width="4.7265625" style="55" customWidth="1"/>
    <col min="2" max="2" width="3.90625" style="55" bestFit="1" customWidth="1"/>
    <col min="3" max="3" width="5.81640625" style="55" customWidth="1"/>
    <col min="4" max="4" width="5.81640625" style="55" bestFit="1" customWidth="1"/>
    <col min="5" max="8" width="5.90625" style="55" customWidth="1"/>
    <col min="9" max="9" width="5.81640625" style="55" customWidth="1"/>
    <col min="10" max="10" width="5.7265625" style="55" customWidth="1"/>
    <col min="11" max="11" width="6" style="55" customWidth="1"/>
    <col min="12" max="12" width="5.90625" style="55" customWidth="1"/>
    <col min="13" max="13" width="5.81640625" style="55" customWidth="1"/>
    <col min="14" max="14" width="5.90625" style="55" customWidth="1"/>
    <col min="15" max="15" width="1.7265625" style="55" customWidth="1"/>
    <col min="16" max="16" width="2.81640625" style="55" bestFit="1" customWidth="1"/>
    <col min="17" max="17" width="5.81640625" style="55" customWidth="1"/>
    <col min="18" max="18" width="9.81640625" style="55" customWidth="1"/>
    <col min="19" max="19" width="10.453125" style="55" customWidth="1"/>
    <col min="20" max="20" width="13" style="55" customWidth="1"/>
    <col min="21" max="21" width="12.7265625" style="55" customWidth="1"/>
    <col min="22" max="22" width="11.90625" style="55" customWidth="1"/>
    <col min="23" max="23" width="11.1796875" style="55" customWidth="1"/>
    <col min="24" max="24" width="3.26953125" style="55"/>
    <col min="25" max="25" width="13.26953125" style="55" customWidth="1"/>
    <col min="26" max="26" width="3.26953125" style="55"/>
    <col min="27" max="27" width="2.81640625" style="55" customWidth="1"/>
    <col min="28" max="16384" width="3.26953125" style="55"/>
  </cols>
  <sheetData>
    <row r="1" spans="1:27" ht="15.5" x14ac:dyDescent="0.25">
      <c r="A1" s="131"/>
      <c r="B1" s="90" t="s">
        <v>0</v>
      </c>
      <c r="C1" s="93">
        <v>45658</v>
      </c>
      <c r="D1" s="93">
        <v>33</v>
      </c>
      <c r="E1" s="93">
        <v>63</v>
      </c>
      <c r="F1" s="93">
        <v>95</v>
      </c>
      <c r="G1" s="93">
        <v>126</v>
      </c>
      <c r="H1" s="93">
        <v>158</v>
      </c>
      <c r="I1" s="93">
        <v>189</v>
      </c>
      <c r="J1" s="93">
        <v>221</v>
      </c>
      <c r="K1" s="93">
        <v>253</v>
      </c>
      <c r="L1" s="93">
        <v>284</v>
      </c>
      <c r="M1" s="93">
        <v>316</v>
      </c>
      <c r="N1" s="93">
        <v>347</v>
      </c>
      <c r="O1" s="130"/>
      <c r="P1" s="129" t="s">
        <v>1</v>
      </c>
      <c r="Q1" s="129"/>
      <c r="R1" s="90" t="s">
        <v>2</v>
      </c>
      <c r="U1" s="127"/>
      <c r="V1" s="128"/>
      <c r="W1" s="127"/>
      <c r="X1" s="126"/>
      <c r="Y1" s="125"/>
    </row>
    <row r="2" spans="1:27" x14ac:dyDescent="0.25">
      <c r="A2" s="106">
        <v>2025</v>
      </c>
      <c r="B2" s="88">
        <v>1</v>
      </c>
      <c r="C2" s="72">
        <f>IF(ISERROR(SUM(LARGE(HeatMap!$C$9:$AG$9,B2))),"",SUM(LARGE(HeatMap!$C$9:$AG$9,B2)))</f>
        <v>1.9139999999999999</v>
      </c>
      <c r="D2" s="82">
        <f>IF(ISERROR(SUM(LARGE(HeatMap!$C$10:$AG$10,B2))),"",SUM(LARGE(HeatMap!$C$10:$AG$10,B2)))</f>
        <v>4.2370000000000001</v>
      </c>
      <c r="E2" s="81">
        <f>IF(ISERROR(SUM(LARGE(HeatMap!$C$11:$AG$11,B2))),"",SUM(LARGE(HeatMap!$C$11:$AG$11,B2)))</f>
        <v>5.0460000000000003</v>
      </c>
      <c r="F2" s="80" t="str">
        <f>IF(ISERROR(SUM(LARGE(HeatMap!$C$12:$AG$12,B2))),"",SUM(LARGE(HeatMap!$C$12:$AG$12,B2)))</f>
        <v/>
      </c>
      <c r="G2" s="79" t="str">
        <f ca="1">IF(YEAR(TODAY())=HeatMap!A9,IF(ISERROR(SUM(LARGE(HeatMap!$C$13:$AG$13,B2))),"",SUM(LARGE(HeatMap!$C$13:$AG$13,B2))), "")</f>
        <v/>
      </c>
      <c r="H2" s="78" t="str">
        <f ca="1">IF(YEAR(TODAY())=HeatMap!A9,IF(ISERROR(SUM(LARGE(HeatMap!$C$14:$AG$14,B2))),"",SUM(LARGE(HeatMap!$C$14:$AG$14,B2))), "")</f>
        <v/>
      </c>
      <c r="I2" s="77" t="str">
        <f ca="1">IF(YEAR(TODAY())=HeatMap!A9,IF(ISERROR(SUM(LARGE(HeatMap!$C$15:$AG$15,B2))),"",SUM(LARGE(HeatMap!$C$15:$AG$15,B2))), "")</f>
        <v/>
      </c>
      <c r="J2" s="76" t="str">
        <f ca="1">IF(YEAR(TODAY())=HeatMap!A9,IF(ISERROR(SUM(LARGE(HeatMap!$C$16:$AG$16,B2))),"",SUM(LARGE(HeatMap!$C$16:$AG$16,B2))), "")</f>
        <v/>
      </c>
      <c r="K2" s="75" t="str">
        <f ca="1">IF(YEAR(TODAY())=HeatMap!A9,IF(ISERROR(SUM(LARGE(HeatMap!$C$17:$AG$17,B2))),"",SUM(LARGE(HeatMap!$C$17:$AG$17,B2))), "")</f>
        <v/>
      </c>
      <c r="L2" s="74" t="str">
        <f ca="1">IF(YEAR(TODAY())=HeatMap!A9,IF(ISERROR(SUM(LARGE(HeatMap!$C$18:$AG$18,B2))),"",SUM(LARGE(HeatMap!$C$18:$AG$18,B2))), "")</f>
        <v/>
      </c>
      <c r="M2" s="73" t="str">
        <f ca="1">IF(YEAR(TODAY())=HeatMap!A9,IF(ISERROR(SUM(LARGE(HeatMap!$C$19:$AG$19,B2))),"",SUM(LARGE(HeatMap!$C$19:$AG$19,B2))), "")</f>
        <v/>
      </c>
      <c r="N2" s="105" t="str">
        <f ca="1">IF(YEAR(TODAY())=HeatMap!A9,IF(ISERROR(SUM(LARGE(HeatMap!$C$20:$AG$20,B2))),"",SUM(LARGE(HeatMap!$C$20:$AG$20,B2))), "")</f>
        <v/>
      </c>
      <c r="O2" s="60"/>
      <c r="P2" s="104">
        <v>1</v>
      </c>
      <c r="Q2" s="70">
        <f>LARGE(HeatMap!$C$9:$AG$20,1)</f>
        <v>5.0460000000000003</v>
      </c>
      <c r="R2" s="87">
        <f>DATE(HeatMap!A9,MONTH(INDEX(HeatMap!B9:B20,_xlfn.AGGREGATE(15,6,ROW(HeatMap!B9:B20)-8/(HeatMap!C9:AG20=LARGE(HeatMap!C9:AG20,1)),1))&amp;0),_xlfn.AGGREGATE(15,6,COLUMN(HeatMap!C9:AG9)-2/(HeatMap!C9:AG20=LARGE(HeatMap!C9:AG20,1)),1))</f>
        <v>45719</v>
      </c>
      <c r="S2" s="3"/>
      <c r="T2" s="103"/>
      <c r="U2" s="124"/>
      <c r="V2" s="108"/>
      <c r="W2" s="123"/>
      <c r="X2" s="123"/>
      <c r="Y2" s="122"/>
    </row>
    <row r="3" spans="1:27" x14ac:dyDescent="0.25">
      <c r="A3" s="106"/>
      <c r="B3" s="88">
        <v>2</v>
      </c>
      <c r="C3" s="72">
        <f>IF(ISERROR(SUM(LARGE(HeatMap!$C$9:$AG$9,B3))),"",SUM(LARGE(HeatMap!$C$9:$AG$9,B3)))</f>
        <v>1.708</v>
      </c>
      <c r="D3" s="82">
        <f>IF(ISERROR(SUM(LARGE(HeatMap!$C$10:$AG$10,B3))),"",SUM(LARGE(HeatMap!$C$10:$AG$10,B3)))</f>
        <v>3.9430000000000001</v>
      </c>
      <c r="E3" s="81">
        <f>IF(ISERROR(SUM(LARGE(HeatMap!$C$11:$AG$11,B3))),"",SUM(LARGE(HeatMap!$C$11:$AG$11,B3)))</f>
        <v>4.9029999999999996</v>
      </c>
      <c r="F3" s="80" t="str">
        <f>IF(ISERROR(SUM(LARGE(HeatMap!$C$12:$AG$12,C3))),"",SUM(LARGE(HeatMap!$C$12:$AG$12,B3)))</f>
        <v/>
      </c>
      <c r="G3" s="79" t="str">
        <f ca="1">IF(YEAR(TODAY())=HeatMap!A9,IF(ISERROR(SUM(LARGE(HeatMap!$C$13:$AG$13,B3))),"",SUM(LARGE(HeatMap!$C$13:$AG$13,B3))), "")</f>
        <v/>
      </c>
      <c r="H3" s="78" t="str">
        <f ca="1">IF(YEAR(TODAY())=HeatMap!A9,IF(ISERROR(SUM(LARGE(HeatMap!$C$14:$AG$14,B3))),"",SUM(LARGE(HeatMap!$C$14:$AG$14,B3))), "")</f>
        <v/>
      </c>
      <c r="I3" s="77" t="str">
        <f ca="1">IF(YEAR(TODAY())=HeatMap!A9,IF(ISERROR(SUM(LARGE(HeatMap!$C$15:$AG$15,B3))),"",SUM(LARGE(HeatMap!$C$15:$AG$15,B3))), "")</f>
        <v/>
      </c>
      <c r="J3" s="76" t="str">
        <f ca="1">IF(YEAR(TODAY())=HeatMap!A9,IF(ISERROR(SUM(LARGE(HeatMap!$C$16:$AG$16,B3))),"",SUM(LARGE(HeatMap!$C$16:$AG$16,B3))), "")</f>
        <v/>
      </c>
      <c r="K3" s="75" t="str">
        <f ca="1">IF(YEAR(TODAY())=HeatMap!A9,IF(ISERROR(SUM(LARGE(HeatMap!$C$17:$AG$17,B3))),"",SUM(LARGE(HeatMap!$C$17:$AG$17,B3))), "")</f>
        <v/>
      </c>
      <c r="L3" s="74" t="str">
        <f ca="1">IF(YEAR(TODAY())=HeatMap!A9,IF(ISERROR(SUM(LARGE(HeatMap!$C$18:$AG$18,B3))),"",SUM(LARGE(HeatMap!$C$18:$AG$18,B3))), "")</f>
        <v/>
      </c>
      <c r="M3" s="73" t="str">
        <f ca="1">IF(YEAR(TODAY())=HeatMap!A9,IF(ISERROR(SUM(LARGE(HeatMap!$C$19:$AG$19,B3))),"",SUM(LARGE(HeatMap!$C$19:$AG$19,B3))), "")</f>
        <v/>
      </c>
      <c r="N3" s="105" t="str">
        <f ca="1">IF(YEAR(TODAY())=HeatMap!A9,IF(ISERROR(SUM(LARGE(HeatMap!$C$20:$AG$20,B3))),"",SUM(LARGE(HeatMap!$C$20:$AG$20,B3))), "")</f>
        <v/>
      </c>
      <c r="O3" s="60"/>
      <c r="P3" s="104">
        <v>2</v>
      </c>
      <c r="Q3" s="70">
        <f>LARGE(HeatMap!$C$9:$AG$20,2)</f>
        <v>4.9029999999999996</v>
      </c>
      <c r="R3" s="87">
        <f>DATE(HeatMap!A9,MONTH(INDEX(HeatMap!B9:B20,_xlfn.AGGREGATE(15,6,ROW(HeatMap!B9:B20)-8/(HeatMap!C9:AG20=LARGE(HeatMap!C9:AG20,2)),1))&amp;0),_xlfn.AGGREGATE(15,6,COLUMN(HeatMap!C9:AG9)-2/(HeatMap!C9:AG20=LARGE(HeatMap!C9:AG20,2)),1))</f>
        <v>45718</v>
      </c>
      <c r="S3" s="57"/>
      <c r="T3" s="121"/>
      <c r="U3" s="120"/>
      <c r="V3" s="108"/>
      <c r="W3" s="119"/>
      <c r="X3" s="96"/>
      <c r="Y3" s="96"/>
    </row>
    <row r="4" spans="1:27" x14ac:dyDescent="0.25">
      <c r="A4" s="106"/>
      <c r="B4" s="88">
        <v>3</v>
      </c>
      <c r="C4" s="72">
        <f>IF(ISERROR(SUM(LARGE(HeatMap!$C$9:$AG$9,B4))),"",SUM(LARGE(HeatMap!$C$9:$AG$9,B4)))</f>
        <v>1.631</v>
      </c>
      <c r="D4" s="82">
        <f>IF(ISERROR(SUM(LARGE(HeatMap!$C$10:$AG$10,B4))),"",SUM(LARGE(HeatMap!$C$10:$AG$10,B4)))</f>
        <v>3.6760000000000002</v>
      </c>
      <c r="E4" s="81">
        <f>IF(ISERROR(SUM(LARGE(HeatMap!$C$11:$AG$11,B4))),"",SUM(LARGE(HeatMap!$C$11:$AG$11,B4)))</f>
        <v>4.9029999999999996</v>
      </c>
      <c r="F4" s="80" t="str">
        <f>IF(ISERROR(SUM(LARGE(HeatMap!$C$12:$AG$12,C4))),"",SUM(LARGE(HeatMap!$C$12:$AG$12,B4)))</f>
        <v/>
      </c>
      <c r="G4" s="79" t="str">
        <f ca="1">IF(YEAR(TODAY())=HeatMap!A9,IF(ISERROR(SUM(LARGE(HeatMap!$C$13:$AG$13,B4))),"",SUM(LARGE(HeatMap!$C$13:$AG$13,B4))), "")</f>
        <v/>
      </c>
      <c r="H4" s="78" t="str">
        <f ca="1">IF(YEAR(TODAY())=HeatMap!A9,IF(ISERROR(SUM(LARGE(HeatMap!$C$14:$AG$14,B4))),"",SUM(LARGE(HeatMap!$C$14:$AG$14,B4))), "")</f>
        <v/>
      </c>
      <c r="I4" s="77" t="str">
        <f ca="1">IF(YEAR(TODAY())=HeatMap!A9,IF(ISERROR(SUM(LARGE(HeatMap!$C$15:$AG$15,B4))),"",SUM(LARGE(HeatMap!$C$15:$AG$15,B4))), "")</f>
        <v/>
      </c>
      <c r="J4" s="76" t="str">
        <f ca="1">IF(YEAR(TODAY())=HeatMap!A9,IF(ISERROR(SUM(LARGE(HeatMap!$C$16:$AG$16,B4))),"",SUM(LARGE(HeatMap!$C$16:$AG$16,B4))), "")</f>
        <v/>
      </c>
      <c r="K4" s="75" t="str">
        <f ca="1">IF(YEAR(TODAY())=HeatMap!A9,IF(ISERROR(SUM(LARGE(HeatMap!$C$17:$AG$17,B4))),"",SUM(LARGE(HeatMap!$C$17:$AG$17,B4))), "")</f>
        <v/>
      </c>
      <c r="L4" s="74" t="str">
        <f ca="1">IF(YEAR(TODAY())=HeatMap!A9,IF(ISERROR(SUM(LARGE(HeatMap!$C$18:$AG$18,B4))),"",SUM(LARGE(HeatMap!$C$18:$AG$18,B4))), "")</f>
        <v/>
      </c>
      <c r="M4" s="73" t="str">
        <f ca="1">IF(YEAR(TODAY())=HeatMap!A9,IF(ISERROR(SUM(LARGE(HeatMap!$C$19:$AG$19,B4))),"",SUM(LARGE(HeatMap!$C$19:$AG$19,B4))), "")</f>
        <v/>
      </c>
      <c r="N4" s="105" t="str">
        <f ca="1">IF(YEAR(TODAY())=HeatMap!A9,IF(ISERROR(SUM(LARGE(HeatMap!$C$20:$AG$20,B4))),"",SUM(LARGE(HeatMap!$C$20:$AG$20,B4))), "")</f>
        <v/>
      </c>
      <c r="O4" s="60"/>
      <c r="P4" s="104">
        <v>3</v>
      </c>
      <c r="Q4" s="70">
        <f>LARGE(HeatMap!$C$9:$AG$20,3)</f>
        <v>4.9029999999999996</v>
      </c>
      <c r="R4" s="87">
        <f>DATE(HeatMap!A9,MONTH(INDEX(HeatMap!B9:B20,_xlfn.AGGREGATE(15,6,ROW(HeatMap!B9:B20)-8/(HeatMap!C9:AG20=LARGE(HeatMap!C9:AG20,3)),1))&amp;0),_xlfn.AGGREGATE(15,6,COLUMN(HeatMap!C9:AG9)-2/(HeatMap!C9:AG20=LARGE(HeatMap!C9:AG20,3)),1))</f>
        <v>45718</v>
      </c>
      <c r="S4" s="57">
        <v>45722</v>
      </c>
      <c r="T4" s="121"/>
      <c r="U4" s="120"/>
      <c r="V4" s="108"/>
      <c r="W4" s="119"/>
      <c r="X4" s="96"/>
      <c r="Y4" s="96"/>
    </row>
    <row r="5" spans="1:27" x14ac:dyDescent="0.25">
      <c r="A5" s="106"/>
      <c r="B5" s="88">
        <v>4</v>
      </c>
      <c r="C5" s="72">
        <f>IF(ISERROR(SUM(LARGE(HeatMap!$C$9:$AG$9,B5))),"",SUM(LARGE(HeatMap!$C$9:$AG$9,B5)))</f>
        <v>1.542</v>
      </c>
      <c r="D5" s="82">
        <f>IF(ISERROR(SUM(LARGE(HeatMap!$C$10:$AG$10,B5))),"",SUM(LARGE(HeatMap!$C$10:$AG$10,B5)))</f>
        <v>3.3450000000000002</v>
      </c>
      <c r="E5" s="81">
        <f>IF(ISERROR(SUM(LARGE(HeatMap!$C$11:$AG$11,B5))),"",SUM(LARGE(HeatMap!$C$11:$AG$11,B5)))</f>
        <v>4.8789999999999996</v>
      </c>
      <c r="F5" s="80" t="str">
        <f>IF(ISERROR(SUM(LARGE(HeatMap!$C$12:$AG$12,C5))),"",SUM(LARGE(HeatMap!$C$12:$AG$12,B5)))</f>
        <v/>
      </c>
      <c r="G5" s="79" t="str">
        <f ca="1">IF(YEAR(TODAY())=HeatMap!A9,IF(ISERROR(SUM(LARGE(HeatMap!$C$13:$AG$13,B5))),"",SUM(LARGE(HeatMap!$C$13:$AG$13,B5))), "")</f>
        <v/>
      </c>
      <c r="H5" s="78" t="str">
        <f ca="1">IF(YEAR(TODAY())=HeatMap!A9,IF(ISERROR(SUM(LARGE(HeatMap!$C$14:$AG$14,B5))),"",SUM(LARGE(HeatMap!$C$14:$AG$14,B5))), "")</f>
        <v/>
      </c>
      <c r="I5" s="77" t="str">
        <f ca="1">IF(YEAR(TODAY())=HeatMap!A9,IF(ISERROR(SUM(LARGE(HeatMap!$C$15:$AG$15,B5))),"",SUM(LARGE(HeatMap!$C$15:$AG$15,B5))), "")</f>
        <v/>
      </c>
      <c r="J5" s="76" t="str">
        <f ca="1">IF(YEAR(TODAY())=HeatMap!A9,IF(ISERROR(SUM(LARGE(HeatMap!$C$16:$AG$16,B5))),"",SUM(LARGE(HeatMap!$C$16:$AG$16,B5))), "")</f>
        <v/>
      </c>
      <c r="K5" s="75" t="str">
        <f ca="1">IF(YEAR(TODAY())=HeatMap!A9,IF(ISERROR(SUM(LARGE(HeatMap!$C$17:$AG$17,B5))),"",SUM(LARGE(HeatMap!$C$17:$AG$17,B5))), "")</f>
        <v/>
      </c>
      <c r="L5" s="74" t="str">
        <f ca="1">IF(YEAR(TODAY())=HeatMap!A9,IF(ISERROR(SUM(LARGE(HeatMap!$C$18:$AG$18,B5))),"",SUM(LARGE(HeatMap!$C$18:$AG$18,B5))), "")</f>
        <v/>
      </c>
      <c r="M5" s="73" t="str">
        <f ca="1">IF(YEAR(TODAY())=HeatMap!A9,IF(ISERROR(SUM(LARGE(HeatMap!$C$19:$AG$19,B5))),"",SUM(LARGE(HeatMap!$C$19:$AG$19,B5))), "")</f>
        <v/>
      </c>
      <c r="N5" s="105" t="str">
        <f ca="1">IF(YEAR(TODAY())=HeatMap!A9,IF(ISERROR(SUM(LARGE(HeatMap!$C$20:$AG$20,B5))),"",SUM(LARGE(HeatMap!$C$20:$AG$20,B5))), "")</f>
        <v/>
      </c>
      <c r="O5" s="60"/>
      <c r="P5" s="104">
        <v>4</v>
      </c>
      <c r="Q5" s="70">
        <f>LARGE(HeatMap!$C$9:$AG$20,4)</f>
        <v>4.8789999999999996</v>
      </c>
      <c r="R5" s="87">
        <f>DATE(HeatMap!A9,MONTH(INDEX(HeatMap!B9:B20,_xlfn.AGGREGATE(15,6,ROW(HeatMap!B9:B20)-8/(HeatMap!C9:AG20=LARGE(HeatMap!C9:AG20,4)),1))&amp;0),_xlfn.AGGREGATE(15,6,COLUMN(HeatMap!C9:AG9)-2/(HeatMap!C9:AG20=LARGE(HeatMap!C9:AG20,4)),1))</f>
        <v>45721</v>
      </c>
      <c r="S5" s="118"/>
      <c r="T5" s="103"/>
      <c r="U5" s="102"/>
      <c r="V5" s="108"/>
      <c r="W5" s="102"/>
      <c r="X5" s="96"/>
      <c r="Y5" s="96"/>
    </row>
    <row r="6" spans="1:27" x14ac:dyDescent="0.25">
      <c r="A6" s="106"/>
      <c r="B6" s="88">
        <v>5</v>
      </c>
      <c r="C6" s="72">
        <f>IF(ISERROR(SUM(LARGE(HeatMap!$C$9:$AG$9,B6))),"",SUM(LARGE(HeatMap!$C$9:$AG$9,B6)))</f>
        <v>1.454</v>
      </c>
      <c r="D6" s="82">
        <f>IF(ISERROR(SUM(LARGE(HeatMap!$C$10:$AG$10,B6))),"",SUM(LARGE(HeatMap!$C$10:$AG$10,B6)))</f>
        <v>3.3330000000000002</v>
      </c>
      <c r="E6" s="81">
        <f>IF(ISERROR(SUM(LARGE(HeatMap!$C$11:$AG$11,B6))),"",SUM(LARGE(HeatMap!$C$11:$AG$11,B6)))</f>
        <v>4.7489999999999997</v>
      </c>
      <c r="F6" s="80" t="str">
        <f>IF(ISERROR(SUM(LARGE(HeatMap!$C$12:$AG$12,C6))),"",SUM(LARGE(HeatMap!$C$12:$AG$12,B6)))</f>
        <v/>
      </c>
      <c r="G6" s="79" t="str">
        <f ca="1">IF(YEAR(TODAY())=HeatMap!A9,IF(ISERROR(SUM(LARGE(HeatMap!$C$13:$AG$13,B6))),"",SUM(LARGE(HeatMap!$C$13:$AG$13,B6))), "")</f>
        <v/>
      </c>
      <c r="H6" s="78" t="str">
        <f ca="1">IF(YEAR(TODAY())=HeatMap!A9,IF(ISERROR(SUM(LARGE(HeatMap!$C$14:$AG$14,B6))),"",SUM(LARGE(HeatMap!$C$14:$AG$14,B6))), "")</f>
        <v/>
      </c>
      <c r="I6" s="77" t="str">
        <f ca="1">IF(YEAR(TODAY())=HeatMap!A9,IF(ISERROR(SUM(LARGE(HeatMap!$C$15:$AG$15,B6))),"",SUM(LARGE(HeatMap!$C$15:$AG$15,B6))), "")</f>
        <v/>
      </c>
      <c r="J6" s="76" t="str">
        <f ca="1">IF(YEAR(TODAY())=HeatMap!A9,IF(ISERROR(SUM(LARGE(HeatMap!$C$16:$AG$16,B6))),"",SUM(LARGE(HeatMap!$C$16:$AG$16,B6))), "")</f>
        <v/>
      </c>
      <c r="K6" s="75" t="str">
        <f ca="1">IF(YEAR(TODAY())=HeatMap!A9,IF(ISERROR(SUM(LARGE(HeatMap!$C$17:$AG$17,B6))),"",SUM(LARGE(HeatMap!$C$17:$AG$17,B6))), "")</f>
        <v/>
      </c>
      <c r="L6" s="74" t="str">
        <f ca="1">IF(YEAR(TODAY())=HeatMap!A9,IF(ISERROR(SUM(LARGE(HeatMap!$C$18:$AG$18,B6))),"",SUM(LARGE(HeatMap!$C$18:$AG$18,B6))), "")</f>
        <v/>
      </c>
      <c r="M6" s="73" t="str">
        <f ca="1">IF(YEAR(TODAY())=HeatMap!A9,IF(ISERROR(SUM(LARGE(HeatMap!$C$19:$AG$19,B6))),"",SUM(LARGE(HeatMap!$C$19:$AG$19,B6))), "")</f>
        <v/>
      </c>
      <c r="N6" s="105" t="str">
        <f ca="1">IF(YEAR(TODAY())=HeatMap!A9,IF(ISERROR(SUM(LARGE(HeatMap!$C$20:$AG$20,B6))),"",SUM(LARGE(HeatMap!$C$20:$AG$20,B6))), "")</f>
        <v/>
      </c>
      <c r="O6" s="60"/>
      <c r="P6" s="104">
        <v>5</v>
      </c>
      <c r="Q6" s="70">
        <f>LARGE(HeatMap!$C$9:$AG$20,5)</f>
        <v>4.7489999999999997</v>
      </c>
      <c r="R6" s="87">
        <f>DATE(HeatMap!A9,MONTH(INDEX(HeatMap!B9:B20,_xlfn.AGGREGATE(15,6,ROW(HeatMap!B9:B20)-8/(HeatMap!C9:AG20=LARGE(HeatMap!C9:AG20,5)),1))&amp;0),_xlfn.AGGREGATE(15,6,COLUMN(HeatMap!C9:AG9)-2/(HeatMap!C9:AG20=LARGE(HeatMap!C9:AG20,5)),1))</f>
        <v>45725</v>
      </c>
      <c r="T6" s="103"/>
      <c r="U6" s="102"/>
      <c r="V6" s="108"/>
      <c r="W6" s="117"/>
      <c r="X6" s="96"/>
      <c r="Y6" s="96"/>
    </row>
    <row r="7" spans="1:27" x14ac:dyDescent="0.25">
      <c r="A7" s="106"/>
      <c r="B7" s="116">
        <v>6</v>
      </c>
      <c r="C7" s="115">
        <f>IF(ISERROR(SUM(LARGE(HeatMap!$C$9:$AG$9,B7))),"",SUM(LARGE(HeatMap!$C$9:$AG$9,B7)))</f>
        <v>1.4430000000000001</v>
      </c>
      <c r="D7" s="114">
        <f>IF(ISERROR(SUM(LARGE(HeatMap!$C$10:$AG$10,B7))),"",SUM(LARGE(HeatMap!$C$10:$AG$10,B7)))</f>
        <v>3.3079999999999998</v>
      </c>
      <c r="E7" s="113">
        <f>IF(ISERROR(SUM(LARGE(HeatMap!$C$11:$AG$11,B7))),"",SUM(LARGE(HeatMap!$C$11:$AG$11,B7)))</f>
        <v>4.7450000000000001</v>
      </c>
      <c r="F7" s="112" t="str">
        <f>IF(ISERROR(SUM(LARGE(HeatMap!$C$12:$AG$12,C7))),"",SUM(LARGE(HeatMap!$C$12:$AG$12,B7)))</f>
        <v/>
      </c>
      <c r="G7" s="79" t="str">
        <f ca="1">IF(YEAR(TODAY())=HeatMap!A9,IF(ISERROR(SUM(LARGE(HeatMap!$C$13:$AG$13,B7))),"",SUM(LARGE(HeatMap!$C$13:$AG$13,B7))), "")</f>
        <v/>
      </c>
      <c r="H7" s="111" t="str">
        <f ca="1">IF(YEAR(TODAY())=HeatMap!A9,IF(ISERROR(SUM(LARGE(HeatMap!$C$14:$AG$14,B7))),"",SUM(LARGE(HeatMap!$C$14:$AG$14,B7))), "")</f>
        <v/>
      </c>
      <c r="I7" s="110" t="str">
        <f ca="1">IF(YEAR(TODAY())=HeatMap!A9,IF(ISERROR(SUM(LARGE(HeatMap!$C$15:$AG$15,B7))),"",SUM(LARGE(HeatMap!$C$15:$AG$15,B7))), "")</f>
        <v/>
      </c>
      <c r="J7" s="109" t="str">
        <f ca="1">IF(YEAR(TODAY())=HeatMap!A9,IF(ISERROR(SUM(LARGE(HeatMap!$C$16:$AG$16,B7))),"",SUM(LARGE(HeatMap!$C$16:$AG$16,B7))), "")</f>
        <v/>
      </c>
      <c r="K7" s="75" t="str">
        <f ca="1">IF(YEAR(TODAY())=HeatMap!A9,IF(ISERROR(SUM(LARGE(HeatMap!$C$17:$AG$17,B7))),"",SUM(LARGE(HeatMap!$C$17:$AG$17,B7))), "")</f>
        <v/>
      </c>
      <c r="L7" s="74" t="str">
        <f ca="1">IF(YEAR(TODAY())=HeatMap!A9,IF(ISERROR(SUM(LARGE(HeatMap!$C$18:$AG$18,B7))),"",SUM(LARGE(HeatMap!$C$18:$AG$18,B7))), "")</f>
        <v/>
      </c>
      <c r="M7" s="73" t="str">
        <f ca="1">IF(YEAR(TODAY())=HeatMap!A9,IF(ISERROR(SUM(LARGE(HeatMap!$C$19:$AG$19,B7))),"",SUM(LARGE(HeatMap!$C$19:$AG$19,B7))), "")</f>
        <v/>
      </c>
      <c r="N7" s="105" t="str">
        <f ca="1">IF(YEAR(TODAY())=HeatMap!A9,IF(ISERROR(SUM(LARGE(HeatMap!$C$20:$AG$20,B7))),"",SUM(LARGE(HeatMap!$C$20:$AG$20,B7))), "")</f>
        <v/>
      </c>
      <c r="O7" s="60"/>
      <c r="P7" s="104">
        <v>6</v>
      </c>
      <c r="Q7" s="70">
        <f>LARGE(HeatMap!$C$9:$AG$20,6)</f>
        <v>4.7450000000000001</v>
      </c>
      <c r="R7" s="87">
        <f>DATE(HeatMap!A9,MONTH(INDEX(HeatMap!B9:B20,_xlfn.AGGREGATE(15,6,ROW(HeatMap!B9:B20)-8/(HeatMap!C9:AG20=LARGE(HeatMap!C9:AG20,6)),1))&amp;0),_xlfn.AGGREGATE(15,6,COLUMN(HeatMap!C9:AG9)-2/(HeatMap!C9:AG20=LARGE(HeatMap!C9:AG20,6)),1))</f>
        <v>45724</v>
      </c>
      <c r="T7" s="103"/>
      <c r="U7" s="102"/>
      <c r="V7" s="108"/>
      <c r="W7" s="107"/>
      <c r="X7" s="96"/>
      <c r="Y7" s="96"/>
    </row>
    <row r="8" spans="1:27" x14ac:dyDescent="0.25">
      <c r="A8" s="106"/>
      <c r="B8" s="71">
        <v>7</v>
      </c>
      <c r="C8" s="72">
        <f>IF(ISERROR(SUM(LARGE(HeatMap!$C$9:$AG$9,B8))),"",SUM(LARGE(HeatMap!$C$9:$AG$9,B8)))</f>
        <v>1.143</v>
      </c>
      <c r="D8" s="82">
        <f>IF(ISERROR(SUM(LARGE(HeatMap!$C$10:$AG$10,B8))),"",SUM(LARGE(HeatMap!$C$10:$AG$10,B8)))</f>
        <v>2.8889999999999998</v>
      </c>
      <c r="E8" s="81">
        <f>IF(ISERROR(SUM(LARGE(HeatMap!$C$11:$AG$11,B8))),"",SUM(LARGE(HeatMap!$C$11:$AG$11,B8)))</f>
        <v>4.6879999999999997</v>
      </c>
      <c r="F8" s="80" t="str">
        <f>IF(ISERROR(SUM(LARGE(HeatMap!$C$12:$AG$12,C8))),"",SUM(LARGE(HeatMap!$C$12:$AG$12,B8)))</f>
        <v/>
      </c>
      <c r="G8" s="79" t="str">
        <f ca="1">IF(YEAR(TODAY())=HeatMap!A9,IF(ISERROR(SUM(LARGE(HeatMap!$C$13:$AG$13,B8))),"",SUM(LARGE(HeatMap!$C$13:$AG$13,B8))), "")</f>
        <v/>
      </c>
      <c r="H8" s="78" t="str">
        <f ca="1">IF(YEAR(TODAY())=HeatMap!A9,IF(ISERROR(SUM(LARGE(HeatMap!$C$14:$AG$14,B8))),"",SUM(LARGE(HeatMap!$C$14:$AG$14,B8))), "")</f>
        <v/>
      </c>
      <c r="I8" s="77" t="str">
        <f ca="1">IF(YEAR(TODAY())=HeatMap!A9,IF(ISERROR(SUM(LARGE(HeatMap!$C$15:$AG$15,B8))),"",SUM(LARGE(HeatMap!$C$15:$AG$15,B8))), "")</f>
        <v/>
      </c>
      <c r="J8" s="76" t="str">
        <f ca="1">IF(YEAR(TODAY())=HeatMap!A9,IF(ISERROR(SUM(LARGE(HeatMap!$C$16:$AG$16,B8))),"",SUM(LARGE(HeatMap!$C$16:$AG$16,B8))), "")</f>
        <v/>
      </c>
      <c r="K8" s="75" t="str">
        <f ca="1">IF(YEAR(TODAY())=HeatMap!A9,IF(ISERROR(SUM(LARGE(HeatMap!$C$17:$AG$17,B8))),"",SUM(LARGE(HeatMap!$C$17:$AG$17,B8))), "")</f>
        <v/>
      </c>
      <c r="L8" s="74" t="str">
        <f ca="1">IF(YEAR(TODAY())=HeatMap!A9,IF(ISERROR(SUM(LARGE(HeatMap!$C$18:$AG$18,B8))),"",SUM(LARGE(HeatMap!$C$18:$AG$18,B8))), "")</f>
        <v/>
      </c>
      <c r="M8" s="73" t="str">
        <f ca="1">IF(YEAR(TODAY())=HeatMap!A9,IF(ISERROR(SUM(LARGE(HeatMap!$C$19:$AG$19,B8))),"",SUM(LARGE(HeatMap!$C$19:$AG$19,B8))), "")</f>
        <v/>
      </c>
      <c r="N8" s="105" t="str">
        <f ca="1">IF(YEAR(TODAY())=HeatMap!A9,IF(ISERROR(SUM(LARGE(HeatMap!$C$20:$AG$20,B8))),"",SUM(LARGE(HeatMap!$C$20:$AG$20,B8))), "")</f>
        <v/>
      </c>
      <c r="O8" s="60"/>
      <c r="P8" s="104">
        <v>7</v>
      </c>
      <c r="Q8" s="70">
        <f>LARGE(HeatMap!$C$9:$AG$20,7)</f>
        <v>4.6879999999999997</v>
      </c>
      <c r="R8" s="87">
        <f>DATE(HeatMap!A9,MONTH(INDEX(HeatMap!B9:B20,_xlfn.AGGREGATE(15,6,ROW(HeatMap!B9:B20)-8/(HeatMap!C9:AG20=LARGE(HeatMap!C9:AG20,7)),1))&amp;0),_xlfn.AGGREGATE(15,6,COLUMN(HeatMap!C9:AG9)-2/(HeatMap!C9:AG20=LARGE(HeatMap!C9:AG20,7)),1))</f>
        <v>45720</v>
      </c>
      <c r="T8" s="103"/>
      <c r="U8" s="102"/>
      <c r="V8" s="101"/>
      <c r="W8" s="107"/>
      <c r="X8" s="96"/>
      <c r="Y8" s="96"/>
    </row>
    <row r="9" spans="1:27" x14ac:dyDescent="0.25">
      <c r="A9" s="106"/>
      <c r="B9" s="71">
        <v>8</v>
      </c>
      <c r="C9" s="72">
        <f>IF(ISERROR(SUM(LARGE(HeatMap!$C$9:$AG$9,B9))),"",SUM(LARGE(HeatMap!$C$9:$AG$9,B9)))</f>
        <v>1.1359999999999999</v>
      </c>
      <c r="D9" s="82">
        <f>IF(ISERROR(SUM(LARGE(HeatMap!$C$10:$AG$10,B9))),"",SUM(LARGE(HeatMap!$C$10:$AG$10,B9)))</f>
        <v>2.7759999999999998</v>
      </c>
      <c r="E9" s="81">
        <f>IF(ISERROR(SUM(LARGE(HeatMap!$C$11:$AG$11,B9))),"",SUM(LARGE(HeatMap!$C$11:$AG$11,B9)))</f>
        <v>4.6020000000000003</v>
      </c>
      <c r="F9" s="80" t="str">
        <f>IF(ISERROR(SUM(LARGE(HeatMap!$C$12:$AG$12,C9))),"",SUM(LARGE(HeatMap!$C$12:$AG$12,B9)))</f>
        <v/>
      </c>
      <c r="G9" s="79" t="str">
        <f ca="1">IF(YEAR(TODAY())=HeatMap!A9,IF(ISERROR(SUM(LARGE(HeatMap!$C$13:$AG$13,B9))),"",SUM(LARGE(HeatMap!$C$13:$AG$13,B9))), "")</f>
        <v/>
      </c>
      <c r="H9" s="78" t="str">
        <f ca="1">IF(YEAR(TODAY())=HeatMap!A9,IF(ISERROR(SUM(LARGE(HeatMap!$C$14:$AG$14,B9))),"",SUM(LARGE(HeatMap!$C$14:$AG$14,B9))), "")</f>
        <v/>
      </c>
      <c r="I9" s="77" t="str">
        <f ca="1">IF(YEAR(TODAY())=HeatMap!A9,IF(ISERROR(SUM(LARGE(HeatMap!$C$15:$AG$15,B9))),"",SUM(LARGE(HeatMap!$C$15:$AG$15,B9))), "")</f>
        <v/>
      </c>
      <c r="J9" s="76" t="str">
        <f ca="1">IF(YEAR(TODAY())=HeatMap!A9,IF(ISERROR(SUM(LARGE(HeatMap!$C$16:$AG$16,B9))),"",SUM(LARGE(HeatMap!$C$16:$AG$16,B9))), "")</f>
        <v/>
      </c>
      <c r="K9" s="75" t="str">
        <f ca="1">IF(YEAR(TODAY())=HeatMap!A9,IF(ISERROR(SUM(LARGE(HeatMap!$C$17:$AG$17,B9))),"",SUM(LARGE(HeatMap!$C$17:$AG$17,B9))), "")</f>
        <v/>
      </c>
      <c r="L9" s="74" t="str">
        <f ca="1">IF(YEAR(TODAY())=HeatMap!A9,IF(ISERROR(SUM(LARGE(HeatMap!$C$18:$AG$18,B9))),"",SUM(LARGE(HeatMap!$C$18:$AG$18,B9))), "")</f>
        <v/>
      </c>
      <c r="M9" s="73" t="str">
        <f ca="1">IF(YEAR(TODAY())=HeatMap!A9,IF(ISERROR(SUM(LARGE(HeatMap!$C$19:$AG$19,B9))),"",SUM(LARGE(HeatMap!$C$19:$AG$19,B9))), "")</f>
        <v/>
      </c>
      <c r="N9" s="105" t="str">
        <f ca="1">IF(YEAR(TODAY())=HeatMap!A9,IF(ISERROR(SUM(LARGE(HeatMap!$C$20:$AG$20,B9))),"",SUM(LARGE(HeatMap!$C$20:$AG$20,B9))), "")</f>
        <v/>
      </c>
      <c r="O9" s="60"/>
      <c r="P9" s="104">
        <v>8</v>
      </c>
      <c r="Q9" s="70">
        <f>LARGE(HeatMap!$C$9:$AG$20,8)</f>
        <v>4.6020000000000003</v>
      </c>
      <c r="R9" s="87">
        <f>DATE(HeatMap!A9,MONTH(INDEX(HeatMap!B9:B20,_xlfn.AGGREGATE(15,6,ROW(HeatMap!B9:B20)-8/(HeatMap!C9:AG20=LARGE(HeatMap!C9:AG20,8)),1))&amp;0),_xlfn.AGGREGATE(15,6,COLUMN(HeatMap!C9:AG9)-2/(HeatMap!C9:AG20=LARGE(HeatMap!C9:AG20,8)),1))</f>
        <v>45723</v>
      </c>
      <c r="T9" s="103"/>
      <c r="U9" s="102"/>
      <c r="V9" s="101"/>
      <c r="W9" s="107"/>
      <c r="X9" s="96"/>
      <c r="Y9" s="96"/>
    </row>
    <row r="10" spans="1:27" x14ac:dyDescent="0.25">
      <c r="A10" s="106"/>
      <c r="B10" s="71">
        <v>9</v>
      </c>
      <c r="C10" s="72">
        <f>IF(ISERROR(SUM(LARGE(HeatMap!$C$9:$AG$9,B10))),"",SUM(LARGE(HeatMap!$C$9:$AG$9,B10)))</f>
        <v>1.0720000000000001</v>
      </c>
      <c r="D10" s="82">
        <f>IF(ISERROR(SUM(LARGE(HeatMap!$C$10:$AG$10,B10))),"",SUM(LARGE(HeatMap!$C$10:$AG$10,B10)))</f>
        <v>2.3959999999999999</v>
      </c>
      <c r="E10" s="81">
        <f>IF(ISERROR(SUM(LARGE(HeatMap!$C$11:$AG$11,B10))),"",SUM(LARGE(HeatMap!$C$11:$AG$11,B10)))</f>
        <v>2.383</v>
      </c>
      <c r="F10" s="80" t="str">
        <f>IF(ISERROR(SUM(LARGE(HeatMap!$C$12:$AG$12,C10))),"",SUM(LARGE(HeatMap!$C$12:$AG$12,B10)))</f>
        <v/>
      </c>
      <c r="G10" s="79" t="str">
        <f ca="1">IF(YEAR(TODAY())=HeatMap!A9,IF(ISERROR(SUM(LARGE(HeatMap!$C$13:$AG$13,B10))),"",SUM(LARGE(HeatMap!$C$13:$AG$13,B10))), "")</f>
        <v/>
      </c>
      <c r="H10" s="78" t="str">
        <f ca="1">IF(YEAR(TODAY())=HeatMap!A9,IF(ISERROR(SUM(LARGE(HeatMap!$C$14:$AG$14,B10))),"",SUM(LARGE(HeatMap!$C$14:$AG$14,B10))), "")</f>
        <v/>
      </c>
      <c r="I10" s="77" t="str">
        <f ca="1">IF(YEAR(TODAY())=HeatMap!A9,IF(ISERROR(SUM(LARGE(HeatMap!$C$15:$AG$15,B10))),"",SUM(LARGE(HeatMap!$C$15:$AG$15,B10))), "")</f>
        <v/>
      </c>
      <c r="J10" s="76" t="str">
        <f ca="1">IF(YEAR(TODAY())=HeatMap!A9,IF(ISERROR(SUM(LARGE(HeatMap!$C$16:$AG$16,B10))),"",SUM(LARGE(HeatMap!$C$16:$AG$16,B10))), "")</f>
        <v/>
      </c>
      <c r="K10" s="75" t="str">
        <f ca="1">IF(YEAR(TODAY())=HeatMap!A9,IF(ISERROR(SUM(LARGE(HeatMap!$C$17:$AG$17,B10))),"",SUM(LARGE(HeatMap!$C$17:$AG$17,B10))), "")</f>
        <v/>
      </c>
      <c r="L10" s="74" t="str">
        <f ca="1">IF(YEAR(TODAY())=HeatMap!A9,IF(ISERROR(SUM(LARGE(HeatMap!$C$18:$AG$18,B10))),"",SUM(LARGE(HeatMap!$C$18:$AG$18,B10))), "")</f>
        <v/>
      </c>
      <c r="M10" s="73" t="str">
        <f ca="1">IF(YEAR(TODAY())=HeatMap!A9,IF(ISERROR(SUM(LARGE(HeatMap!$C$19:$AG$19,B10))),"",SUM(LARGE(HeatMap!$C$19:$AG$19,B10))), "")</f>
        <v/>
      </c>
      <c r="N10" s="105" t="str">
        <f ca="1">IF(YEAR(TODAY())=HeatMap!A9,IF(ISERROR(SUM(LARGE(HeatMap!$C$20:$AG$20,B10))),"",SUM(LARGE(HeatMap!$C$20:$AG$20,B10))), "")</f>
        <v/>
      </c>
      <c r="O10" s="60"/>
      <c r="P10" s="104">
        <v>9</v>
      </c>
      <c r="Q10" s="70">
        <f>LARGE(HeatMap!$C$9:$AG$20,9)</f>
        <v>4.2370000000000001</v>
      </c>
      <c r="R10" s="87">
        <f>DATE(HeatMap!A9,MONTH(INDEX(HeatMap!B9:B20,_xlfn.AGGREGATE(15,6,ROW(HeatMap!B9:B20)-8/(HeatMap!C9:AG20=LARGE(HeatMap!C9:AG20,9)),1))&amp;0),_xlfn.AGGREGATE(15,6,COLUMN(HeatMap!C9:AG9)-2/(HeatMap!C9:AG20=LARGE(HeatMap!C9:AG20,9)),1))</f>
        <v>45706</v>
      </c>
      <c r="T10" s="103"/>
      <c r="U10" s="102"/>
      <c r="V10" s="101"/>
      <c r="W10" s="107"/>
      <c r="X10" s="96"/>
      <c r="Y10" s="96"/>
    </row>
    <row r="11" spans="1:27" x14ac:dyDescent="0.25">
      <c r="A11" s="106"/>
      <c r="B11" s="71">
        <v>10</v>
      </c>
      <c r="C11" s="72">
        <f>IF(ISERROR(SUM(LARGE(HeatMap!$C$9:$AG$9,B11))),"",SUM(LARGE(HeatMap!$C$9:$AG$9,B11)))</f>
        <v>1.034</v>
      </c>
      <c r="D11" s="82">
        <f>IF(ISERROR(SUM(LARGE(HeatMap!$C$10:$AG$10,B11))),"",SUM(LARGE(HeatMap!$C$10:$AG$10,B11)))</f>
        <v>2.0529999999999999</v>
      </c>
      <c r="E11" s="81">
        <f>IF(ISERROR(SUM(LARGE(HeatMap!$C$11:$AG$11,B11))),"",SUM(LARGE(HeatMap!$C$11:$AG$11,B11)))</f>
        <v>1.9470000000000001</v>
      </c>
      <c r="F11" s="80" t="str">
        <f>IF(ISERROR(SUM(LARGE(HeatMap!$C$12:$AG$12,C11))),"",SUM(LARGE(HeatMap!$C$12:$AG$12,B11)))</f>
        <v/>
      </c>
      <c r="G11" s="79" t="str">
        <f ca="1">IF(YEAR(TODAY())=HeatMap!A9,IF(ISERROR(SUM(LARGE(HeatMap!$C$13:$AG$13,B11))),"",SUM(LARGE(HeatMap!$C$13:$AG$13,B11))), "")</f>
        <v/>
      </c>
      <c r="H11" s="78" t="str">
        <f ca="1">IF(YEAR(TODAY())=HeatMap!A9,IF(ISERROR(SUM(LARGE(HeatMap!$C$14:$AG$14,B11))),"",SUM(LARGE(HeatMap!$C$14:$AG$14,B11))), "")</f>
        <v/>
      </c>
      <c r="I11" s="77" t="str">
        <f ca="1">IF(YEAR(TODAY())=HeatMap!A9,IF(ISERROR(SUM(LARGE(HeatMap!$C$15:$AG$15,B11))),"",SUM(LARGE(HeatMap!$C$15:$AG$15,B11))), "")</f>
        <v/>
      </c>
      <c r="J11" s="76" t="str">
        <f ca="1">IF(YEAR(TODAY())=HeatMap!A9,IF(ISERROR(SUM(LARGE(HeatMap!$C$16:$AG$16,B11))),"",SUM(LARGE(HeatMap!$C$16:$AG$16,B11))), "")</f>
        <v/>
      </c>
      <c r="K11" s="75" t="str">
        <f ca="1">IF(YEAR(TODAY())=HeatMap!A9,IF(ISERROR(SUM(LARGE(HeatMap!$C$17:$AG$17,B11))),"",SUM(LARGE(HeatMap!$C$17:$AG$17,B11))), "")</f>
        <v/>
      </c>
      <c r="L11" s="74" t="str">
        <f ca="1">IF(YEAR(TODAY())=HeatMap!A9,IF(ISERROR(SUM(LARGE(HeatMap!$C$18:$AG$18,B11))),"",SUM(LARGE(HeatMap!$C$18:$AG$18,B11))), "")</f>
        <v/>
      </c>
      <c r="M11" s="73" t="str">
        <f ca="1">IF(YEAR(TODAY())=HeatMap!A9,IF(ISERROR(SUM(LARGE(HeatMap!$C$19:$AG$19,B11))),"",SUM(LARGE(HeatMap!$C$19:$AG$19,B11))), "")</f>
        <v/>
      </c>
      <c r="N11" s="105" t="str">
        <f ca="1">IF(YEAR(TODAY())=HeatMap!A9,IF(ISERROR(SUM(LARGE(HeatMap!$C$20:$AG$20,B11))),"",SUM(LARGE(HeatMap!$C$20:$AG$20,B11))), "")</f>
        <v/>
      </c>
      <c r="O11" s="60"/>
      <c r="P11" s="104">
        <v>10</v>
      </c>
      <c r="Q11" s="70">
        <f>LARGE(HeatMap!$C$9:$AG$20,10)</f>
        <v>3.9430000000000001</v>
      </c>
      <c r="R11" s="87">
        <f>DATE(HeatMap!A9,MONTH(INDEX(HeatMap!B9:B20,_xlfn.AGGREGATE(15,6,ROW(HeatMap!B9:B20)-8/(HeatMap!C9:AG20=LARGE(HeatMap!C9:AG20,10)),1))&amp;0),_xlfn.AGGREGATE(15,6,COLUMN(HeatMap!C9:AG9)-2/(HeatMap!C9:AG20=LARGE(HeatMap!C9:AG20,10)),1))</f>
        <v>45709</v>
      </c>
      <c r="T11" s="103"/>
      <c r="U11" s="102"/>
      <c r="V11" s="101"/>
      <c r="W11" s="99"/>
      <c r="X11" s="96"/>
      <c r="Y11" s="96"/>
    </row>
    <row r="12" spans="1:27" ht="13.5" thickBot="1" x14ac:dyDescent="0.3">
      <c r="A12" s="100"/>
      <c r="B12" s="64" t="s">
        <v>3</v>
      </c>
      <c r="C12" s="63">
        <f>IF(COUNT(C2:C11)=0, "", AVERAGE(C2:C11))</f>
        <v>1.4077</v>
      </c>
      <c r="D12" s="63">
        <f>IF(COUNT(D2:D11)=0, "", AVERAGE(D2:D11))</f>
        <v>3.1955999999999998</v>
      </c>
      <c r="E12" s="63">
        <f>IF(COUNT(E2:E11)=0, "", AVERAGE(E2:E11))</f>
        <v>4.2845000000000004</v>
      </c>
      <c r="F12" s="63" t="str">
        <f>IF(COUNT(F2:F11)=0, "", AVERAGE(F2:F11))</f>
        <v/>
      </c>
      <c r="G12" s="63" t="str">
        <f ca="1">IF(COUNT(G2:G11)=0, "", AVERAGE(G2:G11))</f>
        <v/>
      </c>
      <c r="H12" s="63" t="str">
        <f ca="1">IF(COUNT(H2:H11)=0, "", AVERAGE(H2:H11))</f>
        <v/>
      </c>
      <c r="I12" s="63" t="str">
        <f ca="1">IF(COUNT(I2:I11)=0, "", AVERAGE(I2:I11))</f>
        <v/>
      </c>
      <c r="J12" s="63" t="str">
        <f ca="1">IF(COUNT(J2:J11)=0, "", AVERAGE(J2:J11))</f>
        <v/>
      </c>
      <c r="K12" s="63" t="str">
        <f ca="1">IF(COUNT(K2:K11)=0, "", AVERAGE(K2:K11))</f>
        <v/>
      </c>
      <c r="L12" s="63" t="str">
        <f ca="1">IF(COUNT(L2:L11)=0, "", AVERAGE(L2:L11))</f>
        <v/>
      </c>
      <c r="M12" s="63" t="str">
        <f ca="1">IF(COUNT(M2:M11)=0, "", AVERAGE(M2:M11))</f>
        <v/>
      </c>
      <c r="N12" s="63" t="str">
        <f ca="1">IF(COUNT(N2:N11)=0, "", AVERAGE(N2:N11))</f>
        <v/>
      </c>
      <c r="O12" s="60"/>
      <c r="P12" s="62" t="s">
        <v>3</v>
      </c>
      <c r="Q12" s="61">
        <f>IF(COUNT(Q2:Q11)=0, "", AVERAGE(Q2:Q11))</f>
        <v>4.6695000000000002</v>
      </c>
      <c r="R12" s="60"/>
      <c r="U12" s="99"/>
      <c r="V12" s="98"/>
      <c r="W12" s="97"/>
      <c r="X12" s="96"/>
      <c r="Y12" s="96"/>
    </row>
    <row r="13" spans="1:27" ht="13.5" thickBot="1" x14ac:dyDescent="0.3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1:27" x14ac:dyDescent="0.25">
      <c r="A14" s="95"/>
      <c r="B14" s="90" t="s">
        <v>0</v>
      </c>
      <c r="C14" s="93">
        <v>45292</v>
      </c>
      <c r="D14" s="93">
        <v>33</v>
      </c>
      <c r="E14" s="93">
        <v>63</v>
      </c>
      <c r="F14" s="93">
        <v>95</v>
      </c>
      <c r="G14" s="93">
        <v>126</v>
      </c>
      <c r="H14" s="93">
        <v>158</v>
      </c>
      <c r="I14" s="94" t="s">
        <v>6</v>
      </c>
      <c r="J14" s="93">
        <v>221</v>
      </c>
      <c r="K14" s="93">
        <v>253</v>
      </c>
      <c r="L14" s="93">
        <v>284</v>
      </c>
      <c r="M14" s="93">
        <v>316</v>
      </c>
      <c r="N14" s="93">
        <v>346</v>
      </c>
      <c r="O14" s="60"/>
      <c r="P14" s="92" t="s">
        <v>5</v>
      </c>
      <c r="Q14" s="91"/>
      <c r="R14" s="90" t="s">
        <v>2</v>
      </c>
      <c r="AA14" s="89"/>
    </row>
    <row r="15" spans="1:27" x14ac:dyDescent="0.25">
      <c r="A15" s="83">
        <v>2024</v>
      </c>
      <c r="B15" s="88">
        <v>1</v>
      </c>
      <c r="C15" s="72"/>
      <c r="D15" s="82"/>
      <c r="E15" s="81"/>
      <c r="F15" s="80"/>
      <c r="G15" s="79"/>
      <c r="H15" s="78">
        <f>IF(ISERROR(SUM(LARGE(HeatMap!$C$2:$AG$2,B15))),"",SUM(LARGE(HeatMap!$C$2:$AG$2,B15)))</f>
        <v>3.9260000000000002</v>
      </c>
      <c r="I15" s="77">
        <f>IF(ISERROR(SUM(LARGE(HeatMap!$C$3:$AG$3,B15))),"",SUM(LARGE(HeatMap!$C$3:$AG$3,B15)))</f>
        <v>4.4000000000000004</v>
      </c>
      <c r="J15" s="76">
        <f>IF(ISERROR(SUM(LARGE(HeatMap!$C$4:$AG$4,B15))),"",SUM(LARGE(HeatMap!$C$4:$AG$4,B15)))</f>
        <v>4.6360000000000001</v>
      </c>
      <c r="K15" s="75">
        <f>IF(ISERROR(SUM(LARGE(HeatMap!$C$5:$AG$5,B15))),"",SUM(LARGE(HeatMap!$C$5:$AG$5,B15)))</f>
        <v>4.5949999999999998</v>
      </c>
      <c r="L15" s="74">
        <f>IF(ISERROR(SUM(LARGE(HeatMap!$C$6:$AG$6,B15))),"",SUM(LARGE(HeatMap!$C$6:$AG$6,B15)))</f>
        <v>3.5870000000000002</v>
      </c>
      <c r="M15" s="73">
        <f>IF(ISERROR(SUM(LARGE(HeatMap!$C$7:$AG$7,B15))),"",SUM(LARGE(HeatMap!$C$7:$AG$7,B15)))</f>
        <v>3.3180000000000001</v>
      </c>
      <c r="N15" s="72">
        <f>IF(ISERROR(SUM(LARGE(HeatMap!$C$8:$AG$8,B15))),"",SUM(LARGE(HeatMap!$C$8:$AG$8,B15)))</f>
        <v>1.153</v>
      </c>
      <c r="O15" s="60"/>
      <c r="P15" s="71">
        <v>1</v>
      </c>
      <c r="Q15" s="70">
        <f>LARGE(HeatMap!$C$2:$AG$8,P15)</f>
        <v>4.6360000000000001</v>
      </c>
      <c r="R15" s="69">
        <f>DATE(HeatMap!A2,MONTH(INDEX(HeatMap!B2:B8,_xlfn.AGGREGATE(15,6,ROW(HeatMap!B2:B8)-1/(HeatMap!C2:AG8=LARGE(HeatMap!C2:AG8,1)),1))&amp;0),_xlfn.AGGREGATE(15,6,COLUMN(HeatMap!C2:AG2)-2/(HeatMap!C2:AG8=LARGE(HeatMap!C2:AG8,1)),1))</f>
        <v>45526</v>
      </c>
      <c r="S15" s="86"/>
      <c r="V15" s="57"/>
      <c r="W15" s="69"/>
      <c r="Y15" s="66"/>
    </row>
    <row r="16" spans="1:27" x14ac:dyDescent="0.25">
      <c r="A16" s="83"/>
      <c r="B16" s="71">
        <v>2</v>
      </c>
      <c r="C16" s="72"/>
      <c r="D16" s="82"/>
      <c r="E16" s="81"/>
      <c r="F16" s="80"/>
      <c r="G16" s="79"/>
      <c r="H16" s="78">
        <f>IF(ISERROR(SUM(LARGE(HeatMap!$C$2:$AG$2,B16))),"",SUM(LARGE(HeatMap!$C$2:$AG$2,B16)))</f>
        <v>3.2509999999999999</v>
      </c>
      <c r="I16" s="77">
        <f>IF(ISERROR(SUM(LARGE(HeatMap!$C$3:$AG$3,B16))),"",SUM(LARGE(HeatMap!$C$3:$AG$3,B16)))</f>
        <v>4.1950000000000003</v>
      </c>
      <c r="J16" s="76">
        <f>IF(ISERROR(SUM(LARGE(HeatMap!$C$4:$AG$4,B16))),"",SUM(LARGE(HeatMap!$C$4:$AG$4,B16)))</f>
        <v>4.5090000000000003</v>
      </c>
      <c r="K16" s="75">
        <f>IF(ISERROR(SUM(LARGE(HeatMap!$C$5:$AG$5,B16))),"",SUM(LARGE(HeatMap!$C$5:$AG$5,B16)))</f>
        <v>4.5819999999999999</v>
      </c>
      <c r="L16" s="74">
        <f>IF(ISERROR(SUM(LARGE(HeatMap!$C$6:$AG$6,B16))),"",SUM(LARGE(HeatMap!$C$6:$AG$6,B16)))</f>
        <v>3.5369999999999999</v>
      </c>
      <c r="M16" s="73">
        <f>IF(ISERROR(SUM(LARGE(HeatMap!$C$7:$AG$7,B16))),"",SUM(LARGE(HeatMap!$C$7:$AG$7,B16)))</f>
        <v>2.9329999999999998</v>
      </c>
      <c r="N16" s="72">
        <f>IF(ISERROR(SUM(LARGE(HeatMap!$C$8:$AG$8,B16))),"",SUM(LARGE(HeatMap!$C$8:$AG$8,B16)))</f>
        <v>0.85699999999999998</v>
      </c>
      <c r="O16" s="60"/>
      <c r="P16" s="71">
        <v>2</v>
      </c>
      <c r="Q16" s="70">
        <f>LARGE(HeatMap!$C$2:$AG$8,P16)</f>
        <v>4.5949999999999998</v>
      </c>
      <c r="R16" s="87">
        <f>DATE(HeatMap!A2,MONTH(INDEX(HeatMap!B2:B8,_xlfn.AGGREGATE(15,6,ROW(HeatMap!B2:B8)-1/(HeatMap!C2:AG8=LARGE(HeatMap!C2:AG8,2)),1))&amp;0),_xlfn.AGGREGATE(15,6,COLUMN(HeatMap!C2:AG2)-2/(HeatMap!C2:AG8=LARGE(HeatMap!C2:AG8,2)),1))</f>
        <v>45556</v>
      </c>
      <c r="S16" s="86"/>
      <c r="V16" s="57"/>
      <c r="W16" s="69"/>
    </row>
    <row r="17" spans="1:31" x14ac:dyDescent="0.25">
      <c r="A17" s="83"/>
      <c r="B17" s="71">
        <v>3</v>
      </c>
      <c r="C17" s="72"/>
      <c r="D17" s="82"/>
      <c r="E17" s="81"/>
      <c r="F17" s="80"/>
      <c r="G17" s="79"/>
      <c r="H17" s="78">
        <f>IF(ISERROR(SUM(LARGE(HeatMap!$C$2:$AG$2,B17))),"",SUM(LARGE(HeatMap!$C$2:$AG$2,B17)))</f>
        <v>3.0310000000000001</v>
      </c>
      <c r="I17" s="77">
        <f>IF(ISERROR(SUM(LARGE(HeatMap!$C$3:$AG$3,B17))),"",SUM(LARGE(HeatMap!$C$3:$AG$3,B17)))</f>
        <v>4.1040000000000001</v>
      </c>
      <c r="J17" s="76">
        <f>IF(ISERROR(SUM(LARGE(HeatMap!$C$4:$AG$4,B17))),"",SUM(LARGE(HeatMap!$C$4:$AG$4,B17)))</f>
        <v>4.4249999999999998</v>
      </c>
      <c r="K17" s="75">
        <f>IF(ISERROR(SUM(LARGE(HeatMap!$C$5:$AG$5,B17))),"",SUM(LARGE(HeatMap!$C$5:$AG$5,B17)))</f>
        <v>4.5579999999999998</v>
      </c>
      <c r="L17" s="74">
        <f>IF(ISERROR(SUM(LARGE(HeatMap!$C$6:$AG$6,B17))),"",SUM(LARGE(HeatMap!$C$6:$AG$6,B17)))</f>
        <v>3.4239999999999999</v>
      </c>
      <c r="M17" s="73">
        <f>IF(ISERROR(SUM(LARGE(HeatMap!$C$7:$AG$7,B17))),"",SUM(LARGE(HeatMap!$C$7:$AG$7,B17)))</f>
        <v>2.4769999999999999</v>
      </c>
      <c r="N17" s="72">
        <f>IF(ISERROR(SUM(LARGE(HeatMap!$C$8:$AG$8,B17))),"",SUM(LARGE(HeatMap!$C$8:$AG$8,B17)))</f>
        <v>0.77</v>
      </c>
      <c r="O17" s="60"/>
      <c r="P17" s="71">
        <v>3</v>
      </c>
      <c r="Q17" s="70">
        <f>LARGE(HeatMap!$C$2:$AG$8,P17)</f>
        <v>4.5819999999999999</v>
      </c>
      <c r="R17" s="69">
        <f>DATE(HeatMap!A2,MONTH(INDEX(HeatMap!B2:B8,_xlfn.AGGREGATE(15,6,ROW(HeatMap!B2:B8)-1/(HeatMap!C2:AG8=LARGE(HeatMap!C2:AG8,3)),1))&amp;0),_xlfn.AGGREGATE(15,6,COLUMN(HeatMap!C2:AG2)-2/(HeatMap!C2:AG8=LARGE(HeatMap!C2:AG8,3)),1))</f>
        <v>45542</v>
      </c>
      <c r="S17" s="68"/>
      <c r="W17" s="69"/>
    </row>
    <row r="18" spans="1:31" x14ac:dyDescent="0.25">
      <c r="A18" s="83"/>
      <c r="B18" s="71">
        <v>4</v>
      </c>
      <c r="C18" s="72"/>
      <c r="D18" s="82"/>
      <c r="E18" s="81"/>
      <c r="F18" s="80"/>
      <c r="G18" s="79"/>
      <c r="H18" s="78">
        <f>IF(ISERROR(SUM(LARGE(HeatMap!$C$2:$AG$2,B18))),"",SUM(LARGE(HeatMap!$C$2:$AG$2,B18)))</f>
        <v>2.9529999999999998</v>
      </c>
      <c r="I18" s="77">
        <f>IF(ISERROR(SUM(LARGE(HeatMap!$C$3:$AG$3,B18))),"",SUM(LARGE(HeatMap!$C$3:$AG$3,B18)))</f>
        <v>4.0460000000000003</v>
      </c>
      <c r="J18" s="76">
        <f>IF(ISERROR(SUM(LARGE(HeatMap!$C$4:$AG$4,B18))),"",SUM(LARGE(HeatMap!$C$4:$AG$4,B18)))</f>
        <v>4.4109999999999996</v>
      </c>
      <c r="K18" s="75">
        <f>IF(ISERROR(SUM(LARGE(HeatMap!$C$5:$AG$5,B18))),"",SUM(LARGE(HeatMap!$C$5:$AG$5,B18)))</f>
        <v>4.343</v>
      </c>
      <c r="L18" s="74">
        <f>IF(ISERROR(SUM(LARGE(HeatMap!$C$6:$AG$6,B18))),"",SUM(LARGE(HeatMap!$C$6:$AG$6,B18)))</f>
        <v>3.0990000000000002</v>
      </c>
      <c r="M18" s="73">
        <f>IF(ISERROR(SUM(LARGE(HeatMap!$C$7:$AG$7,B18))),"",SUM(LARGE(HeatMap!$C$7:$AG$7,B18)))</f>
        <v>2.4430000000000001</v>
      </c>
      <c r="N18" s="72">
        <f>IF(ISERROR(SUM(LARGE(HeatMap!$C$8:$AG$8,B18))),"",SUM(LARGE(HeatMap!$C$8:$AG$8,B18)))</f>
        <v>0.72899999999999998</v>
      </c>
      <c r="O18" s="60"/>
      <c r="P18" s="71">
        <v>4</v>
      </c>
      <c r="Q18" s="70">
        <f>LARGE(HeatMap!$C$2:$AG$8,P18)</f>
        <v>4.5579999999999998</v>
      </c>
      <c r="R18" s="69">
        <f>DATE(HeatMap!A2,MONTH(INDEX(HeatMap!B2:B8,_xlfn.AGGREGATE(15,6,ROW(HeatMap!B2:B8)-1/(HeatMap!C2:AG8=LARGE(HeatMap!C2:AG8,4)),1))&amp;0),_xlfn.AGGREGATE(15,6,COLUMN(HeatMap!C2:AG2)-2/(HeatMap!C2:AG8=LARGE(HeatMap!C2:AG8,4)),1))</f>
        <v>45555</v>
      </c>
      <c r="S18" s="68"/>
      <c r="W18" s="69"/>
    </row>
    <row r="19" spans="1:31" x14ac:dyDescent="0.25">
      <c r="A19" s="83"/>
      <c r="B19" s="71">
        <v>5</v>
      </c>
      <c r="C19" s="72"/>
      <c r="D19" s="82"/>
      <c r="E19" s="81"/>
      <c r="F19" s="80"/>
      <c r="G19" s="79"/>
      <c r="H19" s="78">
        <f>IF(ISERROR(SUM(LARGE(HeatMap!$C$2:$AG$2,B19))),"",SUM(LARGE(HeatMap!$C$2:$AG$2,B19)))</f>
        <v>2.6930000000000001</v>
      </c>
      <c r="I19" s="77">
        <f>IF(ISERROR(SUM(LARGE(HeatMap!$C$3:$AG$3,B19))),"",SUM(LARGE(HeatMap!$C$3:$AG$3,B19)))</f>
        <v>4.0110000000000001</v>
      </c>
      <c r="J19" s="76">
        <f>IF(ISERROR(SUM(LARGE(HeatMap!$C$4:$AG$4,B19))),"",SUM(LARGE(HeatMap!$C$4:$AG$4,B19)))</f>
        <v>4.4020000000000001</v>
      </c>
      <c r="K19" s="75">
        <f>IF(ISERROR(SUM(LARGE(HeatMap!$C$5:$AG$5,B19))),"",SUM(LARGE(HeatMap!$C$5:$AG$5,B19)))</f>
        <v>3.802</v>
      </c>
      <c r="L19" s="74">
        <f>IF(ISERROR(SUM(LARGE(HeatMap!$C$6:$AG$6,B19))),"",SUM(LARGE(HeatMap!$C$6:$AG$6,B19)))</f>
        <v>2.952</v>
      </c>
      <c r="M19" s="73">
        <f>IF(ISERROR(SUM(LARGE(HeatMap!$C$7:$AG$7,B19))),"",SUM(LARGE(HeatMap!$C$7:$AG$7,B19)))</f>
        <v>2.0710000000000002</v>
      </c>
      <c r="N19" s="72">
        <f>IF(ISERROR(SUM(LARGE(HeatMap!$C$8:$AG$8,B19))),"",SUM(LARGE(HeatMap!$C$8:$AG$8,B19)))</f>
        <v>0.68300000000000005</v>
      </c>
      <c r="O19" s="60"/>
      <c r="P19" s="71">
        <v>5</v>
      </c>
      <c r="Q19" s="70">
        <f>LARGE(HeatMap!$C$2:$AG$8,P19)</f>
        <v>4.5090000000000003</v>
      </c>
      <c r="R19" s="69">
        <f>DATE(HeatMap!A2,MONTH(INDEX(HeatMap!B2:B8,_xlfn.AGGREGATE(15,6,ROW(HeatMap!B2:B8)-1/(HeatMap!C2:AG8=LARGE(HeatMap!C2:AG8,5)),1))&amp;0),_xlfn.AGGREGATE(15,6,COLUMN(HeatMap!C2:AG2)-2/(HeatMap!C2:AG8=LARGE(HeatMap!C2:AG8,5)),1))</f>
        <v>45532</v>
      </c>
      <c r="W19" s="69"/>
      <c r="AE19" s="85">
        <f>INDEX(C2:N11, 1, 2)</f>
        <v>4.2370000000000001</v>
      </c>
    </row>
    <row r="20" spans="1:31" x14ac:dyDescent="0.25">
      <c r="A20" s="83"/>
      <c r="B20" s="71">
        <v>6</v>
      </c>
      <c r="C20" s="72"/>
      <c r="D20" s="82"/>
      <c r="E20" s="81"/>
      <c r="F20" s="80"/>
      <c r="G20" s="79"/>
      <c r="H20" s="78">
        <f>IF(ISERROR(SUM(LARGE(HeatMap!$C$2:$AG$2,B20))),"",SUM(LARGE(HeatMap!$C$2:$AG$2,B20)))</f>
        <v>2.2839999999999998</v>
      </c>
      <c r="I20" s="77">
        <f>IF(ISERROR(SUM(LARGE(HeatMap!$C$3:$AG$3,B20))),"",SUM(LARGE(HeatMap!$C$3:$AG$3,B20)))</f>
        <v>3.8559999999999999</v>
      </c>
      <c r="J20" s="76">
        <f>IF(ISERROR(SUM(LARGE(HeatMap!$C$4:$AG$4,B20))),"",SUM(LARGE(HeatMap!$C$4:$AG$4,B20)))</f>
        <v>4.3220000000000001</v>
      </c>
      <c r="K20" s="75">
        <f>IF(ISERROR(SUM(LARGE(HeatMap!$C$5:$AG$5,B20))),"",SUM(LARGE(HeatMap!$C$5:$AG$5,B20)))</f>
        <v>3.3170000000000002</v>
      </c>
      <c r="L20" s="74">
        <f>IF(ISERROR(SUM(LARGE(HeatMap!$C$6:$AG$6,B20))),"",SUM(LARGE(HeatMap!$C$6:$AG$6,B20)))</f>
        <v>2.923</v>
      </c>
      <c r="M20" s="73">
        <f>IF(ISERROR(SUM(LARGE(HeatMap!$C$7:$AG$7,B20))),"",SUM(LARGE(HeatMap!$C$7:$AG$7,B20)))</f>
        <v>1.982</v>
      </c>
      <c r="N20" s="72">
        <f>IF(ISERROR(SUM(LARGE(HeatMap!$C$8:$AG$8,B20))),"",SUM(LARGE(HeatMap!$C$8:$AG$8,B20)))</f>
        <v>0.67900000000000005</v>
      </c>
      <c r="O20" s="60"/>
      <c r="P20" s="71">
        <v>6</v>
      </c>
      <c r="Q20" s="70">
        <f>LARGE(HeatMap!$C$2:$AG$8,P20)</f>
        <v>4.4249999999999998</v>
      </c>
      <c r="R20" s="69">
        <f>DATE(HeatMap!A2,MONTH(INDEX(HeatMap!B2:B8,_xlfn.AGGREGATE(15,6,ROW(HeatMap!B2:B8)-1/(HeatMap!C2:AG8=LARGE(HeatMap!C2:AG8,6)),1))&amp;0),_xlfn.AGGREGATE(15,6,COLUMN(HeatMap!C2:AG2)-2/(HeatMap!C2:AG8=LARGE(HeatMap!C2:AG8,6)),1))</f>
        <v>45528</v>
      </c>
      <c r="S20" s="68"/>
    </row>
    <row r="21" spans="1:31" x14ac:dyDescent="0.25">
      <c r="A21" s="83"/>
      <c r="B21" s="71">
        <v>7</v>
      </c>
      <c r="C21" s="72"/>
      <c r="D21" s="82"/>
      <c r="E21" s="81"/>
      <c r="F21" s="80"/>
      <c r="G21" s="79"/>
      <c r="H21" s="78">
        <f>IF(ISERROR(SUM(LARGE(HeatMap!$C$2:$AG$2,B21))),"",SUM(LARGE(HeatMap!$C$2:$AG$2,B21)))</f>
        <v>1.7849999999999999</v>
      </c>
      <c r="I21" s="77">
        <f>IF(ISERROR(SUM(LARGE(HeatMap!$C$3:$AG$3,B21))),"",SUM(LARGE(HeatMap!$C$3:$AG$3,B21)))</f>
        <v>3.7559999999999998</v>
      </c>
      <c r="J21" s="76">
        <f>IF(ISERROR(SUM(LARGE(HeatMap!$C$4:$AG$4,B21))),"",SUM(LARGE(HeatMap!$C$4:$AG$4,B21)))</f>
        <v>4.2960000000000003</v>
      </c>
      <c r="K21" s="75">
        <f>IF(ISERROR(SUM(LARGE(HeatMap!$C$5:$AG$5,B21))),"",SUM(LARGE(HeatMap!$C$5:$AG$5,B21)))</f>
        <v>3.3159999999999998</v>
      </c>
      <c r="L21" s="74">
        <f>IF(ISERROR(SUM(LARGE(HeatMap!$C$6:$AG$6,B21))),"",SUM(LARGE(HeatMap!$C$6:$AG$6,B21)))</f>
        <v>2.6120000000000001</v>
      </c>
      <c r="M21" s="73">
        <f>IF(ISERROR(SUM(LARGE(HeatMap!$C$7:$AG$7,B21))),"",SUM(LARGE(HeatMap!$C$7:$AG$7,B21)))</f>
        <v>1.651</v>
      </c>
      <c r="N21" s="72">
        <f>IF(ISERROR(SUM(LARGE(HeatMap!$C$8:$AG$8,B21))),"",SUM(LARGE(HeatMap!$C$8:$AG$8,B21)))</f>
        <v>0.67500000000000004</v>
      </c>
      <c r="O21" s="60"/>
      <c r="P21" s="71">
        <v>7</v>
      </c>
      <c r="Q21" s="70">
        <f>LARGE(HeatMap!$C$2:$AG$8,P21)</f>
        <v>4.4109999999999996</v>
      </c>
      <c r="R21" s="69">
        <f>DATE(HeatMap!A2,MONTH(INDEX(HeatMap!B2:B8,_xlfn.AGGREGATE(15,6,ROW(HeatMap!B2:B8)-1/(HeatMap!C2:AG8=LARGE(HeatMap!C2:AG8,7)),1))&amp;0),_xlfn.AGGREGATE(15,6,COLUMN(HeatMap!C2:AG2)-2/(HeatMap!C2:AG8=LARGE(HeatMap!C2:AG8,7)),1))</f>
        <v>45527</v>
      </c>
      <c r="S21" s="68"/>
      <c r="W21" s="67"/>
    </row>
    <row r="22" spans="1:31" x14ac:dyDescent="0.25">
      <c r="A22" s="83"/>
      <c r="B22" s="71">
        <v>8</v>
      </c>
      <c r="C22" s="72"/>
      <c r="D22" s="82"/>
      <c r="E22" s="81"/>
      <c r="F22" s="80"/>
      <c r="G22" s="79"/>
      <c r="H22" s="78">
        <f>IF(ISERROR(SUM(LARGE(HeatMap!$C$2:$AG$2,B22))),"",SUM(LARGE(HeatMap!$C$2:$AG$2,B22)))</f>
        <v>1.708</v>
      </c>
      <c r="I22" s="77">
        <f>IF(ISERROR(SUM(LARGE(HeatMap!$C$3:$AG$3,B22))),"",SUM(LARGE(HeatMap!$C$3:$AG$3,B22)))</f>
        <v>3.734</v>
      </c>
      <c r="J22" s="76">
        <f>IF(ISERROR(SUM(LARGE(HeatMap!$C$4:$AG$4,B22))),"",SUM(LARGE(HeatMap!$C$4:$AG$4,B22)))</f>
        <v>4.2670000000000003</v>
      </c>
      <c r="K22" s="75">
        <f>IF(ISERROR(SUM(LARGE(HeatMap!$C$5:$AG$5,B22))),"",SUM(LARGE(HeatMap!$C$5:$AG$5,B22)))</f>
        <v>3.2490000000000001</v>
      </c>
      <c r="L22" s="74">
        <f>IF(ISERROR(SUM(LARGE(HeatMap!$C$6:$AG$6,B22))),"",SUM(LARGE(HeatMap!$C$6:$AG$6,B22)))</f>
        <v>2.2589999999999999</v>
      </c>
      <c r="M22" s="73">
        <f>IF(ISERROR(SUM(LARGE(HeatMap!$C$7:$AG$7,B22))),"",SUM(LARGE(HeatMap!$C$7:$AG$7,B22)))</f>
        <v>1.2490000000000001</v>
      </c>
      <c r="N22" s="72">
        <f>IF(ISERROR(SUM(LARGE(HeatMap!$C$8:$AG$8,B22))),"",SUM(LARGE(HeatMap!$C$8:$AG$8,B22)))</f>
        <v>0.67500000000000004</v>
      </c>
      <c r="O22" s="60"/>
      <c r="P22" s="71">
        <v>8</v>
      </c>
      <c r="Q22" s="70">
        <f>LARGE(HeatMap!$C$2:$AG$8,P22)</f>
        <v>4.4020000000000001</v>
      </c>
      <c r="R22" s="69">
        <f>DATE(HeatMap!A2,MONTH(INDEX(HeatMap!B2:B8,_xlfn.AGGREGATE(15,6,ROW(HeatMap!B2:B8)-1/(HeatMap!C2:AG8=LARGE(HeatMap!C2:AG8,8)),1))&amp;0),_xlfn.AGGREGATE(15,6,COLUMN(HeatMap!C2:AG2)-2/(HeatMap!C2:AG8=LARGE(HeatMap!C2:AG8,8)),1))</f>
        <v>45515</v>
      </c>
      <c r="S22" s="68"/>
      <c r="W22" s="67"/>
      <c r="Y22" s="66"/>
    </row>
    <row r="23" spans="1:31" x14ac:dyDescent="0.25">
      <c r="A23" s="83"/>
      <c r="B23" s="71">
        <v>9</v>
      </c>
      <c r="C23" s="72"/>
      <c r="D23" s="82"/>
      <c r="E23" s="81"/>
      <c r="F23" s="80"/>
      <c r="G23" s="79"/>
      <c r="H23" s="78">
        <f>IF(ISERROR(SUM(LARGE(HeatMap!$C$2:$AG$2,B23))),"",SUM(LARGE(HeatMap!$C$2:$AG$2,B23)))</f>
        <v>1.522</v>
      </c>
      <c r="I23" s="77">
        <f>IF(ISERROR(SUM(LARGE(HeatMap!$C$3:$AG$3,B23))),"",SUM(LARGE(HeatMap!$C$3:$AG$3,B23)))</f>
        <v>3.6549999999999998</v>
      </c>
      <c r="J23" s="76">
        <f>IF(ISERROR(SUM(LARGE(HeatMap!$C$4:$AG$4,B23))),"",SUM(LARGE(HeatMap!$C$4:$AG$4,B23)))</f>
        <v>4.1440000000000001</v>
      </c>
      <c r="K23" s="75">
        <f>IF(ISERROR(SUM(LARGE(HeatMap!$C$5:$AG$5,B23))),"",SUM(LARGE(HeatMap!$C$5:$AG$5,B23)))</f>
        <v>3.0179999999999998</v>
      </c>
      <c r="L23" s="74">
        <f>IF(ISERROR(SUM(LARGE(HeatMap!$C$6:$AG$6,B23))),"",SUM(LARGE(HeatMap!$C$6:$AG$6,B23)))</f>
        <v>1.861</v>
      </c>
      <c r="M23" s="73">
        <f>IF(ISERROR(SUM(LARGE(HeatMap!$C$7:$AG$7,B23))),"",SUM(LARGE(HeatMap!$C$7:$AG$7,B23)))</f>
        <v>1.226</v>
      </c>
      <c r="N23" s="72">
        <f>IF(ISERROR(SUM(LARGE(HeatMap!$C$8:$AG$8,B23))),"",SUM(LARGE(HeatMap!$C$8:$AG$8,B23)))</f>
        <v>0.60799999999999998</v>
      </c>
      <c r="O23" s="60"/>
      <c r="P23" s="71">
        <v>9</v>
      </c>
      <c r="Q23" s="70">
        <f>LARGE(HeatMap!$C$2:$AG$8,P23)</f>
        <v>4.4000000000000004</v>
      </c>
      <c r="R23" s="69">
        <f>DATE(HeatMap!A2,MONTH(INDEX(HeatMap!B2:B8,_xlfn.AGGREGATE(15,6,ROW(HeatMap!B2:B8)-1/(HeatMap!C2:AG8=LARGE(HeatMap!C2:AG8,9)),1))&amp;0),_xlfn.AGGREGATE(15,6,COLUMN(HeatMap!C2:AG2)-2/(HeatMap!C2:AG8=LARGE(HeatMap!C2:AG8,9)),1))</f>
        <v>45502</v>
      </c>
      <c r="S23" s="68"/>
      <c r="W23" s="67"/>
      <c r="Y23" s="84"/>
    </row>
    <row r="24" spans="1:31" x14ac:dyDescent="0.25">
      <c r="A24" s="83"/>
      <c r="B24" s="71">
        <v>10</v>
      </c>
      <c r="C24" s="72"/>
      <c r="D24" s="82"/>
      <c r="E24" s="81"/>
      <c r="F24" s="80"/>
      <c r="G24" s="79"/>
      <c r="H24" s="78">
        <f>IF(ISERROR(SUM(LARGE(HeatMap!$C$2:$AG$2,B24))),"",SUM(LARGE(HeatMap!$C$2:$AG$2,B24)))</f>
        <v>1.3819999999999999</v>
      </c>
      <c r="I24" s="77">
        <f>IF(ISERROR(SUM(LARGE(HeatMap!$C$3:$AG$3,B24))),"",SUM(LARGE(HeatMap!$C$3:$AG$3,B24)))</f>
        <v>3.633</v>
      </c>
      <c r="J24" s="76">
        <f>IF(ISERROR(SUM(LARGE(HeatMap!$C$4:$AG$4,B24))),"",SUM(LARGE(HeatMap!$C$4:$AG$4,B24)))</f>
        <v>4.1210000000000004</v>
      </c>
      <c r="K24" s="75">
        <f>IF(ISERROR(SUM(LARGE(HeatMap!$C$5:$AG$5,B24))),"",SUM(LARGE(HeatMap!$C$5:$AG$5,B24)))</f>
        <v>2.9649999999999999</v>
      </c>
      <c r="L24" s="74">
        <f>IF(ISERROR(SUM(LARGE(HeatMap!$C$6:$AG$6,B24))),"",SUM(LARGE(HeatMap!$C$6:$AG$6,B24)))</f>
        <v>1.8360000000000001</v>
      </c>
      <c r="M24" s="73">
        <f>IF(ISERROR(SUM(LARGE(HeatMap!$C$7:$AG$7,B24))),"",SUM(LARGE(HeatMap!$C$7:$AG$7,B24)))</f>
        <v>1.1990000000000001</v>
      </c>
      <c r="N24" s="72">
        <f>IF(ISERROR(SUM(LARGE(HeatMap!$C$8:$AG$8,B24))),"",SUM(LARGE(HeatMap!$C$8:$AG$8,B24)))</f>
        <v>0.60799999999999998</v>
      </c>
      <c r="O24" s="60"/>
      <c r="P24" s="71">
        <v>10</v>
      </c>
      <c r="Q24" s="70">
        <f>LARGE(HeatMap!$C$2:$AG$8,P24)</f>
        <v>4.343</v>
      </c>
      <c r="R24" s="69">
        <f>DATE(HeatMap!A2,MONTH(INDEX(HeatMap!B2:B8,_xlfn.AGGREGATE(15,6,ROW(HeatMap!B2:B8)-1/(HeatMap!C2:AG8=LARGE(HeatMap!C2:AG8,10)),1))&amp;0),_xlfn.AGGREGATE(15,6,COLUMN(HeatMap!C2:AG2)-2/(HeatMap!C2:AG8=LARGE(HeatMap!C2:AG8,10)),1))</f>
        <v>45554</v>
      </c>
      <c r="S24" s="68"/>
      <c r="W24" s="67"/>
      <c r="Y24" s="66"/>
    </row>
    <row r="25" spans="1:31" ht="13.5" thickBot="1" x14ac:dyDescent="0.3">
      <c r="A25" s="65"/>
      <c r="B25" s="64" t="s">
        <v>3</v>
      </c>
      <c r="C25" s="63" t="str">
        <f>IF(COUNT(C15:C24)=0, "", AVERAGE(C15:C24))</f>
        <v/>
      </c>
      <c r="D25" s="63" t="str">
        <f>IF(COUNT(D15:D24)=0, "", AVERAGE(D15:D24))</f>
        <v/>
      </c>
      <c r="E25" s="63" t="str">
        <f>IF(COUNT(E15:E24)=0, "", AVERAGE(E15:E24))</f>
        <v/>
      </c>
      <c r="F25" s="63" t="str">
        <f>IF(COUNT(F15:F24)=0, "", AVERAGE(F15:F24))</f>
        <v/>
      </c>
      <c r="G25" s="63" t="str">
        <f>IF(COUNT(G15:G24)=0, "", AVERAGE(G15:G24))</f>
        <v/>
      </c>
      <c r="H25" s="63">
        <f>IF(COUNT(H15:H24)=0, "", AVERAGE(H15:H24))</f>
        <v>2.4534999999999996</v>
      </c>
      <c r="I25" s="63">
        <f>IF(COUNT(I15:I24)=0, "", AVERAGE(I15:I24))</f>
        <v>3.9390000000000009</v>
      </c>
      <c r="J25" s="63">
        <f>IF(COUNT(J15:J24)=0, "", AVERAGE(J15:J24))</f>
        <v>4.3532999999999999</v>
      </c>
      <c r="K25" s="63">
        <f>IF(COUNT(K15:K24)=0, "", AVERAGE(K15:K24))</f>
        <v>3.7744999999999989</v>
      </c>
      <c r="L25" s="63">
        <f>IF(COUNT(L15:L24)=0, "", AVERAGE(L15:L24))</f>
        <v>2.8090000000000002</v>
      </c>
      <c r="M25" s="63">
        <f>IF(COUNT(M15:M24)=0, "", AVERAGE(M15:M24))</f>
        <v>2.0548999999999999</v>
      </c>
      <c r="N25" s="63">
        <f>IF(COUNT(N15:N24)=0, "", AVERAGE(N15:N24))</f>
        <v>0.74369999999999992</v>
      </c>
      <c r="O25" s="60"/>
      <c r="P25" s="62" t="s">
        <v>3</v>
      </c>
      <c r="Q25" s="61">
        <f>IF(COUNT(Q15:Q24)=0, "", AVERAGE(Q15:Q24))</f>
        <v>4.4861000000000004</v>
      </c>
      <c r="R25" s="60"/>
    </row>
    <row r="27" spans="1:31" ht="15.5" customHeight="1" x14ac:dyDescent="0.35">
      <c r="A27" s="132"/>
      <c r="B27" s="132"/>
      <c r="C27" s="133"/>
      <c r="D27" s="134"/>
      <c r="E27" s="134"/>
      <c r="F27" s="134"/>
      <c r="G27" s="135"/>
      <c r="H27" s="135"/>
      <c r="I27" s="136"/>
      <c r="J27" s="136"/>
      <c r="K27" s="136"/>
      <c r="L27" s="137"/>
      <c r="M27" s="137"/>
      <c r="N27" s="137"/>
      <c r="O27" s="138"/>
      <c r="P27" s="138"/>
      <c r="Q27" s="138"/>
      <c r="R27" s="138"/>
      <c r="S27" s="57"/>
      <c r="V27" s="57"/>
      <c r="W27" s="57"/>
      <c r="Y27" s="57"/>
    </row>
    <row r="28" spans="1:31" ht="15.5" customHeight="1" x14ac:dyDescent="0.35">
      <c r="A28" s="132"/>
      <c r="B28" s="132"/>
      <c r="C28" s="133"/>
      <c r="D28" s="134"/>
      <c r="E28" s="134"/>
      <c r="F28" s="134"/>
      <c r="G28" s="135"/>
      <c r="H28" s="135"/>
      <c r="I28" s="136"/>
      <c r="J28" s="136"/>
      <c r="K28" s="136"/>
      <c r="L28" s="137"/>
      <c r="M28" s="137"/>
      <c r="N28" s="137"/>
      <c r="O28" s="138"/>
      <c r="P28" s="138"/>
      <c r="Q28" s="138"/>
      <c r="R28" s="138"/>
      <c r="S28" s="57"/>
      <c r="V28" s="57"/>
      <c r="W28" s="58"/>
      <c r="Y28" s="57"/>
    </row>
    <row r="29" spans="1:31" ht="15.5" customHeight="1" x14ac:dyDescent="0.25">
      <c r="A29" s="139"/>
      <c r="B29" s="139"/>
      <c r="C29" s="139"/>
      <c r="D29" s="140"/>
      <c r="E29" s="140"/>
      <c r="F29" s="139"/>
      <c r="G29" s="141"/>
      <c r="H29" s="141"/>
      <c r="I29" s="136"/>
      <c r="J29" s="136"/>
      <c r="K29" s="136"/>
      <c r="L29" s="137"/>
      <c r="M29" s="137"/>
      <c r="N29" s="137"/>
      <c r="O29" s="138"/>
      <c r="P29" s="138"/>
      <c r="Q29" s="138"/>
      <c r="R29" s="138"/>
      <c r="S29" s="57"/>
      <c r="V29" s="57"/>
      <c r="W29" s="58"/>
      <c r="Y29" s="58"/>
      <c r="Z29" s="56"/>
    </row>
    <row r="30" spans="1:31" ht="15.5" x14ac:dyDescent="0.35">
      <c r="A30" s="132"/>
      <c r="B30" s="132"/>
      <c r="C30" s="133"/>
      <c r="D30" s="142"/>
      <c r="E30" s="142"/>
      <c r="F30" s="142"/>
      <c r="G30" s="135"/>
      <c r="H30" s="135"/>
      <c r="I30" s="136"/>
      <c r="J30" s="136"/>
      <c r="K30" s="136"/>
      <c r="L30" s="137"/>
      <c r="M30" s="137"/>
      <c r="N30" s="137"/>
      <c r="O30" s="138"/>
      <c r="P30" s="138"/>
      <c r="Q30" s="138"/>
      <c r="R30" s="138"/>
      <c r="S30" s="57"/>
      <c r="V30" s="57"/>
      <c r="W30" s="58"/>
      <c r="Y30" s="58"/>
      <c r="Z30" s="59"/>
      <c r="AA30" s="59"/>
      <c r="AB30" s="59"/>
    </row>
    <row r="31" spans="1:31" ht="15.5" x14ac:dyDescent="0.25">
      <c r="A31" s="96"/>
      <c r="B31" s="96"/>
      <c r="C31" s="96"/>
      <c r="D31" s="140"/>
      <c r="E31" s="140"/>
      <c r="F31" s="96"/>
      <c r="G31" s="143"/>
      <c r="H31" s="143"/>
      <c r="I31" s="136"/>
      <c r="J31" s="136"/>
      <c r="K31" s="136"/>
      <c r="L31" s="137"/>
      <c r="M31" s="137"/>
      <c r="N31" s="137"/>
      <c r="O31" s="138"/>
      <c r="P31" s="138"/>
      <c r="Q31" s="138"/>
      <c r="R31" s="138"/>
      <c r="S31" s="57"/>
      <c r="V31" s="57"/>
      <c r="W31" s="58"/>
      <c r="Y31" s="57"/>
    </row>
    <row r="32" spans="1:31" ht="15.5" x14ac:dyDescent="0.25">
      <c r="A32" s="139"/>
      <c r="B32" s="139"/>
      <c r="C32" s="144"/>
      <c r="D32" s="140"/>
      <c r="E32" s="140"/>
      <c r="F32" s="139"/>
      <c r="G32" s="141"/>
      <c r="H32" s="141"/>
      <c r="I32" s="136"/>
      <c r="J32" s="136"/>
      <c r="K32" s="136"/>
      <c r="L32" s="137"/>
      <c r="M32" s="137"/>
      <c r="N32" s="137"/>
      <c r="O32" s="138"/>
      <c r="P32" s="138"/>
      <c r="Q32" s="138"/>
      <c r="R32" s="138"/>
      <c r="W32" s="56"/>
      <c r="Y32" s="57"/>
    </row>
    <row r="33" spans="2:25" x14ac:dyDescent="0.25">
      <c r="Y33" s="57"/>
    </row>
    <row r="34" spans="2:25" x14ac:dyDescent="0.25">
      <c r="C34" s="56"/>
    </row>
    <row r="35" spans="2:25" x14ac:dyDescent="0.25">
      <c r="B35" s="56"/>
      <c r="C35" s="56"/>
      <c r="D35" s="56"/>
      <c r="E35" s="56"/>
    </row>
    <row r="36" spans="2:25" x14ac:dyDescent="0.25">
      <c r="C36" s="56"/>
      <c r="D36" s="56"/>
      <c r="E36" s="56"/>
    </row>
    <row r="72" spans="31:31" x14ac:dyDescent="0.25">
      <c r="AE72" s="55">
        <v>35.9</v>
      </c>
    </row>
    <row r="73" spans="31:31" x14ac:dyDescent="0.25">
      <c r="AE73" s="55">
        <v>3.3000000000000002E-2</v>
      </c>
    </row>
  </sheetData>
  <mergeCells count="32">
    <mergeCell ref="A2:A12"/>
    <mergeCell ref="A15:A25"/>
    <mergeCell ref="D30:F30"/>
    <mergeCell ref="D28:F28"/>
    <mergeCell ref="D27:F27"/>
    <mergeCell ref="D29:E29"/>
    <mergeCell ref="P1:Q1"/>
    <mergeCell ref="W1:Y1"/>
    <mergeCell ref="U1:V1"/>
    <mergeCell ref="O27:R27"/>
    <mergeCell ref="G28:H28"/>
    <mergeCell ref="G27:H27"/>
    <mergeCell ref="Z30:AB30"/>
    <mergeCell ref="I27:K32"/>
    <mergeCell ref="L32:N32"/>
    <mergeCell ref="L30:N30"/>
    <mergeCell ref="O30:R30"/>
    <mergeCell ref="O31:R31"/>
    <mergeCell ref="L31:N31"/>
    <mergeCell ref="L28:N28"/>
    <mergeCell ref="L29:N29"/>
    <mergeCell ref="O28:R28"/>
    <mergeCell ref="D31:E31"/>
    <mergeCell ref="D32:E32"/>
    <mergeCell ref="G31:H31"/>
    <mergeCell ref="G32:H32"/>
    <mergeCell ref="P14:Q14"/>
    <mergeCell ref="G30:H30"/>
    <mergeCell ref="G29:H29"/>
    <mergeCell ref="O32:R32"/>
    <mergeCell ref="O29:R29"/>
    <mergeCell ref="L27:N27"/>
  </mergeCells>
  <conditionalFormatting sqref="C12:N12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:N2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">
    <cfRule type="expression" dxfId="43" priority="22">
      <formula>ISERROR(MATCH(AA14,O$15:O$24,0))=FALSE</formula>
    </cfRule>
  </conditionalFormatting>
  <conditionalFormatting sqref="Q2:Q11">
    <cfRule type="expression" dxfId="42" priority="2">
      <formula>ISERROR(MATCH(Q2,C$2:C$11,0))=FALSE</formula>
    </cfRule>
    <cfRule type="expression" dxfId="41" priority="4">
      <formula>ISERROR(MATCH(Q2,D$2:D$11,0))=FALSE</formula>
    </cfRule>
    <cfRule type="expression" dxfId="40" priority="6">
      <formula>ISERROR(MATCH(Q2,M$2:M$11,0))=FALSE</formula>
    </cfRule>
    <cfRule type="expression" dxfId="39" priority="8">
      <formula>ISERROR(MATCH(Q2,L$2:L$11,0))=FALSE</formula>
    </cfRule>
    <cfRule type="expression" dxfId="38" priority="10">
      <formula>ISERROR(MATCH(Q2,N$2:N$11,0))=FALSE</formula>
    </cfRule>
    <cfRule type="expression" dxfId="37" priority="11">
      <formula>ISERROR(MATCH(Q2,K$2:K$11,0))=FALSE</formula>
    </cfRule>
    <cfRule type="expression" dxfId="36" priority="15">
      <formula>ISERROR(MATCH(Q2,I$2:I$11,0))=FALSE</formula>
    </cfRule>
    <cfRule type="expression" dxfId="35" priority="21">
      <formula>ISERROR(MATCH(Q2,H$2:H$11,0))=FALSE</formula>
    </cfRule>
    <cfRule type="expression" dxfId="34" priority="25">
      <formula>ISERROR(MATCH(Q2,G$2:G$11,0))=FALSE</formula>
    </cfRule>
    <cfRule type="expression" dxfId="33" priority="26">
      <formula>ISERROR(MATCH(Q2,F$2:F$11,0))=FALSE</formula>
    </cfRule>
    <cfRule type="expression" dxfId="32" priority="27">
      <formula>ISERROR(MATCH(Q2,J$2:J$11,0))=FALSE</formula>
    </cfRule>
    <cfRule type="expression" dxfId="31" priority="28">
      <formula>ISERROR(MATCH(Q2,E$2:E$11,0))=FALSE</formula>
    </cfRule>
  </conditionalFormatting>
  <conditionalFormatting sqref="R2:R11">
    <cfRule type="expression" dxfId="30" priority="3">
      <formula>ISERROR(MATCH(Q2,D$2:D$11,0))=FALSE</formula>
    </cfRule>
    <cfRule type="expression" dxfId="29" priority="5">
      <formula>ISERROR(MATCH(Q2,N$2:N$11,0))=FALSE</formula>
    </cfRule>
    <cfRule type="expression" dxfId="28" priority="7">
      <formula>ISERROR(MATCH(Q2,M$2:M$11,0))=FALSE</formula>
    </cfRule>
    <cfRule type="expression" dxfId="27" priority="9">
      <formula>ISERROR(MATCH(Q2,L$2:L$11,0))=FALSE</formula>
    </cfRule>
    <cfRule type="expression" dxfId="26" priority="12">
      <formula>ISERROR(MATCH(Q2,K$2:K$11,0))=FALSE</formula>
    </cfRule>
    <cfRule type="expression" dxfId="25" priority="13">
      <formula>ISERROR(MATCH(Q2,J$2:J$11,0))=FALSE</formula>
    </cfRule>
    <cfRule type="expression" dxfId="24" priority="14">
      <formula>ISERROR(MATCH(Q2,I$2:I$11,0))=FALSE</formula>
    </cfRule>
    <cfRule type="expression" dxfId="23" priority="16">
      <formula>ISERROR(MATCH(Q2,H$2:H$11,0))=FALSE</formula>
    </cfRule>
    <cfRule type="expression" dxfId="22" priority="17">
      <formula>ISERROR(MATCH(Q2,G$2:G$11,0))=FALSE</formula>
    </cfRule>
    <cfRule type="expression" dxfId="21" priority="18">
      <formula>ISERROR(MATCH(Q2,F$2:F$11,0))=FALSE</formula>
    </cfRule>
    <cfRule type="expression" dxfId="20" priority="19">
      <formula>ISERROR(MATCH(Q2,E$2:E$11,0))=FALSE</formula>
    </cfRule>
    <cfRule type="expression" dxfId="19" priority="20">
      <formula>ISERROR(MATCH(Q2,C$2:C$11,0))=FALSE</formula>
    </cfRule>
  </conditionalFormatting>
  <conditionalFormatting sqref="W15:W19 W21:W24 D30">
    <cfRule type="expression" dxfId="18" priority="29">
      <formula>ISERROR(MATCH(D15,#REF!,0))=FALSE</formula>
    </cfRule>
    <cfRule type="expression" dxfId="17" priority="30">
      <formula>ISERROR(MATCH(D15,#REF!,0))=FALSE</formula>
    </cfRule>
  </conditionalFormatting>
  <conditionalFormatting sqref="W15">
    <cfRule type="expression" dxfId="16" priority="31">
      <formula>ISERROR(MATCH(W15,#REF!,0))=FALSE</formula>
    </cfRule>
  </conditionalFormatting>
  <conditionalFormatting sqref="AA14">
    <cfRule type="expression" dxfId="15" priority="32">
      <formula>ISERROR(MATCH(AA14,P$15:P$24,0))=FALSE</formula>
    </cfRule>
    <cfRule type="expression" dxfId="14" priority="33">
      <formula>ISERROR(MATCH(AA14,#REF!,0))=FALSE</formula>
    </cfRule>
  </conditionalFormatting>
  <conditionalFormatting sqref="Q15:Q24">
    <cfRule type="expression" dxfId="13" priority="34">
      <formula>ISERROR(MATCH(Q15,N$15:N$24,0))=FALSE</formula>
    </cfRule>
    <cfRule type="expression" dxfId="12" priority="35">
      <formula>ISERROR(MATCH(Q15,M$15:M$24,0))=FALSE</formula>
    </cfRule>
    <cfRule type="expression" dxfId="11" priority="36">
      <formula>ISERROR(MATCH(Q15,L$15:L$24,0))=FALSE</formula>
    </cfRule>
    <cfRule type="expression" dxfId="10" priority="37">
      <formula>ISERROR(MATCH(Q15,K$15:K$24,0))=FALSE</formula>
    </cfRule>
    <cfRule type="expression" dxfId="9" priority="38">
      <formula>ISERROR(MATCH(Q15,J$15:J$24,0))=FALSE</formula>
    </cfRule>
    <cfRule type="expression" dxfId="8" priority="39">
      <formula>ISERROR(MATCH(Q15,I$15:I$24,0))=FALSE</formula>
    </cfRule>
  </conditionalFormatting>
  <conditionalFormatting sqref="Q15:Q24">
    <cfRule type="expression" dxfId="7" priority="40">
      <formula>ISERROR(MATCH(Q15,H$15:H$24,0))=FALSE</formula>
    </cfRule>
  </conditionalFormatting>
  <conditionalFormatting sqref="R15:R24">
    <cfRule type="expression" dxfId="6" priority="41">
      <formula>ISERROR(MATCH(Q15,N$15:N$24,0))=FALSE</formula>
    </cfRule>
    <cfRule type="expression" dxfId="5" priority="42">
      <formula>ISERROR(MATCH(Q15,M$15:M$24,0))=FALSE</formula>
    </cfRule>
    <cfRule type="expression" dxfId="4" priority="43">
      <formula>ISERROR(MATCH(Q15,L$15:L$24,0))=FALSE</formula>
    </cfRule>
    <cfRule type="expression" dxfId="3" priority="44">
      <formula>ISERROR(MATCH(Q15,K$15:K$24,0))=FALSE</formula>
    </cfRule>
    <cfRule type="expression" dxfId="2" priority="45">
      <formula>ISERROR(MATCH(Q15,J$15:J$24,0))=FALSE</formula>
    </cfRule>
    <cfRule type="expression" dxfId="1" priority="46">
      <formula>ISERROR(MATCH(Q15,H$15:H$24,0))=FALSE</formula>
    </cfRule>
    <cfRule type="expression" dxfId="0" priority="47">
      <formula>ISERROR(MATCH(Q15,I$15:I$24,0))=FALSE</formula>
    </cfRule>
  </conditionalFormatting>
  <conditionalFormatting sqref="C25:G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9685039370078741" right="3.937007874015748E-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HeatMap</vt:lpstr>
      <vt:lpstr>TopSol</vt:lpstr>
      <vt:lpstr>HeatMap!Druckbereich</vt:lpstr>
      <vt:lpstr>TopSol!Druckbereich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</dc:creator>
  <cp:lastModifiedBy>Holger</cp:lastModifiedBy>
  <dcterms:created xsi:type="dcterms:W3CDTF">2025-03-14T21:49:01Z</dcterms:created>
  <dcterms:modified xsi:type="dcterms:W3CDTF">2025-03-14T22:37:10Z</dcterms:modified>
</cp:coreProperties>
</file>