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ie-my.sharepoint.com/personal/udo_baranski_spie_de/Documents/Documents/Für Forum/"/>
    </mc:Choice>
  </mc:AlternateContent>
  <xr:revisionPtr revIDLastSave="0" documentId="8_{D8D0B3B2-B9A6-4CE4-9802-ED4B70E06DE2}" xr6:coauthVersionLast="47" xr6:coauthVersionMax="47" xr10:uidLastSave="{00000000-0000-0000-0000-000000000000}"/>
  <bookViews>
    <workbookView xWindow="-57720" yWindow="-120" windowWidth="29040" windowHeight="15720" xr2:uid="{D62BC5C9-F9D7-49CA-A8FB-BC8E010B4962}"/>
  </bookViews>
  <sheets>
    <sheet name="Mast Grube Multi3,5B" sheetId="1" r:id="rId1"/>
  </sheets>
  <externalReferences>
    <externalReference r:id="rId2"/>
    <externalReference r:id="rId3"/>
  </externalReferences>
  <definedNames>
    <definedName name="BrBi1">#REF!</definedName>
    <definedName name="BrBi2">#REF!</definedName>
    <definedName name="BrBi3">#REF!</definedName>
    <definedName name="BrBi4">#REF!</definedName>
    <definedName name="BrBi5">#REF!</definedName>
    <definedName name="BrBi6">#REF!</definedName>
    <definedName name="BrBi789">#REF!</definedName>
    <definedName name="BreiteGraben1">#REF!</definedName>
    <definedName name="BreiteGraben2">#REF!</definedName>
    <definedName name="BreiteGraben3">#REF!</definedName>
    <definedName name="BreiteGraben4">#REF!</definedName>
    <definedName name="BreiteGraben5">#REF!</definedName>
    <definedName name="BreiteGraben6">#REF!</definedName>
    <definedName name="BreiteGraben7">#REF!</definedName>
    <definedName name="BreiteGraben8">#REF!</definedName>
    <definedName name="BreiteGraben9">#REF!</definedName>
    <definedName name="BreiteMuffe1">#REF!</definedName>
    <definedName name="BreiteMuffe2">#REF!</definedName>
    <definedName name="BreiteMuffe3">#REF!</definedName>
    <definedName name="BreiteMuffe4">#REF!</definedName>
    <definedName name="BreiteMuffe5">#REF!</definedName>
    <definedName name="BreiteMuffe6">#REF!</definedName>
    <definedName name="BreiteMuffe7">#REF!</definedName>
    <definedName name="BreiteMuffe8">#REF!</definedName>
    <definedName name="BreiteMuffe9">#REF!</definedName>
    <definedName name="_xlnm.Print_Area" localSheetId="0">'Mast Grube Multi3,5B'!$A$1:$J$143</definedName>
    <definedName name="KanteGraben1">#REF!</definedName>
    <definedName name="KanteGraben2">#REF!</definedName>
    <definedName name="KanteGraben3">#REF!</definedName>
    <definedName name="KanteGraben4">#REF!</definedName>
    <definedName name="KanteGraben5">#REF!</definedName>
    <definedName name="KanteGraben6">#REF!</definedName>
    <definedName name="KanteGraben7">#REF!</definedName>
    <definedName name="KanteGraben8">#REF!</definedName>
    <definedName name="KanteGraben9">#REF!</definedName>
    <definedName name="KanteMuffengrube1">#REF!</definedName>
    <definedName name="KanteMuffengrube2">#REF!</definedName>
    <definedName name="KanteMuffengrube3">#REF!</definedName>
    <definedName name="KanteMuffengrube4">#REF!</definedName>
    <definedName name="KanteMuffengrube5">#REF!</definedName>
    <definedName name="KanteMuffengrube6">#REF!</definedName>
    <definedName name="KanteMuffengrube7">#REF!</definedName>
    <definedName name="KanteMuffengrube8">#REF!</definedName>
    <definedName name="KanteMuffengrube9">#REF!</definedName>
    <definedName name="LäBi1">#REF!</definedName>
    <definedName name="LäBi2">#REF!</definedName>
    <definedName name="LäBi3">#REF!</definedName>
    <definedName name="LäBi4">#REF!</definedName>
    <definedName name="LäBi5">#REF!</definedName>
    <definedName name="LäBi6">#REF!</definedName>
    <definedName name="LäBi7">#REF!</definedName>
    <definedName name="LäBi8">#REF!</definedName>
    <definedName name="LäBi9">#REF!</definedName>
    <definedName name="LängeGraben1">#REF!</definedName>
    <definedName name="LängeGraben2">#REF!</definedName>
    <definedName name="LängeGraben3">#REF!</definedName>
    <definedName name="LängeGraben4">#REF!</definedName>
    <definedName name="LängeGraben5">#REF!</definedName>
    <definedName name="LängeGraben6">#REF!</definedName>
    <definedName name="LängeGraben7">#REF!</definedName>
    <definedName name="LängeGraben8">#REF!</definedName>
    <definedName name="LängeGraben9">#REF!</definedName>
    <definedName name="LängeMuffe1">#REF!</definedName>
    <definedName name="LängeMuffe2">#REF!</definedName>
    <definedName name="LängeMuffe3">#REF!</definedName>
    <definedName name="LängeMuffe4">#REF!</definedName>
    <definedName name="LängeMuffe5">#REF!</definedName>
    <definedName name="LängeMuffe6">#REF!</definedName>
    <definedName name="LängeMuffe7">#REF!</definedName>
    <definedName name="LängeMuffe8">#REF!</definedName>
    <definedName name="LängeMuffe9">#REF!</definedName>
    <definedName name="LängeMuffenloch2">#REF!</definedName>
    <definedName name="LGraben1">#REF!</definedName>
    <definedName name="LGraben2">#REF!</definedName>
    <definedName name="LGraben3">#REF!</definedName>
    <definedName name="LGraben4">#REF!</definedName>
    <definedName name="LGraben5">#REF!</definedName>
    <definedName name="LGraben6">#REF!</definedName>
    <definedName name="LGraben7">#REF!</definedName>
    <definedName name="LGraben8">#REF!</definedName>
    <definedName name="LGraben9">#REF!</definedName>
    <definedName name="Lichtp">#REF!</definedName>
    <definedName name="LSandbett1">#REF!</definedName>
    <definedName name="LSandbett2">#REF!</definedName>
    <definedName name="LSandbett3">#REF!</definedName>
    <definedName name="LSandbett4">#REF!</definedName>
    <definedName name="LSandbett5">#REF!</definedName>
    <definedName name="LSandbett6">#REF!</definedName>
    <definedName name="LSandbett7">#REF!</definedName>
    <definedName name="LSandbett8">#REF!</definedName>
    <definedName name="LSandbett9">#REF!</definedName>
    <definedName name="MaBi1">#REF!</definedName>
    <definedName name="MaBi2">#REF!</definedName>
    <definedName name="MaBi3">#REF!</definedName>
    <definedName name="MaBi4">#REF!</definedName>
    <definedName name="MaBi5">#REF!</definedName>
    <definedName name="MaBi6">#REF!</definedName>
    <definedName name="MaBi7">#REF!</definedName>
    <definedName name="MaBi8">#REF!</definedName>
    <definedName name="MaBi9">#REF!</definedName>
    <definedName name="MastMuffenloch1">#REF!</definedName>
    <definedName name="MastMuffenloch2">#REF!</definedName>
    <definedName name="MastMuffenloch3">#REF!</definedName>
    <definedName name="MastMuffenloch4">#REF!</definedName>
    <definedName name="MastMuffenloch5">#REF!</definedName>
    <definedName name="MastMuffenloch6">#REF!</definedName>
    <definedName name="MastMuffenloch7">#REF!</definedName>
    <definedName name="MastMuffenloch8">#REF!</definedName>
    <definedName name="MastMuffenloch9">#REF!</definedName>
    <definedName name="MastRandstein1">#REF!</definedName>
    <definedName name="MastRandstein2">#REF!</definedName>
    <definedName name="MastRandstein3">#REF!</definedName>
    <definedName name="MastRandstein4">#REF!</definedName>
    <definedName name="MastRandstein5">#REF!</definedName>
    <definedName name="MastRandstein6">#REF!</definedName>
    <definedName name="MastRandstein7">#REF!</definedName>
    <definedName name="MastRandstein8">#REF!</definedName>
    <definedName name="MastRandstein9">#REF!</definedName>
    <definedName name="MlBi">#REF!</definedName>
    <definedName name="ObBi1">#REF!</definedName>
    <definedName name="ObBi2">#REF!</definedName>
    <definedName name="ObBi3">#REF!</definedName>
    <definedName name="ObBi4">#REF!</definedName>
    <definedName name="ObBi5">#REF!</definedName>
    <definedName name="ObBi6">#REF!</definedName>
    <definedName name="ObBi7">#REF!</definedName>
    <definedName name="ObBi8">#REF!</definedName>
    <definedName name="ObBi9">#REF!</definedName>
    <definedName name="PflasterT">#REF!</definedName>
    <definedName name="RaBi1">#REF!</definedName>
    <definedName name="RaBi2">#REF!</definedName>
    <definedName name="RaBi3">#REF!</definedName>
    <definedName name="RaBi4">#REF!</definedName>
    <definedName name="RaBi5">#REF!</definedName>
    <definedName name="RaBi6">#REF!</definedName>
    <definedName name="RaBi7">#REF!</definedName>
    <definedName name="RaBi8">#REF!</definedName>
    <definedName name="RaBi9">#REF!</definedName>
    <definedName name="TiBi1">#REF!</definedName>
    <definedName name="TiBi2">#REF!</definedName>
    <definedName name="TiBi3">#REF!</definedName>
    <definedName name="TiBi4">#REF!</definedName>
    <definedName name="TiBi5">#REF!</definedName>
    <definedName name="TiBi6">#REF!</definedName>
    <definedName name="TiBi7">#REF!</definedName>
    <definedName name="TiBi8">#REF!</definedName>
    <definedName name="TiBi9">#REF!</definedName>
    <definedName name="TiefeGraben1">#REF!</definedName>
    <definedName name="TiefeGraben2">#REF!</definedName>
    <definedName name="TiefeGraben3">#REF!</definedName>
    <definedName name="TiefeGraben4">#REF!</definedName>
    <definedName name="TiefeGraben5">#REF!</definedName>
    <definedName name="TiefeGraben6">#REF!</definedName>
    <definedName name="TiefeGraben7">#REF!</definedName>
    <definedName name="TiefeGraben8">#REF!</definedName>
    <definedName name="TiefeGraben9">#REF!</definedName>
    <definedName name="TiefeMuffe1">#REF!</definedName>
    <definedName name="TiefeMuffe2">#REF!</definedName>
    <definedName name="TiefeMuffe3">#REF!</definedName>
    <definedName name="TiefeMuffe4">#REF!</definedName>
    <definedName name="TiefeMuffe5">#REF!</definedName>
    <definedName name="TiefeMuffe6">#REF!</definedName>
    <definedName name="TiefeMuffe7">#REF!</definedName>
    <definedName name="TiefeMuffe8">#REF!</definedName>
    <definedName name="TiefeMuffe9">#REF!</definedName>
    <definedName name="WasBi1">#REF!</definedName>
    <definedName name="WasBi2">#REF!</definedName>
    <definedName name="WasBi3">#REF!</definedName>
    <definedName name="WasBi4">#REF!</definedName>
    <definedName name="WasBi5">#REF!</definedName>
    <definedName name="WasBi6">#REF!</definedName>
    <definedName name="WasBi7">#REF!</definedName>
    <definedName name="WasBi8">#REF!</definedName>
    <definedName name="WasBi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3" i="1" l="1"/>
  <c r="C142" i="1"/>
  <c r="J140" i="1"/>
  <c r="I140" i="1"/>
  <c r="G140" i="1"/>
  <c r="F140" i="1"/>
  <c r="C140" i="1"/>
  <c r="H140" i="1" s="1"/>
  <c r="J139" i="1"/>
  <c r="I139" i="1"/>
  <c r="H139" i="1"/>
  <c r="G139" i="1"/>
  <c r="F139" i="1"/>
  <c r="C139" i="1"/>
  <c r="J138" i="1"/>
  <c r="I138" i="1"/>
  <c r="G138" i="1"/>
  <c r="F138" i="1"/>
  <c r="C138" i="1"/>
  <c r="H138" i="1" s="1"/>
  <c r="J137" i="1"/>
  <c r="I137" i="1"/>
  <c r="H137" i="1"/>
  <c r="G137" i="1"/>
  <c r="F137" i="1"/>
  <c r="C137" i="1"/>
  <c r="J136" i="1"/>
  <c r="I136" i="1"/>
  <c r="G136" i="1"/>
  <c r="F136" i="1"/>
  <c r="C136" i="1"/>
  <c r="H136" i="1" s="1"/>
  <c r="M135" i="1"/>
  <c r="J135" i="1"/>
  <c r="I135" i="1"/>
  <c r="H135" i="1"/>
  <c r="G135" i="1"/>
  <c r="F135" i="1"/>
  <c r="C135" i="1"/>
  <c r="J134" i="1"/>
  <c r="I134" i="1"/>
  <c r="G134" i="1"/>
  <c r="H134" i="1" s="1"/>
  <c r="F134" i="1"/>
  <c r="C134" i="1"/>
  <c r="J133" i="1"/>
  <c r="I133" i="1"/>
  <c r="G133" i="1"/>
  <c r="H133" i="1" s="1"/>
  <c r="F133" i="1"/>
  <c r="C133" i="1"/>
  <c r="J132" i="1"/>
  <c r="I132" i="1"/>
  <c r="G132" i="1"/>
  <c r="H132" i="1" s="1"/>
  <c r="F132" i="1"/>
  <c r="C132" i="1"/>
  <c r="J131" i="1"/>
  <c r="I131" i="1"/>
  <c r="G131" i="1"/>
  <c r="H131" i="1" s="1"/>
  <c r="F131" i="1"/>
  <c r="C131" i="1"/>
  <c r="J130" i="1"/>
  <c r="I130" i="1"/>
  <c r="G130" i="1"/>
  <c r="H130" i="1" s="1"/>
  <c r="F130" i="1"/>
  <c r="C130" i="1"/>
  <c r="J129" i="1"/>
  <c r="I129" i="1"/>
  <c r="G129" i="1"/>
  <c r="H129" i="1" s="1"/>
  <c r="F129" i="1"/>
  <c r="C129" i="1"/>
  <c r="J128" i="1"/>
  <c r="I128" i="1"/>
  <c r="G128" i="1"/>
  <c r="H128" i="1" s="1"/>
  <c r="F128" i="1"/>
  <c r="C128" i="1"/>
  <c r="J127" i="1"/>
  <c r="I127" i="1"/>
  <c r="G127" i="1"/>
  <c r="H127" i="1" s="1"/>
  <c r="F127" i="1"/>
  <c r="C127" i="1"/>
  <c r="J126" i="1"/>
  <c r="I126" i="1"/>
  <c r="G126" i="1"/>
  <c r="H126" i="1" s="1"/>
  <c r="F126" i="1"/>
  <c r="C126" i="1"/>
  <c r="J125" i="1"/>
  <c r="I125" i="1"/>
  <c r="G125" i="1"/>
  <c r="H125" i="1" s="1"/>
  <c r="F125" i="1"/>
  <c r="C125" i="1"/>
  <c r="J124" i="1"/>
  <c r="I124" i="1"/>
  <c r="G124" i="1"/>
  <c r="H124" i="1" s="1"/>
  <c r="F124" i="1"/>
  <c r="C124" i="1"/>
  <c r="J123" i="1"/>
  <c r="I123" i="1"/>
  <c r="G123" i="1"/>
  <c r="H123" i="1" s="1"/>
  <c r="F123" i="1"/>
  <c r="C123" i="1"/>
  <c r="J122" i="1"/>
  <c r="I122" i="1"/>
  <c r="G122" i="1"/>
  <c r="H122" i="1" s="1"/>
  <c r="F122" i="1"/>
  <c r="C122" i="1"/>
  <c r="I121" i="1"/>
  <c r="G121" i="1"/>
  <c r="F121" i="1"/>
  <c r="J120" i="1"/>
  <c r="I120" i="1"/>
  <c r="G120" i="1"/>
  <c r="H120" i="1" s="1"/>
  <c r="F120" i="1"/>
  <c r="C120" i="1"/>
  <c r="J119" i="1"/>
  <c r="I119" i="1"/>
  <c r="G119" i="1"/>
  <c r="H119" i="1" s="1"/>
  <c r="F119" i="1"/>
  <c r="C119" i="1"/>
  <c r="J118" i="1"/>
  <c r="J117" i="1"/>
  <c r="I117" i="1"/>
  <c r="H117" i="1"/>
  <c r="G117" i="1"/>
  <c r="F117" i="1"/>
  <c r="J116" i="1"/>
  <c r="J115" i="1"/>
  <c r="I115" i="1"/>
  <c r="H115" i="1"/>
  <c r="G115" i="1"/>
  <c r="F115" i="1"/>
  <c r="J114" i="1"/>
  <c r="I114" i="1"/>
  <c r="H114" i="1"/>
  <c r="G114" i="1"/>
  <c r="F114" i="1"/>
  <c r="J113" i="1"/>
  <c r="I113" i="1"/>
  <c r="H113" i="1"/>
  <c r="G113" i="1"/>
  <c r="F113" i="1"/>
  <c r="J112" i="1"/>
  <c r="I111" i="1"/>
  <c r="H111" i="1"/>
  <c r="G111" i="1"/>
  <c r="F111" i="1"/>
  <c r="J110" i="1"/>
  <c r="I110" i="1"/>
  <c r="G110" i="1"/>
  <c r="F110" i="1"/>
  <c r="C110" i="1"/>
  <c r="H110" i="1" s="1"/>
  <c r="J109" i="1"/>
  <c r="I109" i="1"/>
  <c r="G109" i="1"/>
  <c r="F109" i="1"/>
  <c r="C109" i="1"/>
  <c r="H109" i="1" s="1"/>
  <c r="J108" i="1"/>
  <c r="I108" i="1"/>
  <c r="G108" i="1"/>
  <c r="F108" i="1"/>
  <c r="C108" i="1"/>
  <c r="H108" i="1" s="1"/>
  <c r="J107" i="1"/>
  <c r="J111" i="1" s="1"/>
  <c r="C121" i="1" s="1"/>
  <c r="I107" i="1"/>
  <c r="G107" i="1"/>
  <c r="F107" i="1"/>
  <c r="C107" i="1"/>
  <c r="H107" i="1" s="1"/>
  <c r="J106" i="1"/>
  <c r="J105" i="1"/>
  <c r="I105" i="1"/>
  <c r="H105" i="1"/>
  <c r="G105" i="1"/>
  <c r="F105" i="1"/>
  <c r="J104" i="1"/>
  <c r="I104" i="1"/>
  <c r="H104" i="1"/>
  <c r="G104" i="1"/>
  <c r="F104" i="1"/>
  <c r="J103" i="1"/>
  <c r="I103" i="1"/>
  <c r="H103" i="1"/>
  <c r="G103" i="1"/>
  <c r="F103" i="1"/>
  <c r="J102" i="1"/>
  <c r="I102" i="1"/>
  <c r="H102" i="1"/>
  <c r="G102" i="1"/>
  <c r="F102" i="1"/>
  <c r="J101" i="1"/>
  <c r="I101" i="1"/>
  <c r="H101" i="1"/>
  <c r="G101" i="1"/>
  <c r="F101" i="1"/>
  <c r="J100" i="1"/>
  <c r="I100" i="1"/>
  <c r="H100" i="1"/>
  <c r="G100" i="1"/>
  <c r="F100" i="1"/>
  <c r="J99" i="1"/>
  <c r="I99" i="1"/>
  <c r="H99" i="1"/>
  <c r="G99" i="1"/>
  <c r="F99" i="1"/>
  <c r="J98" i="1"/>
  <c r="I98" i="1"/>
  <c r="H98" i="1"/>
  <c r="G98" i="1"/>
  <c r="F98" i="1"/>
  <c r="J97" i="1"/>
  <c r="J96" i="1"/>
  <c r="I96" i="1"/>
  <c r="G96" i="1"/>
  <c r="F96" i="1"/>
  <c r="C96" i="1"/>
  <c r="H96" i="1" s="1"/>
  <c r="J95" i="1"/>
  <c r="I95" i="1"/>
  <c r="G95" i="1"/>
  <c r="F95" i="1"/>
  <c r="C95" i="1"/>
  <c r="H95" i="1" s="1"/>
  <c r="J94" i="1"/>
  <c r="I94" i="1"/>
  <c r="G94" i="1"/>
  <c r="F94" i="1"/>
  <c r="C94" i="1"/>
  <c r="H94" i="1" s="1"/>
  <c r="J93" i="1"/>
  <c r="I93" i="1"/>
  <c r="G93" i="1"/>
  <c r="F93" i="1"/>
  <c r="C93" i="1"/>
  <c r="H93" i="1" s="1"/>
  <c r="J92" i="1"/>
  <c r="I92" i="1"/>
  <c r="G92" i="1"/>
  <c r="F92" i="1"/>
  <c r="C92" i="1"/>
  <c r="H92" i="1" s="1"/>
  <c r="J91" i="1"/>
  <c r="I91" i="1"/>
  <c r="G91" i="1"/>
  <c r="F91" i="1"/>
  <c r="C91" i="1"/>
  <c r="H91" i="1" s="1"/>
  <c r="R90" i="1"/>
  <c r="I90" i="1"/>
  <c r="G90" i="1"/>
  <c r="F90" i="1"/>
  <c r="C90" i="1"/>
  <c r="J90" i="1" s="1"/>
  <c r="S89" i="1"/>
  <c r="Q89" i="1"/>
  <c r="J89" i="1"/>
  <c r="I89" i="1"/>
  <c r="G89" i="1"/>
  <c r="H89" i="1" s="1"/>
  <c r="F89" i="1"/>
  <c r="C89" i="1"/>
  <c r="O88" i="1"/>
  <c r="I88" i="1"/>
  <c r="G88" i="1"/>
  <c r="F88" i="1"/>
  <c r="C88" i="1"/>
  <c r="J88" i="1" s="1"/>
  <c r="R87" i="1"/>
  <c r="S87" i="1" s="1"/>
  <c r="S88" i="1" s="1"/>
  <c r="I87" i="1"/>
  <c r="G87" i="1"/>
  <c r="F87" i="1"/>
  <c r="C87" i="1"/>
  <c r="J87" i="1" s="1"/>
  <c r="I86" i="1"/>
  <c r="H86" i="1"/>
  <c r="G86" i="1"/>
  <c r="F86" i="1"/>
  <c r="C86" i="1"/>
  <c r="J86" i="1" s="1"/>
  <c r="I85" i="1"/>
  <c r="G85" i="1"/>
  <c r="F85" i="1"/>
  <c r="C85" i="1"/>
  <c r="J85" i="1" s="1"/>
  <c r="J84" i="1"/>
  <c r="I83" i="1"/>
  <c r="H83" i="1"/>
  <c r="G83" i="1"/>
  <c r="F83" i="1"/>
  <c r="C83" i="1"/>
  <c r="J83" i="1" s="1"/>
  <c r="I82" i="1"/>
  <c r="G82" i="1"/>
  <c r="F82" i="1"/>
  <c r="C82" i="1"/>
  <c r="J82" i="1" s="1"/>
  <c r="J81" i="1"/>
  <c r="I81" i="1"/>
  <c r="G81" i="1"/>
  <c r="F81" i="1"/>
  <c r="C81" i="1"/>
  <c r="H81" i="1" s="1"/>
  <c r="I80" i="1"/>
  <c r="G80" i="1"/>
  <c r="F80" i="1"/>
  <c r="C80" i="1"/>
  <c r="J80" i="1" s="1"/>
  <c r="J79" i="1"/>
  <c r="I79" i="1"/>
  <c r="H79" i="1"/>
  <c r="G79" i="1"/>
  <c r="F79" i="1"/>
  <c r="J78" i="1"/>
  <c r="I78" i="1"/>
  <c r="H78" i="1"/>
  <c r="G78" i="1"/>
  <c r="F78" i="1"/>
  <c r="J77" i="1"/>
  <c r="I77" i="1"/>
  <c r="H77" i="1"/>
  <c r="G77" i="1"/>
  <c r="F77" i="1"/>
  <c r="C77" i="1"/>
  <c r="I76" i="1"/>
  <c r="G76" i="1"/>
  <c r="F76" i="1"/>
  <c r="C76" i="1"/>
  <c r="J76" i="1" s="1"/>
  <c r="O75" i="1"/>
  <c r="O80" i="1" s="1"/>
  <c r="O72" i="1" s="1"/>
  <c r="J75" i="1"/>
  <c r="I75" i="1"/>
  <c r="G75" i="1"/>
  <c r="F75" i="1"/>
  <c r="C75" i="1"/>
  <c r="H75" i="1" s="1"/>
  <c r="J74" i="1"/>
  <c r="I74" i="1"/>
  <c r="G74" i="1"/>
  <c r="F74" i="1"/>
  <c r="C74" i="1"/>
  <c r="H74" i="1" s="1"/>
  <c r="I73" i="1"/>
  <c r="G73" i="1"/>
  <c r="F73" i="1"/>
  <c r="C73" i="1"/>
  <c r="J73" i="1" s="1"/>
  <c r="I68" i="1"/>
  <c r="G68" i="1"/>
  <c r="F68" i="1"/>
  <c r="O67" i="1"/>
  <c r="I67" i="1"/>
  <c r="G67" i="1"/>
  <c r="F67" i="1"/>
  <c r="I66" i="1"/>
  <c r="G66" i="1"/>
  <c r="F66" i="1"/>
  <c r="I65" i="1"/>
  <c r="G65" i="1"/>
  <c r="F65" i="1"/>
  <c r="I64" i="1"/>
  <c r="G64" i="1"/>
  <c r="F64" i="1"/>
  <c r="I63" i="1"/>
  <c r="G63" i="1"/>
  <c r="F63" i="1"/>
  <c r="J62" i="1"/>
  <c r="I62" i="1"/>
  <c r="H62" i="1"/>
  <c r="G62" i="1"/>
  <c r="F62" i="1"/>
  <c r="J61" i="1"/>
  <c r="I61" i="1"/>
  <c r="H61" i="1"/>
  <c r="G61" i="1"/>
  <c r="F61" i="1"/>
  <c r="J60" i="1"/>
  <c r="I60" i="1"/>
  <c r="H60" i="1"/>
  <c r="G60" i="1"/>
  <c r="F60" i="1"/>
  <c r="I59" i="1"/>
  <c r="G59" i="1"/>
  <c r="F59" i="1"/>
  <c r="I58" i="1"/>
  <c r="G58" i="1"/>
  <c r="F58" i="1"/>
  <c r="I57" i="1"/>
  <c r="G57" i="1"/>
  <c r="F57" i="1"/>
  <c r="J56" i="1"/>
  <c r="I56" i="1"/>
  <c r="G56" i="1"/>
  <c r="F56" i="1"/>
  <c r="C56" i="1"/>
  <c r="C59" i="1" s="1"/>
  <c r="I55" i="1"/>
  <c r="G55" i="1"/>
  <c r="F55" i="1"/>
  <c r="C55" i="1"/>
  <c r="J55" i="1" s="1"/>
  <c r="M40" i="1"/>
  <c r="D40" i="1"/>
  <c r="D39" i="1"/>
  <c r="D38" i="1"/>
  <c r="D37" i="1"/>
  <c r="D36" i="1"/>
  <c r="AJ34" i="1"/>
  <c r="X34" i="1"/>
  <c r="AJ33" i="1"/>
  <c r="AH33" i="1"/>
  <c r="X33" i="1"/>
  <c r="AJ32" i="1"/>
  <c r="AH32" i="1"/>
  <c r="X32" i="1"/>
  <c r="BD31" i="1"/>
  <c r="AJ31" i="1"/>
  <c r="AH31" i="1"/>
  <c r="X31" i="1"/>
  <c r="AU30" i="1"/>
  <c r="AQ30" i="1"/>
  <c r="AJ30" i="1"/>
  <c r="AH30" i="1"/>
  <c r="R30" i="1"/>
  <c r="BF29" i="1"/>
  <c r="BC29" i="1"/>
  <c r="AS29" i="1"/>
  <c r="AR29" i="1"/>
  <c r="AU28" i="1"/>
  <c r="AU29" i="1" s="1"/>
  <c r="AT28" i="1"/>
  <c r="AT30" i="1" s="1"/>
  <c r="AS28" i="1"/>
  <c r="AS30" i="1" s="1"/>
  <c r="AR28" i="1"/>
  <c r="AR30" i="1" s="1"/>
  <c r="AQ28" i="1"/>
  <c r="AQ29" i="1" s="1"/>
  <c r="BB27" i="1"/>
  <c r="BA27" i="1"/>
  <c r="AZ27" i="1"/>
  <c r="AY27" i="1"/>
  <c r="AX27" i="1"/>
  <c r="AH27" i="1"/>
  <c r="AE27" i="1"/>
  <c r="BB26" i="1"/>
  <c r="BA26" i="1"/>
  <c r="AZ26" i="1"/>
  <c r="AY26" i="1"/>
  <c r="AX26" i="1"/>
  <c r="BB25" i="1"/>
  <c r="BA25" i="1"/>
  <c r="AZ25" i="1"/>
  <c r="AY25" i="1"/>
  <c r="AX25" i="1"/>
  <c r="BB24" i="1"/>
  <c r="BA24" i="1"/>
  <c r="AZ24" i="1"/>
  <c r="AY24" i="1"/>
  <c r="AX24" i="1"/>
  <c r="N24" i="1"/>
  <c r="M60" i="1" s="1"/>
  <c r="M24" i="1"/>
  <c r="AG27" i="1" s="1"/>
  <c r="BB23" i="1"/>
  <c r="BA23" i="1"/>
  <c r="AZ23" i="1"/>
  <c r="AY23" i="1"/>
  <c r="AX23" i="1"/>
  <c r="BB22" i="1"/>
  <c r="BA22" i="1"/>
  <c r="AZ22" i="1"/>
  <c r="AY22" i="1"/>
  <c r="AX22" i="1"/>
  <c r="BB21" i="1"/>
  <c r="BA21" i="1"/>
  <c r="AZ21" i="1"/>
  <c r="AY21" i="1"/>
  <c r="AX21" i="1"/>
  <c r="Q21" i="1"/>
  <c r="N21" i="1"/>
  <c r="BB20" i="1"/>
  <c r="BA20" i="1"/>
  <c r="AZ20" i="1"/>
  <c r="AY20" i="1"/>
  <c r="AX20" i="1"/>
  <c r="BB19" i="1"/>
  <c r="BA19" i="1"/>
  <c r="AZ19" i="1"/>
  <c r="AY19" i="1"/>
  <c r="AX19" i="1"/>
  <c r="AU17" i="1"/>
  <c r="AT17" i="1"/>
  <c r="AS17" i="1"/>
  <c r="AR17" i="1"/>
  <c r="AQ17" i="1"/>
  <c r="AJ17" i="1"/>
  <c r="X17" i="1"/>
  <c r="AU16" i="1"/>
  <c r="AT16" i="1"/>
  <c r="AS16" i="1"/>
  <c r="AR16" i="1"/>
  <c r="AQ16" i="1"/>
  <c r="X16" i="1"/>
  <c r="O16" i="1"/>
  <c r="N16" i="1"/>
  <c r="BF15" i="1"/>
  <c r="AU15" i="1"/>
  <c r="AT15" i="1"/>
  <c r="AR15" i="1"/>
  <c r="AQ15" i="1"/>
  <c r="AA15" i="1"/>
  <c r="Y15" i="1"/>
  <c r="X15" i="1"/>
  <c r="X12" i="1"/>
  <c r="Y17" i="1" s="1"/>
  <c r="AA17" i="1" s="1"/>
  <c r="G12" i="1"/>
  <c r="AO11" i="1"/>
  <c r="AS15" i="1" s="1"/>
  <c r="Q11" i="1"/>
  <c r="BU10" i="1"/>
  <c r="AO10" i="1"/>
  <c r="AH10" i="1"/>
  <c r="AD10" i="1"/>
  <c r="Z10" i="1"/>
  <c r="X10" i="1"/>
  <c r="Y16" i="1" s="1"/>
  <c r="AD16" i="1" s="1"/>
  <c r="BU9" i="1"/>
  <c r="BU15" i="1" s="1"/>
  <c r="AP8" i="1"/>
  <c r="AE8" i="1"/>
  <c r="AC8" i="1"/>
  <c r="X8" i="1"/>
  <c r="AD9" i="1" s="1"/>
  <c r="N8" i="1"/>
  <c r="BC15" i="1" s="1"/>
  <c r="M8" i="1"/>
  <c r="BC7" i="1"/>
  <c r="V7" i="1"/>
  <c r="I7" i="1"/>
  <c r="Y6" i="1" s="1"/>
  <c r="C7" i="1"/>
  <c r="AO9" i="1" s="1"/>
  <c r="BC9" i="1" s="1"/>
  <c r="BC6" i="1"/>
  <c r="AT6" i="1"/>
  <c r="AS6" i="1"/>
  <c r="G6" i="1"/>
  <c r="M19" i="1" s="1"/>
  <c r="BC5" i="1"/>
  <c r="AS5" i="1"/>
  <c r="AR5" i="1"/>
  <c r="AP5" i="1"/>
  <c r="BC10" i="1" s="1"/>
  <c r="O5" i="1"/>
  <c r="G5" i="1"/>
  <c r="AE22" i="1" s="1"/>
  <c r="C5" i="1"/>
  <c r="AT4" i="1"/>
  <c r="AS4" i="1"/>
  <c r="AR4" i="1"/>
  <c r="AT5" i="1" s="1"/>
  <c r="AP4" i="1"/>
  <c r="AD4" i="1"/>
  <c r="O4" i="1"/>
  <c r="O68" i="1" s="1"/>
  <c r="C2" i="1"/>
  <c r="N19" i="1" l="1"/>
  <c r="R8" i="1"/>
  <c r="O20" i="1"/>
  <c r="Y26" i="1"/>
  <c r="Y24" i="1"/>
  <c r="J59" i="1"/>
  <c r="H59" i="1"/>
  <c r="BC12" i="1"/>
  <c r="BC16" i="1" s="1"/>
  <c r="BC30" i="1" s="1"/>
  <c r="BC14" i="1"/>
  <c r="BC28" i="1" s="1"/>
  <c r="H121" i="1"/>
  <c r="J121" i="1"/>
  <c r="C4" i="1"/>
  <c r="M6" i="1"/>
  <c r="S10" i="1"/>
  <c r="S11" i="1" s="1"/>
  <c r="R11" i="1"/>
  <c r="R12" i="1" s="1"/>
  <c r="H56" i="1"/>
  <c r="H76" i="1"/>
  <c r="H88" i="1"/>
  <c r="H80" i="1"/>
  <c r="BC8" i="1"/>
  <c r="AH11" i="1"/>
  <c r="AT29" i="1"/>
  <c r="Y7" i="1"/>
  <c r="T17" i="1"/>
  <c r="AE28" i="1"/>
  <c r="AD28" i="1" s="1"/>
  <c r="O76" i="1"/>
  <c r="H82" i="1"/>
  <c r="AB5" i="1"/>
  <c r="AR6" i="1"/>
  <c r="H55" i="1"/>
  <c r="H73" i="1"/>
  <c r="H85" i="1"/>
  <c r="H87" i="1"/>
  <c r="H90" i="1"/>
  <c r="O32" i="1"/>
  <c r="O40" i="1" s="1"/>
  <c r="O46" i="1" s="1"/>
  <c r="G2" i="1"/>
  <c r="M31" i="1"/>
  <c r="V3" i="1"/>
  <c r="V5" i="1" l="1"/>
  <c r="M7" i="1"/>
  <c r="O38" i="1"/>
  <c r="O55" i="1" s="1"/>
  <c r="O50" i="1"/>
  <c r="C57" i="1"/>
  <c r="Y3" i="1"/>
  <c r="R6" i="1"/>
  <c r="N6" i="1"/>
  <c r="G4" i="1"/>
  <c r="Y5" i="1" s="1"/>
  <c r="C58" i="1"/>
  <c r="M41" i="1" l="1"/>
  <c r="O6" i="1"/>
  <c r="W15" i="1"/>
  <c r="W16" i="1" s="1"/>
  <c r="AF21" i="1"/>
  <c r="AG21" i="1" s="1"/>
  <c r="M17" i="1"/>
  <c r="N17" i="1" s="1"/>
  <c r="C67" i="1"/>
  <c r="C65" i="1"/>
  <c r="C63" i="1"/>
  <c r="J57" i="1"/>
  <c r="H57" i="1"/>
  <c r="J58" i="1"/>
  <c r="H58" i="1"/>
  <c r="M18" i="1"/>
  <c r="R7" i="1"/>
  <c r="O81" i="1"/>
  <c r="N7" i="1"/>
  <c r="J63" i="1" l="1"/>
  <c r="H63" i="1"/>
  <c r="C64" i="1"/>
  <c r="J65" i="1"/>
  <c r="H65" i="1"/>
  <c r="C66" i="1"/>
  <c r="H67" i="1"/>
  <c r="J67" i="1"/>
  <c r="O31" i="1"/>
  <c r="R27" i="1"/>
  <c r="S27" i="1" s="1"/>
  <c r="N22" i="1"/>
  <c r="Q22" i="1" s="1"/>
  <c r="Q27" i="1"/>
  <c r="P27" i="1" s="1"/>
  <c r="T27" i="1" s="1"/>
  <c r="U27" i="1" s="1"/>
  <c r="AH9" i="1"/>
  <c r="M50" i="1"/>
  <c r="Q30" i="1"/>
  <c r="AJ10" i="1"/>
  <c r="Q12" i="1" s="1"/>
  <c r="R25" i="1" s="1"/>
  <c r="AJ12" i="1"/>
  <c r="AJ11" i="1"/>
  <c r="S17" i="1"/>
  <c r="Q17" i="1"/>
  <c r="Q15" i="1" s="1"/>
  <c r="V27" i="1"/>
  <c r="AJ13" i="1"/>
  <c r="O17" i="1"/>
  <c r="AJ14" i="1"/>
  <c r="O69" i="1"/>
  <c r="Q23" i="1"/>
  <c r="S21" i="1" s="1"/>
  <c r="T25" i="1" s="1"/>
  <c r="N23" i="1"/>
  <c r="R21" i="1" s="1"/>
  <c r="S24" i="1" s="1"/>
  <c r="O41" i="1"/>
  <c r="O59" i="1" s="1"/>
  <c r="W13" i="1"/>
  <c r="BC17" i="1"/>
  <c r="T21" i="1"/>
  <c r="O7" i="1"/>
  <c r="R22" i="1"/>
  <c r="AC9" i="1"/>
  <c r="O73" i="1"/>
  <c r="BF11" i="1"/>
  <c r="AG9" i="1"/>
  <c r="W17" i="1"/>
  <c r="X27" i="1"/>
  <c r="N18" i="1"/>
  <c r="AG8" i="1"/>
  <c r="AH8" i="1" s="1"/>
  <c r="AH12" i="1"/>
  <c r="AH17" i="1" s="1"/>
  <c r="R28" i="1"/>
  <c r="S28" i="1" s="1"/>
  <c r="T28" i="1" s="1"/>
  <c r="P37" i="1"/>
  <c r="M32" i="1"/>
  <c r="T22" i="1" l="1"/>
  <c r="U24" i="1" s="1"/>
  <c r="S22" i="1"/>
  <c r="U23" i="1"/>
  <c r="O45" i="1"/>
  <c r="O37" i="1"/>
  <c r="Z17" i="1"/>
  <c r="Z16" i="1" s="1"/>
  <c r="AH13" i="1"/>
  <c r="AH16" i="1" s="1"/>
  <c r="BC11" i="1"/>
  <c r="BC13" i="1"/>
  <c r="O77" i="1"/>
  <c r="O79" i="1" s="1"/>
  <c r="J66" i="1"/>
  <c r="H66" i="1"/>
  <c r="C68" i="1"/>
  <c r="O18" i="1"/>
  <c r="AC12" i="1"/>
  <c r="AC11" i="1"/>
  <c r="Z29" i="1"/>
  <c r="X24" i="1"/>
  <c r="X26" i="1"/>
  <c r="Y12" i="1"/>
  <c r="AA16" i="1"/>
  <c r="AC16" i="1" s="1"/>
  <c r="S30" i="1"/>
  <c r="P30" i="1"/>
  <c r="J64" i="1"/>
  <c r="H64" i="1"/>
  <c r="M59" i="1"/>
  <c r="O56" i="1"/>
  <c r="O51" i="1"/>
  <c r="Q68" i="1"/>
  <c r="R68" i="1" s="1"/>
  <c r="S69" i="1" s="1"/>
  <c r="O71" i="1"/>
  <c r="Z15" i="1" l="1"/>
  <c r="AC4" i="1"/>
  <c r="AE4" i="1" s="1"/>
  <c r="AG4" i="1" s="1"/>
  <c r="AB16" i="1"/>
  <c r="Z32" i="1"/>
  <c r="AA33" i="1" s="1"/>
  <c r="Z34" i="1"/>
  <c r="AA34" i="1" s="1"/>
  <c r="Z33" i="1"/>
  <c r="AA30" i="1"/>
  <c r="Z30" i="1"/>
  <c r="Z31" i="1"/>
  <c r="AA32" i="1" s="1"/>
  <c r="AA31" i="1"/>
  <c r="O60" i="1"/>
  <c r="O65" i="1"/>
  <c r="T24" i="1"/>
  <c r="S23" i="1"/>
  <c r="J68" i="1"/>
  <c r="H68" i="1"/>
  <c r="H143" i="1" s="1"/>
  <c r="AB15" i="1" l="1"/>
  <c r="AB13" i="1" s="1"/>
  <c r="AB12" i="1" s="1"/>
  <c r="AF4" i="1"/>
  <c r="AC13" i="1" l="1"/>
  <c r="AE9" i="1"/>
  <c r="AD13" i="1" l="1"/>
  <c r="AC10" i="1"/>
  <c r="AA10" i="1"/>
</calcChain>
</file>

<file path=xl/sharedStrings.xml><?xml version="1.0" encoding="utf-8"?>
<sst xmlns="http://schemas.openxmlformats.org/spreadsheetml/2006/main" count="442" uniqueCount="234">
  <si>
    <t>Draufsicht</t>
  </si>
  <si>
    <t>wenn nicht loser Boden</t>
  </si>
  <si>
    <t>Maßeintrag</t>
  </si>
  <si>
    <t>Grubenmaß</t>
  </si>
  <si>
    <t>Für Makro</t>
  </si>
  <si>
    <t>Grube Breite</t>
  </si>
  <si>
    <t>cm</t>
  </si>
  <si>
    <t>Deckfläche Breite</t>
  </si>
  <si>
    <t>wenn Grube allein</t>
  </si>
  <si>
    <t>Abstand zur untermitte</t>
  </si>
  <si>
    <t>Dicke oben</t>
  </si>
  <si>
    <t>Grundeinstellung</t>
  </si>
  <si>
    <t>Mast 3,5</t>
  </si>
  <si>
    <t>Mast 5</t>
  </si>
  <si>
    <t>Mast 6</t>
  </si>
  <si>
    <t>Mast 8</t>
  </si>
  <si>
    <t>Mast 10</t>
  </si>
  <si>
    <t>Grube</t>
  </si>
  <si>
    <t>Deckschicht</t>
  </si>
  <si>
    <t>Angabe zur Maßlinie</t>
  </si>
  <si>
    <t>Massfeil</t>
  </si>
  <si>
    <t>Text</t>
  </si>
  <si>
    <t>Text Oben</t>
  </si>
  <si>
    <t>vlinks</t>
  </si>
  <si>
    <t>voben</t>
  </si>
  <si>
    <t>Höhe Unterkante Mitte</t>
  </si>
  <si>
    <t>Höhe Fundamente oben</t>
  </si>
  <si>
    <t>50*50</t>
  </si>
  <si>
    <t>60*60</t>
  </si>
  <si>
    <t>65*65</t>
  </si>
  <si>
    <t>75*75</t>
  </si>
  <si>
    <t>90*90</t>
  </si>
  <si>
    <t>Grube Länge</t>
  </si>
  <si>
    <t>Deckfläche Länge</t>
  </si>
  <si>
    <t>Startpunkt von links</t>
  </si>
  <si>
    <t>sl in O</t>
  </si>
  <si>
    <t>slg in N</t>
  </si>
  <si>
    <t>Start von Oben</t>
  </si>
  <si>
    <t>Asphalt</t>
  </si>
  <si>
    <t>Mastlänge</t>
  </si>
  <si>
    <t>m</t>
  </si>
  <si>
    <t>Mastdurchmesser</t>
  </si>
  <si>
    <t>mm</t>
  </si>
  <si>
    <t>Startpunkt von oben</t>
  </si>
  <si>
    <t>so in O</t>
  </si>
  <si>
    <t>sog in N</t>
  </si>
  <si>
    <t>Start von Links</t>
  </si>
  <si>
    <t>Plfaster</t>
  </si>
  <si>
    <t>Grubenbreite</t>
  </si>
  <si>
    <t>Deckfläche Tiefe</t>
  </si>
  <si>
    <t>davon Tragschicht</t>
  </si>
  <si>
    <t>Breite</t>
  </si>
  <si>
    <t>br in O</t>
  </si>
  <si>
    <t>brg in N</t>
  </si>
  <si>
    <t>Höhe</t>
  </si>
  <si>
    <t>Loser Boden</t>
  </si>
  <si>
    <t>Gubenlänge</t>
  </si>
  <si>
    <t>Grube Tiefe</t>
  </si>
  <si>
    <t>Länge</t>
  </si>
  <si>
    <t>ll in O</t>
  </si>
  <si>
    <t>llg in N</t>
  </si>
  <si>
    <t>Schnitt</t>
  </si>
  <si>
    <t>Höhe Fundamente mitte</t>
  </si>
  <si>
    <t>Deckschichtbreite</t>
  </si>
  <si>
    <t>Tiefe</t>
  </si>
  <si>
    <t>oben</t>
  </si>
  <si>
    <t>Deckschichtlänge</t>
  </si>
  <si>
    <t>In der Zeichnung alle Angaben in mm</t>
  </si>
  <si>
    <t>Tiefe Grube</t>
  </si>
  <si>
    <t>mitte</t>
  </si>
  <si>
    <t>von unten</t>
  </si>
  <si>
    <t>Mitte Tiefe</t>
  </si>
  <si>
    <t>Linker Startpunkt ganz linke Maßlinie</t>
  </si>
  <si>
    <t>Deckschicht Draufsicht</t>
  </si>
  <si>
    <t>Sandbett</t>
  </si>
  <si>
    <t>Maßlinie Start oben</t>
  </si>
  <si>
    <t>Tiefe Deckschicht</t>
  </si>
  <si>
    <t>Höhe Fundamente unten</t>
  </si>
  <si>
    <t>Länge ganz linker Maßpfeil</t>
  </si>
  <si>
    <t>unten</t>
  </si>
  <si>
    <t>Maßlinie Start links</t>
  </si>
  <si>
    <t>Linker Startpunkt ganz linke Maßlinie Text</t>
  </si>
  <si>
    <t>Mitte von Oben</t>
  </si>
  <si>
    <t>Mitte Stärke</t>
  </si>
  <si>
    <t>Mitte StPuVoLi</t>
  </si>
  <si>
    <t>Maßlinie Länge</t>
  </si>
  <si>
    <t>Grubentiefe:</t>
  </si>
  <si>
    <t>3,5 Mast</t>
  </si>
  <si>
    <t>Startpunkt von Oben Text ganz linke Maßlinie</t>
  </si>
  <si>
    <t>Zuleitungskabel liefern</t>
  </si>
  <si>
    <t>Zuleitung im Mast  aus Boden =</t>
  </si>
  <si>
    <t>Meter</t>
  </si>
  <si>
    <t>Start von Links Startpfeil</t>
  </si>
  <si>
    <t>5 Mast</t>
  </si>
  <si>
    <t>Linker Startpunkt linke Maßlinie</t>
  </si>
  <si>
    <t>Grube Draufsicht</t>
  </si>
  <si>
    <t>Zuleitung ab- und wieder anklemmen</t>
  </si>
  <si>
    <t>Deckboden</t>
  </si>
  <si>
    <t>Seitenansicht</t>
  </si>
  <si>
    <t>6 Mast</t>
  </si>
  <si>
    <t>Start von oben Oben</t>
  </si>
  <si>
    <t>Länge linker Maßpfeil</t>
  </si>
  <si>
    <t>Grabenlänge plus Zuleitung gleich Kabellänge</t>
  </si>
  <si>
    <t>Gesamtlänge</t>
  </si>
  <si>
    <t>slgSD</t>
  </si>
  <si>
    <t>startobenOBen</t>
  </si>
  <si>
    <t>LängeOBEN</t>
  </si>
  <si>
    <t>Text Maßlinie Start oben</t>
  </si>
  <si>
    <t>8 Mast</t>
  </si>
  <si>
    <t>Start von oben Mitte</t>
  </si>
  <si>
    <t>Linker Startpunkt linke Maßlinie Text</t>
  </si>
  <si>
    <t>sogSD</t>
  </si>
  <si>
    <t>Text Maßlinie Start links</t>
  </si>
  <si>
    <t>10 Mast</t>
  </si>
  <si>
    <t>Start von oben Unten</t>
  </si>
  <si>
    <t>Startpunkt von Oben Text linke Maßlinie</t>
  </si>
  <si>
    <t>Startpunkt</t>
  </si>
  <si>
    <t>Fundamenthöhe</t>
  </si>
  <si>
    <t>Text Maßlinie</t>
  </si>
  <si>
    <t>Rolf</t>
  </si>
  <si>
    <t>brgSD</t>
  </si>
  <si>
    <t>von Links</t>
  </si>
  <si>
    <t>Fundamentdurchmesser oben</t>
  </si>
  <si>
    <t>Kabel liefern/in Rohr einziehen</t>
  </si>
  <si>
    <t>Seitenansicht Grube</t>
  </si>
  <si>
    <t>Seitenansicht Sandschicht</t>
  </si>
  <si>
    <t>Maßpfeil</t>
  </si>
  <si>
    <t>Position Text Sandschicht</t>
  </si>
  <si>
    <t>Pfeil zu Sandschicht</t>
  </si>
  <si>
    <t>Mastberechnung:</t>
  </si>
  <si>
    <t>Fundamentdurchmesser mitte</t>
  </si>
  <si>
    <t>Verbindungsmuffe bis 5 x 16 mm² ohne AuS</t>
  </si>
  <si>
    <t xml:space="preserve"> rechts</t>
  </si>
  <si>
    <t>Start oben</t>
  </si>
  <si>
    <t>Ende unten</t>
  </si>
  <si>
    <t>Fundamentdurchmesser unten</t>
  </si>
  <si>
    <t>Abzweigmuffe ohne AuS</t>
  </si>
  <si>
    <t>Start links  unten</t>
  </si>
  <si>
    <t>Plazierung Fundamente</t>
  </si>
  <si>
    <t>Kabelendverschluss herstellen ohne AuS</t>
  </si>
  <si>
    <t>Maßtext</t>
  </si>
  <si>
    <t>ende oben</t>
  </si>
  <si>
    <t>Linie Mitte</t>
  </si>
  <si>
    <t>Linie Oben</t>
  </si>
  <si>
    <t>Rückbau Freileitungsanschluss für nicht benötigten LP</t>
  </si>
  <si>
    <t>Tiefe Standard im Gehweg</t>
  </si>
  <si>
    <t>Start unten</t>
  </si>
  <si>
    <t>Mitte</t>
  </si>
  <si>
    <t>Leerrohr 110 mm liefern u. verlegen</t>
  </si>
  <si>
    <t>(in Meter)</t>
  </si>
  <si>
    <t>Länge MPfM</t>
  </si>
  <si>
    <t>Strt links</t>
  </si>
  <si>
    <t>start links</t>
  </si>
  <si>
    <t>ende rechts</t>
  </si>
  <si>
    <t>OBEN</t>
  </si>
  <si>
    <t>LINKS</t>
  </si>
  <si>
    <t>Maßlinie start Mitte von unten</t>
  </si>
  <si>
    <t>Maßlinie start Oben von unten</t>
  </si>
  <si>
    <t>Fundamentmaßpfeile vLinks</t>
  </si>
  <si>
    <t>Deckschicht Schnitt</t>
  </si>
  <si>
    <t>Masslinie Senkrecht Grundflächen</t>
  </si>
  <si>
    <t>Funda unten höhe</t>
  </si>
  <si>
    <t>Tiefe Erdstück</t>
  </si>
  <si>
    <t>alles geteilt durch 10</t>
  </si>
  <si>
    <t>Mastlochstart von Oben</t>
  </si>
  <si>
    <t>Links</t>
  </si>
  <si>
    <t>Oben</t>
  </si>
  <si>
    <t>Masthöhe</t>
  </si>
  <si>
    <t>Mastlochstart von Links</t>
  </si>
  <si>
    <t>Start Maßlinie von Links</t>
  </si>
  <si>
    <t>Länge Masslinie Länge</t>
  </si>
  <si>
    <t>STmassL</t>
  </si>
  <si>
    <t>Länge Masslinie Breite</t>
  </si>
  <si>
    <t>Auswahl hier bitte ein "x"</t>
  </si>
  <si>
    <r>
      <rPr>
        <sz val="10"/>
        <color theme="1"/>
        <rFont val="Aptos Narrow"/>
        <family val="2"/>
        <scheme val="minor"/>
      </rPr>
      <t>Ober- fläche</t>
    </r>
    <r>
      <rPr>
        <sz val="11"/>
        <color theme="1"/>
        <rFont val="Aptos Narrow"/>
        <family val="2"/>
        <scheme val="minor"/>
      </rPr>
      <t xml:space="preserve"> Platten/
Pflaster</t>
    </r>
  </si>
  <si>
    <t>Oberfläche Bitumen</t>
  </si>
  <si>
    <t>Ober- fläche Unbe- festigt</t>
  </si>
  <si>
    <t>Durchmesser</t>
  </si>
  <si>
    <t>Höhe Oben</t>
  </si>
  <si>
    <t>Länge Masslinie Tiefe</t>
  </si>
  <si>
    <t>Text zu Masslinie</t>
  </si>
  <si>
    <t>Start von oben</t>
  </si>
  <si>
    <t>Sandbett für Elektroleitung</t>
  </si>
  <si>
    <t>Masslinie Senkrecht Grube</t>
  </si>
  <si>
    <t>Blendeneinbau Vulkan</t>
  </si>
  <si>
    <t>Start Maßlinie von Oben</t>
  </si>
  <si>
    <t>Austausch Vulkan Leuchtendach</t>
  </si>
  <si>
    <t>Höhe Mitte</t>
  </si>
  <si>
    <t>Isol. Klemme Leuchtenanschluss</t>
  </si>
  <si>
    <t>Start von links</t>
  </si>
  <si>
    <t>xxxx</t>
  </si>
  <si>
    <t>Unten</t>
  </si>
  <si>
    <t>Höhe Unten</t>
  </si>
  <si>
    <t>Masslinie Senkrecht Grube Schnitt</t>
  </si>
  <si>
    <t>mass</t>
  </si>
  <si>
    <t>StmassO</t>
  </si>
  <si>
    <t>Wert</t>
  </si>
  <si>
    <t>Einheit</t>
  </si>
  <si>
    <t>Position alt</t>
  </si>
  <si>
    <t>Position neu</t>
  </si>
  <si>
    <t>Einheits- preis</t>
  </si>
  <si>
    <t>Summe</t>
  </si>
  <si>
    <t>Deckfläche</t>
  </si>
  <si>
    <t>Fläche</t>
  </si>
  <si>
    <t>m²</t>
  </si>
  <si>
    <t>links</t>
  </si>
  <si>
    <t>Tragschicht</t>
  </si>
  <si>
    <t>m³</t>
  </si>
  <si>
    <t>Sandschicht</t>
  </si>
  <si>
    <t>Einbau</t>
  </si>
  <si>
    <t>Betonkantensteine</t>
  </si>
  <si>
    <t>Betonbordsteine</t>
  </si>
  <si>
    <t>Erschwernis</t>
  </si>
  <si>
    <t>Asphalttragschicht</t>
  </si>
  <si>
    <t>Bitumenemulsion</t>
  </si>
  <si>
    <t>Fugen</t>
  </si>
  <si>
    <t>Asphaltdeckschicht</t>
  </si>
  <si>
    <t>Ende rechts</t>
  </si>
  <si>
    <t>Text zu Masslinie waagerecht</t>
  </si>
  <si>
    <t>Aufsatzmaste</t>
  </si>
  <si>
    <t>Stück</t>
  </si>
  <si>
    <t>Masslinie Waagerecht Grube</t>
  </si>
  <si>
    <t>Tiefbau Elektro</t>
  </si>
  <si>
    <t>Boden Null</t>
  </si>
  <si>
    <t>Funda oben Stärke</t>
  </si>
  <si>
    <t>Rest bis Lochboden</t>
  </si>
  <si>
    <t>St.</t>
  </si>
  <si>
    <t>Lochboden</t>
  </si>
  <si>
    <t>Mastzubehör</t>
  </si>
  <si>
    <t>Ausleger</t>
  </si>
  <si>
    <t>Mastsicherungskästen</t>
  </si>
  <si>
    <t>Leuchten</t>
  </si>
  <si>
    <t>bei Ungewissheit erkennt man Preis was was ist</t>
  </si>
  <si>
    <t>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</si>
</sst>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8"/>
      <color rgb="FF000000"/>
      <name val="Segoe UI"/>
      <family val="2"/>
    </font>
    <font>
      <sz val="11"/>
      <color rgb="FF0070C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rgb="FF005900"/>
      <name val="Aptos Narrow"/>
      <family val="2"/>
      <scheme val="minor"/>
    </font>
    <font>
      <sz val="11"/>
      <color rgb="FFDF0000"/>
      <name val="Aptos Narrow"/>
      <family val="2"/>
      <scheme val="minor"/>
    </font>
    <font>
      <sz val="11"/>
      <color rgb="FF0072AF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sz val="11"/>
      <color rgb="FF9E5C00"/>
      <name val="Aptos Narrow"/>
      <family val="2"/>
      <scheme val="minor"/>
    </font>
    <font>
      <sz val="11"/>
      <color rgb="FF2C7E0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color rgb="FF003000"/>
      <name val="Aptos Narrow"/>
      <family val="2"/>
      <scheme val="minor"/>
    </font>
    <font>
      <sz val="11"/>
      <color rgb="FF007BB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color rgb="FFED0000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sz val="8"/>
      <color theme="1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color theme="7" tint="-0.499984740745262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rgb="FFD10000"/>
      <name val="Aptos Narrow"/>
      <family val="2"/>
      <scheme val="minor"/>
    </font>
    <font>
      <sz val="11"/>
      <color rgb="FF217800"/>
      <name val="Aptos Narrow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rgb="FFFF0000"/>
      <name val="Aptos Narrow"/>
      <family val="2"/>
      <scheme val="minor"/>
    </font>
    <font>
      <u val="double"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32" fillId="0" borderId="0"/>
    <xf numFmtId="0" fontId="35" fillId="0" borderId="0"/>
  </cellStyleXfs>
  <cellXfs count="75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4" borderId="0" xfId="0" applyFill="1"/>
    <xf numFmtId="0" fontId="0" fillId="3" borderId="0" xfId="0" applyFill="1" applyAlignment="1">
      <alignment horizontal="center"/>
    </xf>
    <xf numFmtId="0" fontId="0" fillId="5" borderId="0" xfId="0" applyFill="1"/>
    <xf numFmtId="0" fontId="0" fillId="6" borderId="0" xfId="0" applyFill="1"/>
    <xf numFmtId="0" fontId="8" fillId="6" borderId="0" xfId="0" applyFont="1" applyFill="1"/>
    <xf numFmtId="0" fontId="9" fillId="6" borderId="1" xfId="0" applyFont="1" applyFill="1" applyBorder="1"/>
    <xf numFmtId="0" fontId="9" fillId="6" borderId="0" xfId="0" applyFont="1" applyFill="1"/>
    <xf numFmtId="0" fontId="10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0" borderId="0" xfId="0" applyAlignment="1">
      <alignment vertical="center"/>
    </xf>
    <xf numFmtId="0" fontId="11" fillId="6" borderId="0" xfId="0" applyFont="1" applyFill="1"/>
    <xf numFmtId="0" fontId="12" fillId="6" borderId="0" xfId="0" applyFont="1" applyFill="1"/>
    <xf numFmtId="0" fontId="13" fillId="6" borderId="0" xfId="0" applyFont="1" applyFill="1"/>
    <xf numFmtId="0" fontId="14" fillId="6" borderId="0" xfId="0" applyFont="1" applyFill="1"/>
    <xf numFmtId="0" fontId="7" fillId="6" borderId="0" xfId="0" applyFont="1" applyFill="1"/>
    <xf numFmtId="0" fontId="0" fillId="4" borderId="0" xfId="0" applyFill="1" applyAlignment="1">
      <alignment horizontal="left"/>
    </xf>
    <xf numFmtId="0" fontId="15" fillId="6" borderId="0" xfId="0" applyFont="1" applyFill="1"/>
    <xf numFmtId="0" fontId="16" fillId="6" borderId="0" xfId="0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7" borderId="0" xfId="0" applyFill="1"/>
    <xf numFmtId="0" fontId="2" fillId="7" borderId="0" xfId="0" applyFont="1" applyFill="1"/>
    <xf numFmtId="0" fontId="0" fillId="4" borderId="0" xfId="0" applyFill="1" applyAlignment="1">
      <alignment horizontal="center"/>
    </xf>
    <xf numFmtId="0" fontId="2" fillId="0" borderId="0" xfId="0" applyFont="1"/>
    <xf numFmtId="0" fontId="21" fillId="7" borderId="0" xfId="0" applyFont="1" applyFill="1"/>
    <xf numFmtId="0" fontId="22" fillId="7" borderId="0" xfId="0" applyFont="1" applyFill="1"/>
    <xf numFmtId="0" fontId="23" fillId="7" borderId="0" xfId="0" applyFont="1" applyFill="1"/>
    <xf numFmtId="0" fontId="0" fillId="7" borderId="0" xfId="0" applyFill="1" applyAlignment="1">
      <alignment horizontal="right"/>
    </xf>
    <xf numFmtId="0" fontId="0" fillId="8" borderId="0" xfId="0" applyFill="1" applyAlignment="1">
      <alignment horizontal="center"/>
    </xf>
    <xf numFmtId="0" fontId="24" fillId="0" borderId="0" xfId="0" applyFont="1"/>
    <xf numFmtId="0" fontId="25" fillId="0" borderId="0" xfId="0" applyFont="1"/>
    <xf numFmtId="0" fontId="0" fillId="4" borderId="0" xfId="0" applyFill="1" applyAlignment="1">
      <alignment horizontal="right"/>
    </xf>
    <xf numFmtId="0" fontId="26" fillId="6" borderId="0" xfId="0" applyFont="1" applyFill="1"/>
    <xf numFmtId="0" fontId="0" fillId="9" borderId="0" xfId="0" applyFill="1"/>
    <xf numFmtId="0" fontId="27" fillId="6" borderId="0" xfId="0" applyFont="1" applyFill="1"/>
    <xf numFmtId="0" fontId="28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2" fillId="0" borderId="0" xfId="0" applyFont="1"/>
    <xf numFmtId="0" fontId="29" fillId="1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1" applyAlignment="1">
      <alignment horizontal="center"/>
    </xf>
    <xf numFmtId="0" fontId="24" fillId="0" borderId="0" xfId="1" applyFont="1"/>
    <xf numFmtId="0" fontId="7" fillId="2" borderId="0" xfId="0" applyFont="1" applyFill="1"/>
    <xf numFmtId="0" fontId="33" fillId="7" borderId="0" xfId="0" applyFont="1" applyFill="1"/>
    <xf numFmtId="0" fontId="34" fillId="7" borderId="0" xfId="0" applyFont="1" applyFill="1"/>
    <xf numFmtId="0" fontId="0" fillId="0" borderId="0" xfId="0" applyAlignment="1">
      <alignment horizontal="center" wrapText="1"/>
    </xf>
    <xf numFmtId="2" fontId="0" fillId="0" borderId="0" xfId="0" applyNumberFormat="1"/>
    <xf numFmtId="1" fontId="36" fillId="0" borderId="0" xfId="2" applyNumberFormat="1" applyFont="1" applyAlignment="1">
      <alignment horizontal="center" wrapText="1"/>
    </xf>
    <xf numFmtId="0" fontId="1" fillId="0" borderId="0" xfId="1" applyFont="1"/>
    <xf numFmtId="2" fontId="1" fillId="0" borderId="0" xfId="1" applyNumberFormat="1" applyFont="1"/>
    <xf numFmtId="2" fontId="0" fillId="0" borderId="0" xfId="0" applyNumberFormat="1" applyAlignment="1">
      <alignment horizontal="right"/>
    </xf>
    <xf numFmtId="0" fontId="3" fillId="0" borderId="0" xfId="0" applyFont="1"/>
    <xf numFmtId="0" fontId="0" fillId="11" borderId="0" xfId="0" applyFill="1"/>
    <xf numFmtId="1" fontId="24" fillId="0" borderId="0" xfId="2" applyNumberFormat="1" applyFont="1" applyAlignment="1">
      <alignment horizontal="center" vertical="top" wrapText="1"/>
    </xf>
    <xf numFmtId="49" fontId="37" fillId="0" borderId="0" xfId="1" applyNumberFormat="1" applyFont="1" applyAlignment="1">
      <alignment vertical="center" wrapText="1"/>
    </xf>
    <xf numFmtId="0" fontId="29" fillId="0" borderId="0" xfId="0" applyFont="1"/>
    <xf numFmtId="0" fontId="38" fillId="0" borderId="0" xfId="0" applyFont="1"/>
    <xf numFmtId="0" fontId="0" fillId="0" borderId="0" xfId="0" quotePrefix="1"/>
    <xf numFmtId="2" fontId="39" fillId="0" borderId="0" xfId="0" applyNumberFormat="1" applyFont="1"/>
  </cellXfs>
  <cellStyles count="3">
    <cellStyle name="Standard" xfId="0" builtinId="0"/>
    <cellStyle name="Standard 12 2 2" xfId="2" xr:uid="{88D7E4B1-FF60-479F-AE20-A8C718955038}"/>
    <cellStyle name="Standard 30 2" xfId="1" xr:uid="{12A372BF-E0E6-4136-89E6-2A07E8B1A48C}"/>
  </cellStyles>
  <dxfs count="1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Radio" firstButton="1" fmlaLink="$BP$25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fmlaLink="$BJ$32" lockText="1" noThreeD="1"/>
</file>

<file path=xl/ctrlProps/ctrlProp38.xml><?xml version="1.0" encoding="utf-8"?>
<formControlPr xmlns="http://schemas.microsoft.com/office/spreadsheetml/2009/9/main" objectType="Radio" checked="Checked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firstButton="1" fmlaLink="$BP$20" lockText="1" noThreeD="1"/>
</file>

<file path=xl/ctrlProps/ctrlProp42.xml><?xml version="1.0" encoding="utf-8"?>
<formControlPr xmlns="http://schemas.microsoft.com/office/spreadsheetml/2009/9/main" objectType="Radio" checked="Checked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fmlaLink="$BP$15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38</xdr:row>
      <xdr:rowOff>0</xdr:rowOff>
    </xdr:from>
    <xdr:ext cx="27828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A4C0C12-4A15-4AB0-9565-2F1A4F63D467}"/>
            </a:ext>
          </a:extLst>
        </xdr:cNvPr>
        <xdr:cNvSpPr txBox="1"/>
      </xdr:nvSpPr>
      <xdr:spPr>
        <a:xfrm>
          <a:off x="332422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27828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CDDCDE6-7EA0-4634-A75A-529F3E2538A6}"/>
            </a:ext>
          </a:extLst>
        </xdr:cNvPr>
        <xdr:cNvSpPr txBox="1"/>
      </xdr:nvSpPr>
      <xdr:spPr>
        <a:xfrm>
          <a:off x="391477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27828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524D6EA-59B9-496D-94E6-37D869A16EE4}"/>
            </a:ext>
          </a:extLst>
        </xdr:cNvPr>
        <xdr:cNvSpPr txBox="1"/>
      </xdr:nvSpPr>
      <xdr:spPr>
        <a:xfrm>
          <a:off x="456247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41</xdr:row>
      <xdr:rowOff>157163</xdr:rowOff>
    </xdr:from>
    <xdr:ext cx="27828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0345176-4D17-44FE-AD0F-C496B29A7189}"/>
            </a:ext>
          </a:extLst>
        </xdr:cNvPr>
        <xdr:cNvSpPr txBox="1"/>
      </xdr:nvSpPr>
      <xdr:spPr>
        <a:xfrm>
          <a:off x="333565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41</xdr:row>
      <xdr:rowOff>157163</xdr:rowOff>
    </xdr:from>
    <xdr:ext cx="27828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4F5E6DB-ABF3-484B-BD91-FA7C5139AC89}"/>
            </a:ext>
          </a:extLst>
        </xdr:cNvPr>
        <xdr:cNvSpPr txBox="1"/>
      </xdr:nvSpPr>
      <xdr:spPr>
        <a:xfrm>
          <a:off x="392620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42</xdr:row>
      <xdr:rowOff>157163</xdr:rowOff>
    </xdr:from>
    <xdr:ext cx="27828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DD454A4-5102-4D7B-85AC-8E55F42CAA62}"/>
            </a:ext>
          </a:extLst>
        </xdr:cNvPr>
        <xdr:cNvSpPr txBox="1"/>
      </xdr:nvSpPr>
      <xdr:spPr>
        <a:xfrm>
          <a:off x="392620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43</xdr:row>
      <xdr:rowOff>157163</xdr:rowOff>
    </xdr:from>
    <xdr:ext cx="27828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3D84647-AA83-4A58-A253-F06CCE84E398}"/>
            </a:ext>
          </a:extLst>
        </xdr:cNvPr>
        <xdr:cNvSpPr txBox="1"/>
      </xdr:nvSpPr>
      <xdr:spPr>
        <a:xfrm>
          <a:off x="3926205" y="87506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41</xdr:row>
      <xdr:rowOff>157163</xdr:rowOff>
    </xdr:from>
    <xdr:ext cx="27828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5AC72175-20B6-45F0-90D7-9FB158920A28}"/>
            </a:ext>
          </a:extLst>
        </xdr:cNvPr>
        <xdr:cNvSpPr txBox="1"/>
      </xdr:nvSpPr>
      <xdr:spPr>
        <a:xfrm>
          <a:off x="457390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42</xdr:row>
      <xdr:rowOff>157163</xdr:rowOff>
    </xdr:from>
    <xdr:ext cx="27828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9EA05DF-4D77-460A-9C72-1FB664FEB892}"/>
            </a:ext>
          </a:extLst>
        </xdr:cNvPr>
        <xdr:cNvSpPr txBox="1"/>
      </xdr:nvSpPr>
      <xdr:spPr>
        <a:xfrm>
          <a:off x="457390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43</xdr:row>
      <xdr:rowOff>157163</xdr:rowOff>
    </xdr:from>
    <xdr:ext cx="27828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8FEA6FC5-0272-4EC2-AFAB-E84245C1EA0A}"/>
            </a:ext>
          </a:extLst>
        </xdr:cNvPr>
        <xdr:cNvSpPr txBox="1"/>
      </xdr:nvSpPr>
      <xdr:spPr>
        <a:xfrm>
          <a:off x="4573905" y="87506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0</xdr:colOff>
      <xdr:row>43</xdr:row>
      <xdr:rowOff>147633</xdr:rowOff>
    </xdr:from>
    <xdr:ext cx="27828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68910634-2D47-45AA-AA43-8DE10C2D3B21}"/>
            </a:ext>
          </a:extLst>
        </xdr:cNvPr>
        <xdr:cNvSpPr txBox="1"/>
      </xdr:nvSpPr>
      <xdr:spPr>
        <a:xfrm>
          <a:off x="3324225" y="873727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42</xdr:row>
      <xdr:rowOff>157163</xdr:rowOff>
    </xdr:from>
    <xdr:ext cx="27828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2491220-5D8C-4637-929E-65B5DA8F7ED4}"/>
            </a:ext>
          </a:extLst>
        </xdr:cNvPr>
        <xdr:cNvSpPr txBox="1"/>
      </xdr:nvSpPr>
      <xdr:spPr>
        <a:xfrm>
          <a:off x="333565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47</xdr:row>
      <xdr:rowOff>157163</xdr:rowOff>
    </xdr:from>
    <xdr:ext cx="27828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3A26F4E1-578B-4AE3-AE45-7B02FA0F7CE3}"/>
            </a:ext>
          </a:extLst>
        </xdr:cNvPr>
        <xdr:cNvSpPr txBox="1"/>
      </xdr:nvSpPr>
      <xdr:spPr>
        <a:xfrm>
          <a:off x="392620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48</xdr:row>
      <xdr:rowOff>157163</xdr:rowOff>
    </xdr:from>
    <xdr:ext cx="27828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C9FB24A8-42D3-44A1-B5CC-2C5E1F3905F8}"/>
            </a:ext>
          </a:extLst>
        </xdr:cNvPr>
        <xdr:cNvSpPr txBox="1"/>
      </xdr:nvSpPr>
      <xdr:spPr>
        <a:xfrm>
          <a:off x="392620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49</xdr:row>
      <xdr:rowOff>157163</xdr:rowOff>
    </xdr:from>
    <xdr:ext cx="27828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CFE0950D-506C-4559-836D-6BDFC8EDC281}"/>
            </a:ext>
          </a:extLst>
        </xdr:cNvPr>
        <xdr:cNvSpPr txBox="1"/>
      </xdr:nvSpPr>
      <xdr:spPr>
        <a:xfrm>
          <a:off x="3926205" y="98364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47</xdr:row>
      <xdr:rowOff>157163</xdr:rowOff>
    </xdr:from>
    <xdr:ext cx="27828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F36E17E-CC00-4174-B4A3-108B9B3469D4}"/>
            </a:ext>
          </a:extLst>
        </xdr:cNvPr>
        <xdr:cNvSpPr txBox="1"/>
      </xdr:nvSpPr>
      <xdr:spPr>
        <a:xfrm>
          <a:off x="457390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48</xdr:row>
      <xdr:rowOff>157163</xdr:rowOff>
    </xdr:from>
    <xdr:ext cx="278281" cy="264560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2EC1429E-2812-4E7B-ACEE-7064A21E4B96}"/>
            </a:ext>
          </a:extLst>
        </xdr:cNvPr>
        <xdr:cNvSpPr txBox="1"/>
      </xdr:nvSpPr>
      <xdr:spPr>
        <a:xfrm>
          <a:off x="457390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49</xdr:row>
      <xdr:rowOff>157163</xdr:rowOff>
    </xdr:from>
    <xdr:ext cx="278281" cy="264560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9B25FA3A-7410-4495-B383-2EED31FA3A66}"/>
            </a:ext>
          </a:extLst>
        </xdr:cNvPr>
        <xdr:cNvSpPr txBox="1"/>
      </xdr:nvSpPr>
      <xdr:spPr>
        <a:xfrm>
          <a:off x="4573905" y="98364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47</xdr:row>
      <xdr:rowOff>157163</xdr:rowOff>
    </xdr:from>
    <xdr:ext cx="278281" cy="264560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B28F5A54-3E97-4812-A026-BC25F4D6F79B}"/>
            </a:ext>
          </a:extLst>
        </xdr:cNvPr>
        <xdr:cNvSpPr txBox="1"/>
      </xdr:nvSpPr>
      <xdr:spPr>
        <a:xfrm>
          <a:off x="333565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48</xdr:row>
      <xdr:rowOff>157163</xdr:rowOff>
    </xdr:from>
    <xdr:ext cx="278281" cy="264560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7C4F9D7A-3FFD-4842-B2F0-22782318C970}"/>
            </a:ext>
          </a:extLst>
        </xdr:cNvPr>
        <xdr:cNvSpPr txBox="1"/>
      </xdr:nvSpPr>
      <xdr:spPr>
        <a:xfrm>
          <a:off x="333565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0</xdr:colOff>
      <xdr:row>49</xdr:row>
      <xdr:rowOff>147633</xdr:rowOff>
    </xdr:from>
    <xdr:ext cx="27828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43EC427C-520C-4DBE-B6C0-6573F439E0C2}"/>
            </a:ext>
          </a:extLst>
        </xdr:cNvPr>
        <xdr:cNvSpPr txBox="1"/>
      </xdr:nvSpPr>
      <xdr:spPr>
        <a:xfrm>
          <a:off x="3324225" y="982312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twoCellAnchor>
    <xdr:from>
      <xdr:col>12</xdr:col>
      <xdr:colOff>228600</xdr:colOff>
      <xdr:row>3</xdr:row>
      <xdr:rowOff>95249</xdr:rowOff>
    </xdr:from>
    <xdr:to>
      <xdr:col>12</xdr:col>
      <xdr:colOff>330327</xdr:colOff>
      <xdr:row>8</xdr:row>
      <xdr:rowOff>9524</xdr:rowOff>
    </xdr:to>
    <xdr:sp macro="" textlink="">
      <xdr:nvSpPr>
        <xdr:cNvPr id="23" name="Eckige Klammer rechts 22">
          <a:extLst>
            <a:ext uri="{FF2B5EF4-FFF2-40B4-BE49-F238E27FC236}">
              <a16:creationId xmlns:a16="http://schemas.microsoft.com/office/drawing/2014/main" id="{AB3F3FB1-3477-4EAC-8597-5BAA3AC8BE63}"/>
            </a:ext>
          </a:extLst>
        </xdr:cNvPr>
        <xdr:cNvSpPr/>
      </xdr:nvSpPr>
      <xdr:spPr>
        <a:xfrm rot="10800000">
          <a:off x="9982200" y="641984"/>
          <a:ext cx="0" cy="86487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266699</xdr:colOff>
      <xdr:row>15</xdr:row>
      <xdr:rowOff>0</xdr:rowOff>
    </xdr:from>
    <xdr:to>
      <xdr:col>12</xdr:col>
      <xdr:colOff>330326</xdr:colOff>
      <xdr:row>19</xdr:row>
      <xdr:rowOff>152400</xdr:rowOff>
    </xdr:to>
    <xdr:sp macro="" textlink="">
      <xdr:nvSpPr>
        <xdr:cNvPr id="24" name="Eckige Klammer rechts 23">
          <a:extLst>
            <a:ext uri="{FF2B5EF4-FFF2-40B4-BE49-F238E27FC236}">
              <a16:creationId xmlns:a16="http://schemas.microsoft.com/office/drawing/2014/main" id="{4C0C599A-4ED1-46E8-8C05-3CFA997500C8}"/>
            </a:ext>
          </a:extLst>
        </xdr:cNvPr>
        <xdr:cNvSpPr/>
      </xdr:nvSpPr>
      <xdr:spPr>
        <a:xfrm rot="10800000">
          <a:off x="9982200" y="2762250"/>
          <a:ext cx="0" cy="8763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276225</xdr:colOff>
      <xdr:row>20</xdr:row>
      <xdr:rowOff>38100</xdr:rowOff>
    </xdr:from>
    <xdr:to>
      <xdr:col>12</xdr:col>
      <xdr:colOff>339852</xdr:colOff>
      <xdr:row>25</xdr:row>
      <xdr:rowOff>0</xdr:rowOff>
    </xdr:to>
    <xdr:sp macro="" textlink="">
      <xdr:nvSpPr>
        <xdr:cNvPr id="25" name="Eckige Klammer rechts 24">
          <a:extLst>
            <a:ext uri="{FF2B5EF4-FFF2-40B4-BE49-F238E27FC236}">
              <a16:creationId xmlns:a16="http://schemas.microsoft.com/office/drawing/2014/main" id="{A3FA73E8-0A06-400F-BCEA-E77D359B69CA}"/>
            </a:ext>
          </a:extLst>
        </xdr:cNvPr>
        <xdr:cNvSpPr/>
      </xdr:nvSpPr>
      <xdr:spPr>
        <a:xfrm rot="10800000">
          <a:off x="9982200" y="3705225"/>
          <a:ext cx="0" cy="8667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409574</xdr:colOff>
      <xdr:row>28</xdr:row>
      <xdr:rowOff>85725</xdr:rowOff>
    </xdr:from>
    <xdr:to>
      <xdr:col>12</xdr:col>
      <xdr:colOff>455293</xdr:colOff>
      <xdr:row>36</xdr:row>
      <xdr:rowOff>104775</xdr:rowOff>
    </xdr:to>
    <xdr:sp macro="" textlink="">
      <xdr:nvSpPr>
        <xdr:cNvPr id="26" name="Eckige Klammer rechts 25">
          <a:extLst>
            <a:ext uri="{FF2B5EF4-FFF2-40B4-BE49-F238E27FC236}">
              <a16:creationId xmlns:a16="http://schemas.microsoft.com/office/drawing/2014/main" id="{C69B9101-2902-4CA1-8473-5736B8223C91}"/>
            </a:ext>
          </a:extLst>
        </xdr:cNvPr>
        <xdr:cNvSpPr/>
      </xdr:nvSpPr>
      <xdr:spPr>
        <a:xfrm rot="10800000">
          <a:off x="9982200" y="5212080"/>
          <a:ext cx="0" cy="22155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400049</xdr:colOff>
      <xdr:row>38</xdr:row>
      <xdr:rowOff>123824</xdr:rowOff>
    </xdr:from>
    <xdr:to>
      <xdr:col>12</xdr:col>
      <xdr:colOff>445768</xdr:colOff>
      <xdr:row>45</xdr:row>
      <xdr:rowOff>114299</xdr:rowOff>
    </xdr:to>
    <xdr:sp macro="" textlink="">
      <xdr:nvSpPr>
        <xdr:cNvPr id="27" name="Eckige Klammer rechts 26">
          <a:extLst>
            <a:ext uri="{FF2B5EF4-FFF2-40B4-BE49-F238E27FC236}">
              <a16:creationId xmlns:a16="http://schemas.microsoft.com/office/drawing/2014/main" id="{F0C62A86-166C-4E16-9ED0-62CFD1E0E0B8}"/>
            </a:ext>
          </a:extLst>
        </xdr:cNvPr>
        <xdr:cNvSpPr/>
      </xdr:nvSpPr>
      <xdr:spPr>
        <a:xfrm rot="10800000">
          <a:off x="9982200" y="7812404"/>
          <a:ext cx="0" cy="125539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428625</xdr:colOff>
      <xdr:row>48</xdr:row>
      <xdr:rowOff>95250</xdr:rowOff>
    </xdr:from>
    <xdr:to>
      <xdr:col>12</xdr:col>
      <xdr:colOff>485775</xdr:colOff>
      <xdr:row>55</xdr:row>
      <xdr:rowOff>95250</xdr:rowOff>
    </xdr:to>
    <xdr:sp macro="" textlink="">
      <xdr:nvSpPr>
        <xdr:cNvPr id="28" name="Eckige Klammer rechts 27">
          <a:extLst>
            <a:ext uri="{FF2B5EF4-FFF2-40B4-BE49-F238E27FC236}">
              <a16:creationId xmlns:a16="http://schemas.microsoft.com/office/drawing/2014/main" id="{D86FD72D-9191-4564-A187-EF95A7D88F68}"/>
            </a:ext>
          </a:extLst>
        </xdr:cNvPr>
        <xdr:cNvSpPr/>
      </xdr:nvSpPr>
      <xdr:spPr>
        <a:xfrm rot="10800000">
          <a:off x="9982200" y="9587865"/>
          <a:ext cx="0" cy="14478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409574</xdr:colOff>
      <xdr:row>57</xdr:row>
      <xdr:rowOff>104775</xdr:rowOff>
    </xdr:from>
    <xdr:to>
      <xdr:col>12</xdr:col>
      <xdr:colOff>485774</xdr:colOff>
      <xdr:row>64</xdr:row>
      <xdr:rowOff>104775</xdr:rowOff>
    </xdr:to>
    <xdr:sp macro="" textlink="">
      <xdr:nvSpPr>
        <xdr:cNvPr id="29" name="Eckige Klammer rechts 28">
          <a:extLst>
            <a:ext uri="{FF2B5EF4-FFF2-40B4-BE49-F238E27FC236}">
              <a16:creationId xmlns:a16="http://schemas.microsoft.com/office/drawing/2014/main" id="{23F18F67-7CA9-4BE1-817F-305ADB49DF34}"/>
            </a:ext>
          </a:extLst>
        </xdr:cNvPr>
        <xdr:cNvSpPr/>
      </xdr:nvSpPr>
      <xdr:spPr>
        <a:xfrm rot="10800000">
          <a:off x="9982200" y="11409045"/>
          <a:ext cx="0" cy="12668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114300</xdr:rowOff>
        </xdr:from>
        <xdr:to>
          <xdr:col>8</xdr:col>
          <xdr:colOff>3924300</xdr:colOff>
          <xdr:row>2</xdr:row>
          <xdr:rowOff>182880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50715B3-1956-441B-8331-B9B538DB1B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Zurück zum Start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213360</xdr:colOff>
          <xdr:row>7</xdr:row>
          <xdr:rowOff>45720</xdr:rowOff>
        </xdr:from>
        <xdr:to>
          <xdr:col>8</xdr:col>
          <xdr:colOff>2240280</xdr:colOff>
          <xdr:row>8</xdr:row>
          <xdr:rowOff>114300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AFFB878-E579-49EC-AD0B-DF7DA9BBD4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Bearbeitung starten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2506980</xdr:colOff>
          <xdr:row>7</xdr:row>
          <xdr:rowOff>45720</xdr:rowOff>
        </xdr:from>
        <xdr:to>
          <xdr:col>8</xdr:col>
          <xdr:colOff>3581400</xdr:colOff>
          <xdr:row>8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B009AA8-ECF5-4B20-869A-C3DE650E5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Grafik löschen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12087</xdr:colOff>
      <xdr:row>38</xdr:row>
      <xdr:rowOff>104775</xdr:rowOff>
    </xdr:from>
    <xdr:to>
      <xdr:col>4</xdr:col>
      <xdr:colOff>422487</xdr:colOff>
      <xdr:row>38</xdr:row>
      <xdr:rowOff>104775</xdr:rowOff>
    </xdr:to>
    <xdr:cxnSp macro="">
      <xdr:nvCxnSpPr>
        <xdr:cNvPr id="30" name="Gerade Verbindung mit Pfeil 29">
          <a:extLst>
            <a:ext uri="{FF2B5EF4-FFF2-40B4-BE49-F238E27FC236}">
              <a16:creationId xmlns:a16="http://schemas.microsoft.com/office/drawing/2014/main" id="{28B1999F-BD84-4E66-A922-A3DA1E609E64}"/>
            </a:ext>
          </a:extLst>
        </xdr:cNvPr>
        <xdr:cNvCxnSpPr/>
      </xdr:nvCxnSpPr>
      <xdr:spPr>
        <a:xfrm>
          <a:off x="2559072" y="7789545"/>
          <a:ext cx="406590" cy="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12087</xdr:colOff>
      <xdr:row>39</xdr:row>
      <xdr:rowOff>104775</xdr:rowOff>
    </xdr:from>
    <xdr:to>
      <xdr:col>4</xdr:col>
      <xdr:colOff>422487</xdr:colOff>
      <xdr:row>39</xdr:row>
      <xdr:rowOff>104775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63BF0EE9-D232-48B6-8362-A9E41AED16CD}"/>
            </a:ext>
          </a:extLst>
        </xdr:cNvPr>
        <xdr:cNvCxnSpPr/>
      </xdr:nvCxnSpPr>
      <xdr:spPr>
        <a:xfrm>
          <a:off x="2559072" y="7970520"/>
          <a:ext cx="406590" cy="0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4637</xdr:colOff>
      <xdr:row>38</xdr:row>
      <xdr:rowOff>104775</xdr:rowOff>
    </xdr:from>
    <xdr:to>
      <xdr:col>4</xdr:col>
      <xdr:colOff>419312</xdr:colOff>
      <xdr:row>44</xdr:row>
      <xdr:rowOff>100015</xdr:rowOff>
    </xdr:to>
    <xdr:cxnSp macro="">
      <xdr:nvCxnSpPr>
        <xdr:cNvPr id="32" name="Gewinkelter Verbinder 9">
          <a:extLst>
            <a:ext uri="{FF2B5EF4-FFF2-40B4-BE49-F238E27FC236}">
              <a16:creationId xmlns:a16="http://schemas.microsoft.com/office/drawing/2014/main" id="{E1FEE04E-2B2C-412A-9533-C813E846A28F}"/>
            </a:ext>
          </a:extLst>
        </xdr:cNvPr>
        <xdr:cNvCxnSpPr/>
      </xdr:nvCxnSpPr>
      <xdr:spPr>
        <a:xfrm>
          <a:off x="2549717" y="7789545"/>
          <a:ext cx="412770" cy="1079185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812</xdr:colOff>
      <xdr:row>39</xdr:row>
      <xdr:rowOff>104776</xdr:rowOff>
    </xdr:from>
    <xdr:to>
      <xdr:col>4</xdr:col>
      <xdr:colOff>419312</xdr:colOff>
      <xdr:row>45</xdr:row>
      <xdr:rowOff>100016</xdr:rowOff>
    </xdr:to>
    <xdr:cxnSp macro="">
      <xdr:nvCxnSpPr>
        <xdr:cNvPr id="33" name="Gewinkelter Verbinder 10">
          <a:extLst>
            <a:ext uri="{FF2B5EF4-FFF2-40B4-BE49-F238E27FC236}">
              <a16:creationId xmlns:a16="http://schemas.microsoft.com/office/drawing/2014/main" id="{F5F4FDF1-75CF-40EA-833D-1CD1AEC5C59A}"/>
            </a:ext>
          </a:extLst>
        </xdr:cNvPr>
        <xdr:cNvCxnSpPr/>
      </xdr:nvCxnSpPr>
      <xdr:spPr>
        <a:xfrm>
          <a:off x="2543987" y="7970521"/>
          <a:ext cx="418500" cy="1079185"/>
        </a:xfrm>
        <a:prstGeom prst="bentConnector3">
          <a:avLst>
            <a:gd name="adj1" fmla="val 50000"/>
          </a:avLst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242521</xdr:colOff>
      <xdr:row>41</xdr:row>
      <xdr:rowOff>109538</xdr:rowOff>
    </xdr:from>
    <xdr:to>
      <xdr:col>4</xdr:col>
      <xdr:colOff>422521</xdr:colOff>
      <xdr:row>47</xdr:row>
      <xdr:rowOff>104779</xdr:rowOff>
    </xdr:to>
    <xdr:cxnSp macro="">
      <xdr:nvCxnSpPr>
        <xdr:cNvPr id="34" name="Gewinkelter Verbinder 11">
          <a:extLst>
            <a:ext uri="{FF2B5EF4-FFF2-40B4-BE49-F238E27FC236}">
              <a16:creationId xmlns:a16="http://schemas.microsoft.com/office/drawing/2014/main" id="{E31BC169-30B9-4657-A93B-96CDAE84611B}"/>
            </a:ext>
          </a:extLst>
        </xdr:cNvPr>
        <xdr:cNvCxnSpPr/>
      </xdr:nvCxnSpPr>
      <xdr:spPr>
        <a:xfrm>
          <a:off x="2789506" y="8337233"/>
          <a:ext cx="176190" cy="1081091"/>
        </a:xfrm>
        <a:prstGeom prst="bentConnector3">
          <a:avLst>
            <a:gd name="adj1" fmla="val 50000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208108</xdr:colOff>
      <xdr:row>42</xdr:row>
      <xdr:rowOff>100012</xdr:rowOff>
    </xdr:from>
    <xdr:to>
      <xdr:col>4</xdr:col>
      <xdr:colOff>424108</xdr:colOff>
      <xdr:row>48</xdr:row>
      <xdr:rowOff>95253</xdr:rowOff>
    </xdr:to>
    <xdr:cxnSp macro="">
      <xdr:nvCxnSpPr>
        <xdr:cNvPr id="35" name="Gewinkelter Verbinder 12">
          <a:extLst>
            <a:ext uri="{FF2B5EF4-FFF2-40B4-BE49-F238E27FC236}">
              <a16:creationId xmlns:a16="http://schemas.microsoft.com/office/drawing/2014/main" id="{29B43806-A28E-4FAA-AB0A-EB068B194651}"/>
            </a:ext>
          </a:extLst>
        </xdr:cNvPr>
        <xdr:cNvCxnSpPr/>
      </xdr:nvCxnSpPr>
      <xdr:spPr>
        <a:xfrm>
          <a:off x="2755093" y="8506777"/>
          <a:ext cx="214095" cy="1081091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176870</xdr:colOff>
      <xdr:row>43</xdr:row>
      <xdr:rowOff>100014</xdr:rowOff>
    </xdr:from>
    <xdr:to>
      <xdr:col>4</xdr:col>
      <xdr:colOff>428870</xdr:colOff>
      <xdr:row>49</xdr:row>
      <xdr:rowOff>95255</xdr:rowOff>
    </xdr:to>
    <xdr:cxnSp macro="">
      <xdr:nvCxnSpPr>
        <xdr:cNvPr id="36" name="Gewinkelter Verbinder 13">
          <a:extLst>
            <a:ext uri="{FF2B5EF4-FFF2-40B4-BE49-F238E27FC236}">
              <a16:creationId xmlns:a16="http://schemas.microsoft.com/office/drawing/2014/main" id="{9F3FBF28-6627-4A98-B3F5-8D324D47CE73}"/>
            </a:ext>
          </a:extLst>
        </xdr:cNvPr>
        <xdr:cNvCxnSpPr/>
      </xdr:nvCxnSpPr>
      <xdr:spPr>
        <a:xfrm>
          <a:off x="2716235" y="8687754"/>
          <a:ext cx="257715" cy="1081091"/>
        </a:xfrm>
        <a:prstGeom prst="bentConnector3">
          <a:avLst>
            <a:gd name="adj1" fmla="val 50000"/>
          </a:avLst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180557</xdr:colOff>
      <xdr:row>44</xdr:row>
      <xdr:rowOff>100013</xdr:rowOff>
    </xdr:from>
    <xdr:to>
      <xdr:col>4</xdr:col>
      <xdr:colOff>396557</xdr:colOff>
      <xdr:row>50</xdr:row>
      <xdr:rowOff>95254</xdr:rowOff>
    </xdr:to>
    <xdr:cxnSp macro="">
      <xdr:nvCxnSpPr>
        <xdr:cNvPr id="37" name="Gewinkelter Verbinder 14">
          <a:extLst>
            <a:ext uri="{FF2B5EF4-FFF2-40B4-BE49-F238E27FC236}">
              <a16:creationId xmlns:a16="http://schemas.microsoft.com/office/drawing/2014/main" id="{4D6F11A5-7D70-47D1-9ECB-5CD7BEBEF463}"/>
            </a:ext>
          </a:extLst>
        </xdr:cNvPr>
        <xdr:cNvCxnSpPr/>
      </xdr:nvCxnSpPr>
      <xdr:spPr>
        <a:xfrm>
          <a:off x="2721827" y="8868728"/>
          <a:ext cx="221715" cy="1081091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147735</xdr:colOff>
      <xdr:row>45</xdr:row>
      <xdr:rowOff>96838</xdr:rowOff>
    </xdr:from>
    <xdr:to>
      <xdr:col>4</xdr:col>
      <xdr:colOff>399735</xdr:colOff>
      <xdr:row>51</xdr:row>
      <xdr:rowOff>92079</xdr:rowOff>
    </xdr:to>
    <xdr:cxnSp macro="">
      <xdr:nvCxnSpPr>
        <xdr:cNvPr id="38" name="Gewinkelter Verbinder 15">
          <a:extLst>
            <a:ext uri="{FF2B5EF4-FFF2-40B4-BE49-F238E27FC236}">
              <a16:creationId xmlns:a16="http://schemas.microsoft.com/office/drawing/2014/main" id="{9AA4D5CC-BFE8-4FD3-B163-21212F23D00F}"/>
            </a:ext>
          </a:extLst>
        </xdr:cNvPr>
        <xdr:cNvCxnSpPr/>
      </xdr:nvCxnSpPr>
      <xdr:spPr>
        <a:xfrm>
          <a:off x="2689005" y="9046528"/>
          <a:ext cx="257715" cy="1088711"/>
        </a:xfrm>
        <a:prstGeom prst="bentConnector3">
          <a:avLst>
            <a:gd name="adj1" fmla="val 50000"/>
          </a:avLst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463550</xdr:colOff>
      <xdr:row>10</xdr:row>
      <xdr:rowOff>127000</xdr:rowOff>
    </xdr:from>
    <xdr:to>
      <xdr:col>11</xdr:col>
      <xdr:colOff>336550</xdr:colOff>
      <xdr:row>11</xdr:row>
      <xdr:rowOff>88900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A42FEFCC-BB01-4332-85C1-188229F2F937}"/>
            </a:ext>
          </a:extLst>
        </xdr:cNvPr>
        <xdr:cNvSpPr txBox="1"/>
      </xdr:nvSpPr>
      <xdr:spPr>
        <a:xfrm>
          <a:off x="9982200" y="1988185"/>
          <a:ext cx="0" cy="1428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120</a:t>
          </a:r>
          <a:r>
            <a:rPr lang="de-DE" sz="1100"/>
            <a:t>00</a:t>
          </a:r>
        </a:p>
      </xdr:txBody>
    </xdr:sp>
    <xdr:clientData/>
  </xdr:twoCellAnchor>
  <xdr:twoCellAnchor>
    <xdr:from>
      <xdr:col>10</xdr:col>
      <xdr:colOff>463550</xdr:colOff>
      <xdr:row>9</xdr:row>
      <xdr:rowOff>127000</xdr:rowOff>
    </xdr:from>
    <xdr:to>
      <xdr:col>11</xdr:col>
      <xdr:colOff>336550</xdr:colOff>
      <xdr:row>10</xdr:row>
      <xdr:rowOff>88900</xdr:rowOff>
    </xdr:to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FAE6489C-D689-44B3-BAE8-AA12B18BCE1C}"/>
            </a:ext>
          </a:extLst>
        </xdr:cNvPr>
        <xdr:cNvSpPr txBox="1"/>
      </xdr:nvSpPr>
      <xdr:spPr>
        <a:xfrm>
          <a:off x="9982200" y="1807210"/>
          <a:ext cx="0" cy="1428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123</a:t>
          </a:r>
          <a:r>
            <a:rPr lang="de-DE" sz="1100"/>
            <a:t>00</a:t>
          </a:r>
        </a:p>
      </xdr:txBody>
    </xdr:sp>
    <xdr:clientData/>
  </xdr:twoCellAnchor>
  <xdr:twoCellAnchor>
    <xdr:from>
      <xdr:col>21</xdr:col>
      <xdr:colOff>565150</xdr:colOff>
      <xdr:row>14</xdr:row>
      <xdr:rowOff>127000</xdr:rowOff>
    </xdr:from>
    <xdr:to>
      <xdr:col>22</xdr:col>
      <xdr:colOff>438150</xdr:colOff>
      <xdr:row>15</xdr:row>
      <xdr:rowOff>88900</xdr:rowOff>
    </xdr:to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39D7EF7F-CF1B-4843-A89D-8B7289BF1E72}"/>
            </a:ext>
          </a:extLst>
        </xdr:cNvPr>
        <xdr:cNvSpPr txBox="1"/>
      </xdr:nvSpPr>
      <xdr:spPr>
        <a:xfrm>
          <a:off x="9982200" y="2712085"/>
          <a:ext cx="0" cy="1428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8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Sandbett</a:t>
          </a:r>
        </a:p>
      </xdr:txBody>
    </xdr:sp>
    <xdr:clientData/>
  </xdr:twoCellAnchor>
  <xdr:twoCellAnchor>
    <xdr:from>
      <xdr:col>21</xdr:col>
      <xdr:colOff>565150</xdr:colOff>
      <xdr:row>14</xdr:row>
      <xdr:rowOff>127000</xdr:rowOff>
    </xdr:from>
    <xdr:to>
      <xdr:col>22</xdr:col>
      <xdr:colOff>438150</xdr:colOff>
      <xdr:row>15</xdr:row>
      <xdr:rowOff>88900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DD2E06F2-351A-4174-AD8B-929556154B45}"/>
            </a:ext>
          </a:extLst>
        </xdr:cNvPr>
        <xdr:cNvSpPr txBox="1"/>
      </xdr:nvSpPr>
      <xdr:spPr>
        <a:xfrm>
          <a:off x="9982200" y="2712085"/>
          <a:ext cx="0" cy="142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endParaRPr lang="de-DE" sz="1100"/>
        </a:p>
      </xdr:txBody>
    </xdr:sp>
    <xdr:clientData/>
  </xdr:twoCellAnchor>
  <xdr:oneCellAnchor>
    <xdr:from>
      <xdr:col>5</xdr:col>
      <xdr:colOff>0</xdr:colOff>
      <xdr:row>38</xdr:row>
      <xdr:rowOff>0</xdr:rowOff>
    </xdr:from>
    <xdr:ext cx="278281" cy="264560"/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4FDA94A2-2ACA-408D-BAB0-63DD5E018F5F}"/>
            </a:ext>
          </a:extLst>
        </xdr:cNvPr>
        <xdr:cNvSpPr txBox="1"/>
      </xdr:nvSpPr>
      <xdr:spPr>
        <a:xfrm>
          <a:off x="332422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278281" cy="264560"/>
    <xdr:sp macro="" textlink="">
      <xdr:nvSpPr>
        <xdr:cNvPr id="44" name="Textfeld 43">
          <a:extLst>
            <a:ext uri="{FF2B5EF4-FFF2-40B4-BE49-F238E27FC236}">
              <a16:creationId xmlns:a16="http://schemas.microsoft.com/office/drawing/2014/main" id="{E448BC2C-65A6-4811-B118-2A991491D540}"/>
            </a:ext>
          </a:extLst>
        </xdr:cNvPr>
        <xdr:cNvSpPr txBox="1"/>
      </xdr:nvSpPr>
      <xdr:spPr>
        <a:xfrm>
          <a:off x="391477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278281" cy="264560"/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3F40CBAA-2236-4FBF-B0E0-0B205B229AF4}"/>
            </a:ext>
          </a:extLst>
        </xdr:cNvPr>
        <xdr:cNvSpPr txBox="1"/>
      </xdr:nvSpPr>
      <xdr:spPr>
        <a:xfrm>
          <a:off x="456247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41</xdr:row>
      <xdr:rowOff>157163</xdr:rowOff>
    </xdr:from>
    <xdr:ext cx="278281" cy="264560"/>
    <xdr:sp macro="" textlink="">
      <xdr:nvSpPr>
        <xdr:cNvPr id="46" name="Textfeld 45">
          <a:extLst>
            <a:ext uri="{FF2B5EF4-FFF2-40B4-BE49-F238E27FC236}">
              <a16:creationId xmlns:a16="http://schemas.microsoft.com/office/drawing/2014/main" id="{73CA00C4-4B0B-4887-8CF6-C26E2E785BF3}"/>
            </a:ext>
          </a:extLst>
        </xdr:cNvPr>
        <xdr:cNvSpPr txBox="1"/>
      </xdr:nvSpPr>
      <xdr:spPr>
        <a:xfrm>
          <a:off x="333565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41</xdr:row>
      <xdr:rowOff>157163</xdr:rowOff>
    </xdr:from>
    <xdr:ext cx="278281" cy="264560"/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C90E8E45-3039-4CFE-93E7-3B1A2CDFD7F4}"/>
            </a:ext>
          </a:extLst>
        </xdr:cNvPr>
        <xdr:cNvSpPr txBox="1"/>
      </xdr:nvSpPr>
      <xdr:spPr>
        <a:xfrm>
          <a:off x="392620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42</xdr:row>
      <xdr:rowOff>157163</xdr:rowOff>
    </xdr:from>
    <xdr:ext cx="278281" cy="264560"/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60B956F0-6A77-440E-9D57-2B54655C5718}"/>
            </a:ext>
          </a:extLst>
        </xdr:cNvPr>
        <xdr:cNvSpPr txBox="1"/>
      </xdr:nvSpPr>
      <xdr:spPr>
        <a:xfrm>
          <a:off x="392620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43</xdr:row>
      <xdr:rowOff>157163</xdr:rowOff>
    </xdr:from>
    <xdr:ext cx="278281" cy="264560"/>
    <xdr:sp macro="" textlink="">
      <xdr:nvSpPr>
        <xdr:cNvPr id="49" name="Textfeld 48">
          <a:extLst>
            <a:ext uri="{FF2B5EF4-FFF2-40B4-BE49-F238E27FC236}">
              <a16:creationId xmlns:a16="http://schemas.microsoft.com/office/drawing/2014/main" id="{7CB54352-506F-4538-A0B8-53FAC4E7012D}"/>
            </a:ext>
          </a:extLst>
        </xdr:cNvPr>
        <xdr:cNvSpPr txBox="1"/>
      </xdr:nvSpPr>
      <xdr:spPr>
        <a:xfrm>
          <a:off x="3926205" y="87506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41</xdr:row>
      <xdr:rowOff>157163</xdr:rowOff>
    </xdr:from>
    <xdr:ext cx="278281" cy="264560"/>
    <xdr:sp macro="" textlink="">
      <xdr:nvSpPr>
        <xdr:cNvPr id="50" name="Textfeld 49">
          <a:extLst>
            <a:ext uri="{FF2B5EF4-FFF2-40B4-BE49-F238E27FC236}">
              <a16:creationId xmlns:a16="http://schemas.microsoft.com/office/drawing/2014/main" id="{B0CBEF44-84B3-44BC-8320-D8FDBF8B5FFC}"/>
            </a:ext>
          </a:extLst>
        </xdr:cNvPr>
        <xdr:cNvSpPr txBox="1"/>
      </xdr:nvSpPr>
      <xdr:spPr>
        <a:xfrm>
          <a:off x="457390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42</xdr:row>
      <xdr:rowOff>157163</xdr:rowOff>
    </xdr:from>
    <xdr:ext cx="278281" cy="264560"/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E3C32024-54AA-4AE3-8285-CC7432143779}"/>
            </a:ext>
          </a:extLst>
        </xdr:cNvPr>
        <xdr:cNvSpPr txBox="1"/>
      </xdr:nvSpPr>
      <xdr:spPr>
        <a:xfrm>
          <a:off x="457390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43</xdr:row>
      <xdr:rowOff>157163</xdr:rowOff>
    </xdr:from>
    <xdr:ext cx="278281" cy="264560"/>
    <xdr:sp macro="" textlink="">
      <xdr:nvSpPr>
        <xdr:cNvPr id="52" name="Textfeld 51">
          <a:extLst>
            <a:ext uri="{FF2B5EF4-FFF2-40B4-BE49-F238E27FC236}">
              <a16:creationId xmlns:a16="http://schemas.microsoft.com/office/drawing/2014/main" id="{FBBE72FA-C330-4AFB-BDA6-69901BA095F0}"/>
            </a:ext>
          </a:extLst>
        </xdr:cNvPr>
        <xdr:cNvSpPr txBox="1"/>
      </xdr:nvSpPr>
      <xdr:spPr>
        <a:xfrm>
          <a:off x="4573905" y="87506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0</xdr:colOff>
      <xdr:row>43</xdr:row>
      <xdr:rowOff>147633</xdr:rowOff>
    </xdr:from>
    <xdr:ext cx="278281" cy="264560"/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DEB40635-AC7D-4C61-94FD-1862D0EEDF77}"/>
            </a:ext>
          </a:extLst>
        </xdr:cNvPr>
        <xdr:cNvSpPr txBox="1"/>
      </xdr:nvSpPr>
      <xdr:spPr>
        <a:xfrm>
          <a:off x="3324225" y="873727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42</xdr:row>
      <xdr:rowOff>157163</xdr:rowOff>
    </xdr:from>
    <xdr:ext cx="278281" cy="264560"/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0DAA1A6C-7623-466B-BB6F-1E6F78C2FC9F}"/>
            </a:ext>
          </a:extLst>
        </xdr:cNvPr>
        <xdr:cNvSpPr txBox="1"/>
      </xdr:nvSpPr>
      <xdr:spPr>
        <a:xfrm>
          <a:off x="333565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47</xdr:row>
      <xdr:rowOff>157163</xdr:rowOff>
    </xdr:from>
    <xdr:ext cx="278281" cy="264560"/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id="{BF9FF6F3-74B6-4519-916B-2BB19B9C5D2F}"/>
            </a:ext>
          </a:extLst>
        </xdr:cNvPr>
        <xdr:cNvSpPr txBox="1"/>
      </xdr:nvSpPr>
      <xdr:spPr>
        <a:xfrm>
          <a:off x="392620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48</xdr:row>
      <xdr:rowOff>157163</xdr:rowOff>
    </xdr:from>
    <xdr:ext cx="278281" cy="264560"/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F09E4D31-AD99-4A54-945B-1D7B5E3CD174}"/>
            </a:ext>
          </a:extLst>
        </xdr:cNvPr>
        <xdr:cNvSpPr txBox="1"/>
      </xdr:nvSpPr>
      <xdr:spPr>
        <a:xfrm>
          <a:off x="392620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49</xdr:row>
      <xdr:rowOff>157163</xdr:rowOff>
    </xdr:from>
    <xdr:ext cx="278281" cy="264560"/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A20C1E33-AFE0-425E-B330-621A86127440}"/>
            </a:ext>
          </a:extLst>
        </xdr:cNvPr>
        <xdr:cNvSpPr txBox="1"/>
      </xdr:nvSpPr>
      <xdr:spPr>
        <a:xfrm>
          <a:off x="3926205" y="98364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47</xdr:row>
      <xdr:rowOff>157163</xdr:rowOff>
    </xdr:from>
    <xdr:ext cx="278281" cy="264560"/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8DB5C307-804E-4CB5-81EB-91FE73CFF77C}"/>
            </a:ext>
          </a:extLst>
        </xdr:cNvPr>
        <xdr:cNvSpPr txBox="1"/>
      </xdr:nvSpPr>
      <xdr:spPr>
        <a:xfrm>
          <a:off x="457390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48</xdr:row>
      <xdr:rowOff>157163</xdr:rowOff>
    </xdr:from>
    <xdr:ext cx="278281" cy="264560"/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EB63B5CD-558D-4C52-910E-142B6074C525}"/>
            </a:ext>
          </a:extLst>
        </xdr:cNvPr>
        <xdr:cNvSpPr txBox="1"/>
      </xdr:nvSpPr>
      <xdr:spPr>
        <a:xfrm>
          <a:off x="457390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49</xdr:row>
      <xdr:rowOff>157163</xdr:rowOff>
    </xdr:from>
    <xdr:ext cx="278281" cy="264560"/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AB0FAC0A-2345-41A1-9813-A2D4E6CA1E60}"/>
            </a:ext>
          </a:extLst>
        </xdr:cNvPr>
        <xdr:cNvSpPr txBox="1"/>
      </xdr:nvSpPr>
      <xdr:spPr>
        <a:xfrm>
          <a:off x="4573905" y="98364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47</xdr:row>
      <xdr:rowOff>157163</xdr:rowOff>
    </xdr:from>
    <xdr:ext cx="278281" cy="264560"/>
    <xdr:sp macro="" textlink="">
      <xdr:nvSpPr>
        <xdr:cNvPr id="61" name="Textfeld 60">
          <a:extLst>
            <a:ext uri="{FF2B5EF4-FFF2-40B4-BE49-F238E27FC236}">
              <a16:creationId xmlns:a16="http://schemas.microsoft.com/office/drawing/2014/main" id="{E4A752E8-C5DB-4062-96E8-CB32E9D5AE51}"/>
            </a:ext>
          </a:extLst>
        </xdr:cNvPr>
        <xdr:cNvSpPr txBox="1"/>
      </xdr:nvSpPr>
      <xdr:spPr>
        <a:xfrm>
          <a:off x="333565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48</xdr:row>
      <xdr:rowOff>157163</xdr:rowOff>
    </xdr:from>
    <xdr:ext cx="278281" cy="264560"/>
    <xdr:sp macro="" textlink="">
      <xdr:nvSpPr>
        <xdr:cNvPr id="62" name="Textfeld 61">
          <a:extLst>
            <a:ext uri="{FF2B5EF4-FFF2-40B4-BE49-F238E27FC236}">
              <a16:creationId xmlns:a16="http://schemas.microsoft.com/office/drawing/2014/main" id="{F22EBF83-9E51-454B-8082-8D772CADB1B3}"/>
            </a:ext>
          </a:extLst>
        </xdr:cNvPr>
        <xdr:cNvSpPr txBox="1"/>
      </xdr:nvSpPr>
      <xdr:spPr>
        <a:xfrm>
          <a:off x="333565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0</xdr:colOff>
      <xdr:row>49</xdr:row>
      <xdr:rowOff>147633</xdr:rowOff>
    </xdr:from>
    <xdr:ext cx="278281" cy="264560"/>
    <xdr:sp macro="" textlink="">
      <xdr:nvSpPr>
        <xdr:cNvPr id="63" name="Textfeld 62">
          <a:extLst>
            <a:ext uri="{FF2B5EF4-FFF2-40B4-BE49-F238E27FC236}">
              <a16:creationId xmlns:a16="http://schemas.microsoft.com/office/drawing/2014/main" id="{2924BD44-F23C-4EF3-94AC-502A3DC86E2E}"/>
            </a:ext>
          </a:extLst>
        </xdr:cNvPr>
        <xdr:cNvSpPr txBox="1"/>
      </xdr:nvSpPr>
      <xdr:spPr>
        <a:xfrm>
          <a:off x="3324225" y="982312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twoCellAnchor>
    <xdr:from>
      <xdr:col>12</xdr:col>
      <xdr:colOff>409574</xdr:colOff>
      <xdr:row>28</xdr:row>
      <xdr:rowOff>85725</xdr:rowOff>
    </xdr:from>
    <xdr:to>
      <xdr:col>12</xdr:col>
      <xdr:colOff>455293</xdr:colOff>
      <xdr:row>36</xdr:row>
      <xdr:rowOff>104775</xdr:rowOff>
    </xdr:to>
    <xdr:sp macro="" textlink="">
      <xdr:nvSpPr>
        <xdr:cNvPr id="1024" name="Eckige Klammer rechts 1023">
          <a:extLst>
            <a:ext uri="{FF2B5EF4-FFF2-40B4-BE49-F238E27FC236}">
              <a16:creationId xmlns:a16="http://schemas.microsoft.com/office/drawing/2014/main" id="{0B0BC6C4-8564-497B-8525-073311599C52}"/>
            </a:ext>
          </a:extLst>
        </xdr:cNvPr>
        <xdr:cNvSpPr/>
      </xdr:nvSpPr>
      <xdr:spPr>
        <a:xfrm rot="10800000">
          <a:off x="9982200" y="5212080"/>
          <a:ext cx="0" cy="22155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400049</xdr:colOff>
      <xdr:row>38</xdr:row>
      <xdr:rowOff>123824</xdr:rowOff>
    </xdr:from>
    <xdr:to>
      <xdr:col>12</xdr:col>
      <xdr:colOff>445768</xdr:colOff>
      <xdr:row>45</xdr:row>
      <xdr:rowOff>114299</xdr:rowOff>
    </xdr:to>
    <xdr:sp macro="" textlink="">
      <xdr:nvSpPr>
        <xdr:cNvPr id="1028" name="Eckige Klammer rechts 1027">
          <a:extLst>
            <a:ext uri="{FF2B5EF4-FFF2-40B4-BE49-F238E27FC236}">
              <a16:creationId xmlns:a16="http://schemas.microsoft.com/office/drawing/2014/main" id="{52922D22-7C24-4204-8936-232E44D76813}"/>
            </a:ext>
          </a:extLst>
        </xdr:cNvPr>
        <xdr:cNvSpPr/>
      </xdr:nvSpPr>
      <xdr:spPr>
        <a:xfrm rot="10800000">
          <a:off x="9982200" y="7812404"/>
          <a:ext cx="0" cy="125539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12087</xdr:colOff>
      <xdr:row>38</xdr:row>
      <xdr:rowOff>104775</xdr:rowOff>
    </xdr:from>
    <xdr:to>
      <xdr:col>4</xdr:col>
      <xdr:colOff>422487</xdr:colOff>
      <xdr:row>38</xdr:row>
      <xdr:rowOff>104775</xdr:rowOff>
    </xdr:to>
    <xdr:cxnSp macro="">
      <xdr:nvCxnSpPr>
        <xdr:cNvPr id="1029" name="Gerade Verbindung mit Pfeil 1028">
          <a:extLst>
            <a:ext uri="{FF2B5EF4-FFF2-40B4-BE49-F238E27FC236}">
              <a16:creationId xmlns:a16="http://schemas.microsoft.com/office/drawing/2014/main" id="{CC636D0C-8FFF-409B-9F98-9C7B22CECA4A}"/>
            </a:ext>
          </a:extLst>
        </xdr:cNvPr>
        <xdr:cNvCxnSpPr/>
      </xdr:nvCxnSpPr>
      <xdr:spPr>
        <a:xfrm>
          <a:off x="2559072" y="7789545"/>
          <a:ext cx="406590" cy="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12087</xdr:colOff>
      <xdr:row>39</xdr:row>
      <xdr:rowOff>104775</xdr:rowOff>
    </xdr:from>
    <xdr:to>
      <xdr:col>4</xdr:col>
      <xdr:colOff>422487</xdr:colOff>
      <xdr:row>39</xdr:row>
      <xdr:rowOff>104775</xdr:rowOff>
    </xdr:to>
    <xdr:cxnSp macro="">
      <xdr:nvCxnSpPr>
        <xdr:cNvPr id="1030" name="Gerade Verbindung mit Pfeil 1029">
          <a:extLst>
            <a:ext uri="{FF2B5EF4-FFF2-40B4-BE49-F238E27FC236}">
              <a16:creationId xmlns:a16="http://schemas.microsoft.com/office/drawing/2014/main" id="{5EB299FD-C5B6-4919-930A-37C8C5BAC109}"/>
            </a:ext>
          </a:extLst>
        </xdr:cNvPr>
        <xdr:cNvCxnSpPr/>
      </xdr:nvCxnSpPr>
      <xdr:spPr>
        <a:xfrm>
          <a:off x="2559072" y="7970520"/>
          <a:ext cx="406590" cy="0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4637</xdr:colOff>
      <xdr:row>38</xdr:row>
      <xdr:rowOff>104775</xdr:rowOff>
    </xdr:from>
    <xdr:to>
      <xdr:col>4</xdr:col>
      <xdr:colOff>419312</xdr:colOff>
      <xdr:row>44</xdr:row>
      <xdr:rowOff>100015</xdr:rowOff>
    </xdr:to>
    <xdr:cxnSp macro="">
      <xdr:nvCxnSpPr>
        <xdr:cNvPr id="1031" name="Gewinkelter Verbinder 9">
          <a:extLst>
            <a:ext uri="{FF2B5EF4-FFF2-40B4-BE49-F238E27FC236}">
              <a16:creationId xmlns:a16="http://schemas.microsoft.com/office/drawing/2014/main" id="{EF15E838-546E-4687-BD1F-3D6442E5C86A}"/>
            </a:ext>
          </a:extLst>
        </xdr:cNvPr>
        <xdr:cNvCxnSpPr/>
      </xdr:nvCxnSpPr>
      <xdr:spPr>
        <a:xfrm>
          <a:off x="2549717" y="7789545"/>
          <a:ext cx="412770" cy="1079185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812</xdr:colOff>
      <xdr:row>39</xdr:row>
      <xdr:rowOff>104776</xdr:rowOff>
    </xdr:from>
    <xdr:to>
      <xdr:col>4</xdr:col>
      <xdr:colOff>419312</xdr:colOff>
      <xdr:row>45</xdr:row>
      <xdr:rowOff>100016</xdr:rowOff>
    </xdr:to>
    <xdr:cxnSp macro="">
      <xdr:nvCxnSpPr>
        <xdr:cNvPr id="1032" name="Gewinkelter Verbinder 10">
          <a:extLst>
            <a:ext uri="{FF2B5EF4-FFF2-40B4-BE49-F238E27FC236}">
              <a16:creationId xmlns:a16="http://schemas.microsoft.com/office/drawing/2014/main" id="{9FDB2395-2AB8-456E-8B7A-EB9F241E9392}"/>
            </a:ext>
          </a:extLst>
        </xdr:cNvPr>
        <xdr:cNvCxnSpPr/>
      </xdr:nvCxnSpPr>
      <xdr:spPr>
        <a:xfrm>
          <a:off x="2543987" y="7970521"/>
          <a:ext cx="418500" cy="1079185"/>
        </a:xfrm>
        <a:prstGeom prst="bentConnector3">
          <a:avLst>
            <a:gd name="adj1" fmla="val 50000"/>
          </a:avLst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242521</xdr:colOff>
      <xdr:row>41</xdr:row>
      <xdr:rowOff>109538</xdr:rowOff>
    </xdr:from>
    <xdr:to>
      <xdr:col>4</xdr:col>
      <xdr:colOff>422521</xdr:colOff>
      <xdr:row>47</xdr:row>
      <xdr:rowOff>104779</xdr:rowOff>
    </xdr:to>
    <xdr:cxnSp macro="">
      <xdr:nvCxnSpPr>
        <xdr:cNvPr id="1033" name="Gewinkelter Verbinder 11">
          <a:extLst>
            <a:ext uri="{FF2B5EF4-FFF2-40B4-BE49-F238E27FC236}">
              <a16:creationId xmlns:a16="http://schemas.microsoft.com/office/drawing/2014/main" id="{BCAFAEF5-BE71-4B79-967A-640F6682D628}"/>
            </a:ext>
          </a:extLst>
        </xdr:cNvPr>
        <xdr:cNvCxnSpPr/>
      </xdr:nvCxnSpPr>
      <xdr:spPr>
        <a:xfrm>
          <a:off x="2789506" y="8337233"/>
          <a:ext cx="176190" cy="1081091"/>
        </a:xfrm>
        <a:prstGeom prst="bentConnector3">
          <a:avLst>
            <a:gd name="adj1" fmla="val 50000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208108</xdr:colOff>
      <xdr:row>42</xdr:row>
      <xdr:rowOff>100012</xdr:rowOff>
    </xdr:from>
    <xdr:to>
      <xdr:col>4</xdr:col>
      <xdr:colOff>424108</xdr:colOff>
      <xdr:row>48</xdr:row>
      <xdr:rowOff>95253</xdr:rowOff>
    </xdr:to>
    <xdr:cxnSp macro="">
      <xdr:nvCxnSpPr>
        <xdr:cNvPr id="1034" name="Gewinkelter Verbinder 12">
          <a:extLst>
            <a:ext uri="{FF2B5EF4-FFF2-40B4-BE49-F238E27FC236}">
              <a16:creationId xmlns:a16="http://schemas.microsoft.com/office/drawing/2014/main" id="{261D4F40-866D-43DE-B666-11614811D7E4}"/>
            </a:ext>
          </a:extLst>
        </xdr:cNvPr>
        <xdr:cNvCxnSpPr/>
      </xdr:nvCxnSpPr>
      <xdr:spPr>
        <a:xfrm>
          <a:off x="2755093" y="8506777"/>
          <a:ext cx="214095" cy="1081091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176870</xdr:colOff>
      <xdr:row>43</xdr:row>
      <xdr:rowOff>100014</xdr:rowOff>
    </xdr:from>
    <xdr:to>
      <xdr:col>4</xdr:col>
      <xdr:colOff>428870</xdr:colOff>
      <xdr:row>49</xdr:row>
      <xdr:rowOff>95255</xdr:rowOff>
    </xdr:to>
    <xdr:cxnSp macro="">
      <xdr:nvCxnSpPr>
        <xdr:cNvPr id="1035" name="Gewinkelter Verbinder 13">
          <a:extLst>
            <a:ext uri="{FF2B5EF4-FFF2-40B4-BE49-F238E27FC236}">
              <a16:creationId xmlns:a16="http://schemas.microsoft.com/office/drawing/2014/main" id="{04FEADE6-BB4E-4B85-8325-7CD508DEC843}"/>
            </a:ext>
          </a:extLst>
        </xdr:cNvPr>
        <xdr:cNvCxnSpPr/>
      </xdr:nvCxnSpPr>
      <xdr:spPr>
        <a:xfrm>
          <a:off x="2716235" y="8687754"/>
          <a:ext cx="257715" cy="1081091"/>
        </a:xfrm>
        <a:prstGeom prst="bentConnector3">
          <a:avLst>
            <a:gd name="adj1" fmla="val 50000"/>
          </a:avLst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180557</xdr:colOff>
      <xdr:row>44</xdr:row>
      <xdr:rowOff>100013</xdr:rowOff>
    </xdr:from>
    <xdr:to>
      <xdr:col>4</xdr:col>
      <xdr:colOff>396557</xdr:colOff>
      <xdr:row>50</xdr:row>
      <xdr:rowOff>95254</xdr:rowOff>
    </xdr:to>
    <xdr:cxnSp macro="">
      <xdr:nvCxnSpPr>
        <xdr:cNvPr id="1036" name="Gewinkelter Verbinder 14">
          <a:extLst>
            <a:ext uri="{FF2B5EF4-FFF2-40B4-BE49-F238E27FC236}">
              <a16:creationId xmlns:a16="http://schemas.microsoft.com/office/drawing/2014/main" id="{3C9C5EDD-CCB3-45B2-921F-630EAB7FCA1D}"/>
            </a:ext>
          </a:extLst>
        </xdr:cNvPr>
        <xdr:cNvCxnSpPr/>
      </xdr:nvCxnSpPr>
      <xdr:spPr>
        <a:xfrm>
          <a:off x="2721827" y="8868728"/>
          <a:ext cx="221715" cy="1081091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147735</xdr:colOff>
      <xdr:row>45</xdr:row>
      <xdr:rowOff>96838</xdr:rowOff>
    </xdr:from>
    <xdr:to>
      <xdr:col>4</xdr:col>
      <xdr:colOff>399735</xdr:colOff>
      <xdr:row>51</xdr:row>
      <xdr:rowOff>92079</xdr:rowOff>
    </xdr:to>
    <xdr:cxnSp macro="">
      <xdr:nvCxnSpPr>
        <xdr:cNvPr id="1037" name="Gewinkelter Verbinder 15">
          <a:extLst>
            <a:ext uri="{FF2B5EF4-FFF2-40B4-BE49-F238E27FC236}">
              <a16:creationId xmlns:a16="http://schemas.microsoft.com/office/drawing/2014/main" id="{458FB02E-AACF-4515-A64B-29B4F7E8F83E}"/>
            </a:ext>
          </a:extLst>
        </xdr:cNvPr>
        <xdr:cNvCxnSpPr/>
      </xdr:nvCxnSpPr>
      <xdr:spPr>
        <a:xfrm>
          <a:off x="2689005" y="9046528"/>
          <a:ext cx="257715" cy="1088711"/>
        </a:xfrm>
        <a:prstGeom prst="bentConnector3">
          <a:avLst>
            <a:gd name="adj1" fmla="val 50000"/>
          </a:avLst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600075</xdr:colOff>
      <xdr:row>115</xdr:row>
      <xdr:rowOff>0</xdr:rowOff>
    </xdr:from>
    <xdr:to>
      <xdr:col>8</xdr:col>
      <xdr:colOff>609600</xdr:colOff>
      <xdr:row>120</xdr:row>
      <xdr:rowOff>91440</xdr:rowOff>
    </xdr:to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A2415D38-E380-434C-9E20-706EB27935B8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1143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64AA4896-CDF5-41FB-B94B-AD939490B7EF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386ED922-774A-4B08-B66B-604CB2AECD97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830383B6-5635-4BBE-9B4B-B91C710F87D1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7385964D-FE12-430F-A7E1-D74EEA6B74DC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59D8821A-7B52-402F-A1FF-44EB51F034D5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723F0A57-3B85-46C2-BD2D-E0F928D14A0C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115</xdr:row>
      <xdr:rowOff>0</xdr:rowOff>
    </xdr:from>
    <xdr:ext cx="76200" cy="200025"/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599CE757-711F-4C4B-AB71-F8B4FFEE1FBA}"/>
            </a:ext>
          </a:extLst>
        </xdr:cNvPr>
        <xdr:cNvSpPr txBox="1">
          <a:spLocks noChangeArrowheads="1"/>
        </xdr:cNvSpPr>
      </xdr:nvSpPr>
      <xdr:spPr bwMode="auto">
        <a:xfrm>
          <a:off x="5861349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3F18F4A6-63A0-4333-9A71-EE29E2A98F39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13184F7F-39EB-4E3F-B465-D5153FA6DDBB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CBDE0C77-E452-4179-AF36-7F1E89B8FBBE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CA0546DC-EAB6-46B9-8DEE-53DD8055BF2F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0C06DE4C-FBFF-493F-8665-2B125CA68DF9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8C070010-793E-4069-9BCD-5F5E63C82233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33020F68-94A8-427F-BF4C-F80CF7216050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77031C18-025B-4BCF-8479-11327B3D164F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1981200</xdr:colOff>
          <xdr:row>4</xdr:row>
          <xdr:rowOff>22860</xdr:rowOff>
        </xdr:from>
        <xdr:to>
          <xdr:col>8</xdr:col>
          <xdr:colOff>3512820</xdr:colOff>
          <xdr:row>5</xdr:row>
          <xdr:rowOff>83820</xdr:rowOff>
        </xdr:to>
        <xdr:sp macro="" textlink="">
          <xdr:nvSpPr>
            <xdr:cNvPr id="1054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884F60B-4645-4B8C-B100-5E1A651D16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weiter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8</xdr:col>
      <xdr:colOff>600075</xdr:colOff>
      <xdr:row>115</xdr:row>
      <xdr:rowOff>0</xdr:rowOff>
    </xdr:from>
    <xdr:to>
      <xdr:col>8</xdr:col>
      <xdr:colOff>609600</xdr:colOff>
      <xdr:row>120</xdr:row>
      <xdr:rowOff>91440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85ABDE7C-FFFE-493D-8C18-6D335448A22A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1143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4B71057B-A85D-4542-8E5B-C725B1C83E8B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0D0E1679-0F8D-4434-8A2C-376F59679510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DB553C29-D893-450C-9541-8C67CBBD2411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F67EF4B8-0701-49ED-8274-00E78FA9B62D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D00A8524-7C15-469A-914C-542AF636B02C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19316A3C-2043-4223-A81D-C995CF183461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115</xdr:row>
      <xdr:rowOff>0</xdr:rowOff>
    </xdr:from>
    <xdr:ext cx="76200" cy="200025"/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E7672C04-8580-449D-BCBA-54082019659A}"/>
            </a:ext>
          </a:extLst>
        </xdr:cNvPr>
        <xdr:cNvSpPr txBox="1">
          <a:spLocks noChangeArrowheads="1"/>
        </xdr:cNvSpPr>
      </xdr:nvSpPr>
      <xdr:spPr bwMode="auto">
        <a:xfrm>
          <a:off x="5861349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1A6E6B4D-9E29-4A00-A4F4-081122DD0978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54703EAB-7B10-48A7-B4C3-488129184884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52370D74-A0C8-4EBF-858C-850045D0CA4D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918632C6-8951-40BD-BABF-EF1E66CE81CC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55162DCA-566B-491B-A3B1-59907254EA1C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80275A04-7D53-41F6-BA86-B058D682B5BC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38FF8823-0E38-4B26-B37C-52DD29932652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C2033757-BE8A-4057-BEB6-18355CBC3F68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600075</xdr:colOff>
      <xdr:row>115</xdr:row>
      <xdr:rowOff>0</xdr:rowOff>
    </xdr:from>
    <xdr:to>
      <xdr:col>8</xdr:col>
      <xdr:colOff>609600</xdr:colOff>
      <xdr:row>120</xdr:row>
      <xdr:rowOff>91440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5B873E98-35D9-4DE2-9D73-A985FC8F027F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1143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D4D1BC21-2081-467D-836A-ADEAAA3DAE76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7C011C30-F382-4024-8568-1F3CD859A81E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309DD607-21FA-4BE7-B31F-ED3258DFB50C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D13B6325-8D13-4A6D-9AAB-F2B649630D78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78BF03F1-81CF-4028-B344-3B21F3AFA47D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68D90A91-0750-4CA2-A1C8-2B8219B56233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115</xdr:row>
      <xdr:rowOff>0</xdr:rowOff>
    </xdr:from>
    <xdr:ext cx="76200" cy="200025"/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E982E460-B273-4C94-B36F-1BAD32C01875}"/>
            </a:ext>
          </a:extLst>
        </xdr:cNvPr>
        <xdr:cNvSpPr txBox="1">
          <a:spLocks noChangeArrowheads="1"/>
        </xdr:cNvSpPr>
      </xdr:nvSpPr>
      <xdr:spPr bwMode="auto">
        <a:xfrm>
          <a:off x="5861349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D8225BDD-1E0B-4688-9419-B2F340E2B1E1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2A91A2E6-7CD0-455B-B6CF-2A658A0B51ED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D93D1DCC-9DB6-4B87-876F-DD0CC97411AC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6204CD65-12CE-4765-8745-2CF10F55CAB0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2EDDEB73-7A20-499E-9365-D39166E38FDC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B57E940A-3FBB-4422-BA58-B0EE8FCE949D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68F3AE04-55C0-46A0-AF39-14EE3236EBD6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91CDCBDE-2EEC-4B3C-800A-ADA49E2CF900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63</xdr:col>
      <xdr:colOff>180975</xdr:colOff>
      <xdr:row>118</xdr:row>
      <xdr:rowOff>114300</xdr:rowOff>
    </xdr:from>
    <xdr:to>
      <xdr:col>63</xdr:col>
      <xdr:colOff>400050</xdr:colOff>
      <xdr:row>135</xdr:row>
      <xdr:rowOff>104775</xdr:rowOff>
    </xdr:to>
    <xdr:sp macro="" textlink="">
      <xdr:nvSpPr>
        <xdr:cNvPr id="1087" name="Geschweifte Klammer rechts 1086">
          <a:extLst>
            <a:ext uri="{FF2B5EF4-FFF2-40B4-BE49-F238E27FC236}">
              <a16:creationId xmlns:a16="http://schemas.microsoft.com/office/drawing/2014/main" id="{F3CFE84D-2742-4A4E-9990-2CC70B94D836}"/>
            </a:ext>
          </a:extLst>
        </xdr:cNvPr>
        <xdr:cNvSpPr/>
      </xdr:nvSpPr>
      <xdr:spPr>
        <a:xfrm>
          <a:off x="12380595" y="22459950"/>
          <a:ext cx="217170" cy="3084195"/>
        </a:xfrm>
        <a:prstGeom prst="rightBrace">
          <a:avLst/>
        </a:prstGeom>
        <a:ln w="254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15240</xdr:colOff>
          <xdr:row>14</xdr:row>
          <xdr:rowOff>0</xdr:rowOff>
        </xdr:from>
        <xdr:to>
          <xdr:col>67</xdr:col>
          <xdr:colOff>609600</xdr:colOff>
          <xdr:row>18</xdr:row>
          <xdr:rowOff>0</xdr:rowOff>
        </xdr:to>
        <xdr:grpSp>
          <xdr:nvGrpSpPr>
            <xdr:cNvPr id="1088" name="Gruppieren 1087">
              <a:extLst>
                <a:ext uri="{FF2B5EF4-FFF2-40B4-BE49-F238E27FC236}">
                  <a16:creationId xmlns:a16="http://schemas.microsoft.com/office/drawing/2014/main" id="{DAF3CB4B-58F7-4723-9A21-8CCE7E46B5FA}"/>
                </a:ext>
              </a:extLst>
            </xdr:cNvPr>
            <xdr:cNvGrpSpPr/>
          </xdr:nvGrpSpPr>
          <xdr:grpSpPr>
            <a:xfrm>
              <a:off x="11563350" y="2581275"/>
              <a:ext cx="4371975" cy="723900"/>
              <a:chOff x="9705975" y="2714621"/>
              <a:chExt cx="4286250" cy="762000"/>
            </a:xfrm>
          </xdr:grpSpPr>
          <xdr:sp macro="" textlink="">
            <xdr:nvSpPr>
              <xdr:cNvPr id="1089" name="Group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500-000041080000}"/>
                  </a:ext>
                </a:extLst>
              </xdr:cNvPr>
              <xdr:cNvSpPr/>
            </xdr:nvSpPr>
            <xdr:spPr bwMode="auto">
              <a:xfrm>
                <a:off x="9705975" y="2714621"/>
                <a:ext cx="4286250" cy="7620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9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500-000042080000}"/>
                  </a:ext>
                </a:extLst>
              </xdr:cNvPr>
              <xdr:cNvSpPr/>
            </xdr:nvSpPr>
            <xdr:spPr bwMode="auto">
              <a:xfrm>
                <a:off x="9734550" y="2733675"/>
                <a:ext cx="3962400" cy="180975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Erdkabel NYY-J 5 x 10 mm² RE liefern und verlegen</a:t>
                </a:r>
              </a:p>
            </xdr:txBody>
          </xdr:sp>
          <xdr:sp macro="" textlink="">
            <xdr:nvSpPr>
              <xdr:cNvPr id="109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500-000043080000}"/>
                  </a:ext>
                </a:extLst>
              </xdr:cNvPr>
              <xdr:cNvSpPr/>
            </xdr:nvSpPr>
            <xdr:spPr bwMode="auto">
              <a:xfrm>
                <a:off x="9734550" y="2924175"/>
                <a:ext cx="3962400" cy="171451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Erdkabel NYY-J 5 x 16 mm² RE liefern und verlegen</a:t>
                </a:r>
              </a:p>
            </xdr:txBody>
          </xdr:sp>
          <xdr:sp macro="" textlink="">
            <xdr:nvSpPr>
              <xdr:cNvPr id="109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500-000044080000}"/>
                  </a:ext>
                </a:extLst>
              </xdr:cNvPr>
              <xdr:cNvSpPr/>
            </xdr:nvSpPr>
            <xdr:spPr bwMode="auto">
              <a:xfrm>
                <a:off x="9734550" y="3105150"/>
                <a:ext cx="3962400" cy="171451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Erdkabel NYY-J 5 x 10 mm² RE in vorhandenem Leerrohr</a:t>
                </a:r>
              </a:p>
            </xdr:txBody>
          </xdr:sp>
          <xdr:sp macro="" textlink="">
            <xdr:nvSpPr>
              <xdr:cNvPr id="109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500-000045080000}"/>
                  </a:ext>
                </a:extLst>
              </xdr:cNvPr>
              <xdr:cNvSpPr/>
            </xdr:nvSpPr>
            <xdr:spPr bwMode="auto">
              <a:xfrm>
                <a:off x="9734550" y="3286125"/>
                <a:ext cx="3962400" cy="171451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NFA2X 4x35² liefern/montieren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24</xdr:row>
          <xdr:rowOff>22860</xdr:rowOff>
        </xdr:from>
        <xdr:to>
          <xdr:col>67</xdr:col>
          <xdr:colOff>320040</xdr:colOff>
          <xdr:row>25</xdr:row>
          <xdr:rowOff>15240</xdr:rowOff>
        </xdr:to>
        <xdr:sp macro="" textlink="">
          <xdr:nvSpPr>
            <xdr:cNvPr id="109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CF227A65-4C13-4418-83C6-73333040E9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Micro Luma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25</xdr:row>
          <xdr:rowOff>22860</xdr:rowOff>
        </xdr:from>
        <xdr:to>
          <xdr:col>67</xdr:col>
          <xdr:colOff>320040</xdr:colOff>
          <xdr:row>26</xdr:row>
          <xdr:rowOff>0</xdr:rowOff>
        </xdr:to>
        <xdr:sp macro="" textlink="">
          <xdr:nvSpPr>
            <xdr:cNvPr id="109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8C0555FC-91F0-4088-80FC-0D09C83DB0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Mini Luma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26</xdr:row>
          <xdr:rowOff>7620</xdr:rowOff>
        </xdr:from>
        <xdr:to>
          <xdr:col>67</xdr:col>
          <xdr:colOff>320040</xdr:colOff>
          <xdr:row>27</xdr:row>
          <xdr:rowOff>0</xdr:rowOff>
        </xdr:to>
        <xdr:sp macro="" textlink="">
          <xdr:nvSpPr>
            <xdr:cNvPr id="109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807E2BCA-3DE5-42C2-B9A8-A547039895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Luma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27</xdr:row>
          <xdr:rowOff>0</xdr:rowOff>
        </xdr:from>
        <xdr:to>
          <xdr:col>67</xdr:col>
          <xdr:colOff>320040</xdr:colOff>
          <xdr:row>27</xdr:row>
          <xdr:rowOff>167640</xdr:rowOff>
        </xdr:to>
        <xdr:sp macro="" textlink="">
          <xdr:nvSpPr>
            <xdr:cNvPr id="109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E038DC3B-AB4F-4C22-B241-1A79CAD546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FGÜ Mini Luma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28</xdr:row>
          <xdr:rowOff>0</xdr:rowOff>
        </xdr:from>
        <xdr:to>
          <xdr:col>67</xdr:col>
          <xdr:colOff>320040</xdr:colOff>
          <xdr:row>29</xdr:row>
          <xdr:rowOff>0</xdr:rowOff>
        </xdr:to>
        <xdr:sp macro="" textlink="">
          <xdr:nvSpPr>
            <xdr:cNvPr id="109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4BB710CD-5D61-44A2-83DE-C78C64084A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Trilux Publisca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29</xdr:row>
          <xdr:rowOff>0</xdr:rowOff>
        </xdr:from>
        <xdr:to>
          <xdr:col>67</xdr:col>
          <xdr:colOff>320040</xdr:colOff>
          <xdr:row>29</xdr:row>
          <xdr:rowOff>167640</xdr:rowOff>
        </xdr:to>
        <xdr:sp macro="" textlink="">
          <xdr:nvSpPr>
            <xdr:cNvPr id="109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2C4A313C-3E0C-49B5-98E6-7DB78769BA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Nordeon Vulkan V3458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29</xdr:row>
          <xdr:rowOff>182880</xdr:rowOff>
        </xdr:from>
        <xdr:to>
          <xdr:col>67</xdr:col>
          <xdr:colOff>320040</xdr:colOff>
          <xdr:row>30</xdr:row>
          <xdr:rowOff>167640</xdr:rowOff>
        </xdr:to>
        <xdr:sp macro="" textlink="">
          <xdr:nvSpPr>
            <xdr:cNvPr id="110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884D72E6-9479-4F37-A151-FD5A44B386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Hahn-Licht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30</xdr:row>
          <xdr:rowOff>175260</xdr:rowOff>
        </xdr:from>
        <xdr:to>
          <xdr:col>67</xdr:col>
          <xdr:colOff>320040</xdr:colOff>
          <xdr:row>31</xdr:row>
          <xdr:rowOff>152400</xdr:rowOff>
        </xdr:to>
        <xdr:sp macro="" textlink="">
          <xdr:nvSpPr>
            <xdr:cNvPr id="110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9C3922A6-698E-45A4-A9C4-FED27E1915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Leuchtenmontage o. Material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31</xdr:row>
          <xdr:rowOff>175260</xdr:rowOff>
        </xdr:from>
        <xdr:to>
          <xdr:col>67</xdr:col>
          <xdr:colOff>320040</xdr:colOff>
          <xdr:row>32</xdr:row>
          <xdr:rowOff>167640</xdr:rowOff>
        </xdr:to>
        <xdr:sp macro="" textlink="">
          <xdr:nvSpPr>
            <xdr:cNvPr id="110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E1ED468D-C594-42AD-A393-85D5EE4E84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Blendeneinbau Vulkan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32</xdr:row>
          <xdr:rowOff>175260</xdr:rowOff>
        </xdr:from>
        <xdr:to>
          <xdr:col>67</xdr:col>
          <xdr:colOff>320040</xdr:colOff>
          <xdr:row>33</xdr:row>
          <xdr:rowOff>152400</xdr:rowOff>
        </xdr:to>
        <xdr:sp macro="" textlink="">
          <xdr:nvSpPr>
            <xdr:cNvPr id="110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382C7BCE-085D-4E29-831F-86BE3BFB8E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Austausch Vulkan Leuchtendach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33</xdr:row>
          <xdr:rowOff>160020</xdr:rowOff>
        </xdr:from>
        <xdr:to>
          <xdr:col>67</xdr:col>
          <xdr:colOff>320040</xdr:colOff>
          <xdr:row>33</xdr:row>
          <xdr:rowOff>320040</xdr:rowOff>
        </xdr:to>
        <xdr:sp macro="" textlink="">
          <xdr:nvSpPr>
            <xdr:cNvPr id="110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E94B3127-F120-4ED6-A51A-4C9A588735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Isol. Klemme Leuchtenanschluss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33</xdr:row>
          <xdr:rowOff>342900</xdr:rowOff>
        </xdr:from>
        <xdr:to>
          <xdr:col>67</xdr:col>
          <xdr:colOff>320040</xdr:colOff>
          <xdr:row>33</xdr:row>
          <xdr:rowOff>510540</xdr:rowOff>
        </xdr:to>
        <xdr:sp macro="" textlink="">
          <xdr:nvSpPr>
            <xdr:cNvPr id="110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2EA9A2E9-A06F-48D5-A307-23A7B7DEF7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Technische LED-Außenleuchte für Anliegerstraßen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33</xdr:row>
          <xdr:rowOff>533400</xdr:rowOff>
        </xdr:from>
        <xdr:to>
          <xdr:col>67</xdr:col>
          <xdr:colOff>320040</xdr:colOff>
          <xdr:row>33</xdr:row>
          <xdr:rowOff>701040</xdr:rowOff>
        </xdr:to>
        <xdr:sp macro="" textlink="">
          <xdr:nvSpPr>
            <xdr:cNvPr id="110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65ED692D-3344-4752-9E77-030308AF97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Technische LED-Außenleuchte für Haupterschließungsstraßen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33</xdr:row>
          <xdr:rowOff>723900</xdr:rowOff>
        </xdr:from>
        <xdr:to>
          <xdr:col>67</xdr:col>
          <xdr:colOff>320040</xdr:colOff>
          <xdr:row>33</xdr:row>
          <xdr:rowOff>891540</xdr:rowOff>
        </xdr:to>
        <xdr:sp macro="" textlink="">
          <xdr:nvSpPr>
            <xdr:cNvPr id="110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6CAD6358-1A72-46E6-9310-A8788148B3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Technische LED-Außenleuchte für Hauptverkehrsstraßen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33</xdr:row>
          <xdr:rowOff>914400</xdr:rowOff>
        </xdr:from>
        <xdr:to>
          <xdr:col>67</xdr:col>
          <xdr:colOff>320040</xdr:colOff>
          <xdr:row>34</xdr:row>
          <xdr:rowOff>152400</xdr:rowOff>
        </xdr:to>
        <xdr:sp macro="" textlink="">
          <xdr:nvSpPr>
            <xdr:cNvPr id="110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B4941E2B-41AD-4AA9-AF33-5D4EEDA7DD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Technische LED-Außenleuchte für FGÜ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34</xdr:row>
          <xdr:rowOff>160020</xdr:rowOff>
        </xdr:from>
        <xdr:to>
          <xdr:col>67</xdr:col>
          <xdr:colOff>320040</xdr:colOff>
          <xdr:row>35</xdr:row>
          <xdr:rowOff>129540</xdr:rowOff>
        </xdr:to>
        <xdr:sp macro="" textlink="">
          <xdr:nvSpPr>
            <xdr:cNvPr id="110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7BA4F16F-55AD-4CDD-933B-A3E25CFAC0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Technisch-dekorative LED-Außenleuchte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35</xdr:row>
          <xdr:rowOff>160020</xdr:rowOff>
        </xdr:from>
        <xdr:to>
          <xdr:col>67</xdr:col>
          <xdr:colOff>320040</xdr:colOff>
          <xdr:row>36</xdr:row>
          <xdr:rowOff>129540</xdr:rowOff>
        </xdr:to>
        <xdr:sp macro="" textlink="">
          <xdr:nvSpPr>
            <xdr:cNvPr id="111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3697471C-D031-4E92-8532-9136B91E0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Klassisch-dekorative LED-Außenleuchte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36</xdr:row>
          <xdr:rowOff>152400</xdr:rowOff>
        </xdr:from>
        <xdr:to>
          <xdr:col>67</xdr:col>
          <xdr:colOff>320040</xdr:colOff>
          <xdr:row>37</xdr:row>
          <xdr:rowOff>129540</xdr:rowOff>
        </xdr:to>
        <xdr:sp macro="" textlink="">
          <xdr:nvSpPr>
            <xdr:cNvPr id="111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B49EFF8B-A53E-4E8D-91E8-6890DCCEA4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Historische Mastaufsatzleuchten "Ausführung Bergisch Gladbach"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37</xdr:row>
          <xdr:rowOff>144780</xdr:rowOff>
        </xdr:from>
        <xdr:to>
          <xdr:col>67</xdr:col>
          <xdr:colOff>320040</xdr:colOff>
          <xdr:row>38</xdr:row>
          <xdr:rowOff>129540</xdr:rowOff>
        </xdr:to>
        <xdr:sp macro="" textlink="">
          <xdr:nvSpPr>
            <xdr:cNvPr id="111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7C43673E-E11A-4CF2-AA76-76AF512B84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LED-Kompakt-Strahler für Akzentbeleuchtung &gt; 4000 lm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38</xdr:row>
          <xdr:rowOff>144780</xdr:rowOff>
        </xdr:from>
        <xdr:to>
          <xdr:col>67</xdr:col>
          <xdr:colOff>320040</xdr:colOff>
          <xdr:row>39</xdr:row>
          <xdr:rowOff>129540</xdr:rowOff>
        </xdr:to>
        <xdr:sp macro="" textlink="">
          <xdr:nvSpPr>
            <xdr:cNvPr id="111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CEFAC501-E284-4F1A-B782-4B2E3AAF25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LED-Kompakt-Strahler für Akzentbeleuchtung &gt; 3000 lm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39</xdr:row>
          <xdr:rowOff>137160</xdr:rowOff>
        </xdr:from>
        <xdr:to>
          <xdr:col>67</xdr:col>
          <xdr:colOff>320040</xdr:colOff>
          <xdr:row>40</xdr:row>
          <xdr:rowOff>114300</xdr:rowOff>
        </xdr:to>
        <xdr:sp macro="" textlink="">
          <xdr:nvSpPr>
            <xdr:cNvPr id="111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C9C93FB-0439-47AB-A3C2-204DB7527D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LED-Flutlichtstrahler für Anstrahlungen &gt; 6500 lm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40</xdr:row>
          <xdr:rowOff>121920</xdr:rowOff>
        </xdr:from>
        <xdr:to>
          <xdr:col>67</xdr:col>
          <xdr:colOff>320040</xdr:colOff>
          <xdr:row>41</xdr:row>
          <xdr:rowOff>91440</xdr:rowOff>
        </xdr:to>
        <xdr:sp macro="" textlink="">
          <xdr:nvSpPr>
            <xdr:cNvPr id="111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19309A4C-D012-46C6-8026-C36AA9DB07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LED-Flutlichtstrahler für Anstrahlungen &gt; 5500 lm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30480</xdr:colOff>
          <xdr:row>24</xdr:row>
          <xdr:rowOff>7620</xdr:rowOff>
        </xdr:from>
        <xdr:to>
          <xdr:col>67</xdr:col>
          <xdr:colOff>320040</xdr:colOff>
          <xdr:row>41</xdr:row>
          <xdr:rowOff>114300</xdr:rowOff>
        </xdr:to>
        <xdr:sp macro="" textlink="">
          <xdr:nvSpPr>
            <xdr:cNvPr id="1116" name="Group Box 32" descr="Beleuchtung&#10;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385FE314-FB6C-48DC-A2C8-42EAED295E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Leuchtmittel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0</xdr:colOff>
          <xdr:row>8</xdr:row>
          <xdr:rowOff>177165</xdr:rowOff>
        </xdr:from>
        <xdr:to>
          <xdr:col>67</xdr:col>
          <xdr:colOff>571500</xdr:colOff>
          <xdr:row>11</xdr:row>
          <xdr:rowOff>53340</xdr:rowOff>
        </xdr:to>
        <xdr:grpSp>
          <xdr:nvGrpSpPr>
            <xdr:cNvPr id="1117" name="Gruppieren 1116" descr="Lieferung">
              <a:extLst>
                <a:ext uri="{FF2B5EF4-FFF2-40B4-BE49-F238E27FC236}">
                  <a16:creationId xmlns:a16="http://schemas.microsoft.com/office/drawing/2014/main" id="{2C7FBB7C-97D1-479E-ABEB-F84BBB9F98C7}"/>
                </a:ext>
              </a:extLst>
            </xdr:cNvPr>
            <xdr:cNvGrpSpPr/>
          </xdr:nvGrpSpPr>
          <xdr:grpSpPr>
            <a:xfrm>
              <a:off x="11544300" y="1668780"/>
              <a:ext cx="4352925" cy="426720"/>
              <a:chOff x="9696450" y="1752604"/>
              <a:chExt cx="4257675" cy="438153"/>
            </a:xfrm>
          </xdr:grpSpPr>
          <xdr:sp macro="" textlink="">
            <xdr:nvSpPr>
              <xdr:cNvPr id="1118" name="Group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500-00005E080000}"/>
                  </a:ext>
                </a:extLst>
              </xdr:cNvPr>
              <xdr:cNvSpPr/>
            </xdr:nvSpPr>
            <xdr:spPr bwMode="auto">
              <a:xfrm>
                <a:off x="9705975" y="1762125"/>
                <a:ext cx="4248150" cy="4191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7432" rIns="0" bIns="0" anchor="t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Gruppenfeld 40</a:t>
                </a:r>
              </a:p>
            </xdr:txBody>
          </xdr:sp>
          <xdr:sp macro="" textlink="">
            <xdr:nvSpPr>
              <xdr:cNvPr id="1119" name="Option Button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500-00005F080000}"/>
                  </a:ext>
                </a:extLst>
              </xdr:cNvPr>
              <xdr:cNvSpPr/>
            </xdr:nvSpPr>
            <xdr:spPr bwMode="auto">
              <a:xfrm>
                <a:off x="9696450" y="1752604"/>
                <a:ext cx="4048125" cy="219077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mit Material Mast liefern und montieren</a:t>
                </a:r>
              </a:p>
            </xdr:txBody>
          </xdr:sp>
          <xdr:sp macro="" textlink="">
            <xdr:nvSpPr>
              <xdr:cNvPr id="1120" name="Option Button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500-000060080000}"/>
                  </a:ext>
                </a:extLst>
              </xdr:cNvPr>
              <xdr:cNvSpPr/>
            </xdr:nvSpPr>
            <xdr:spPr bwMode="auto">
              <a:xfrm>
                <a:off x="9705975" y="1971681"/>
                <a:ext cx="4048125" cy="219076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ohne Material  montieren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62865</xdr:colOff>
          <xdr:row>33</xdr:row>
          <xdr:rowOff>95250</xdr:rowOff>
        </xdr:from>
        <xdr:to>
          <xdr:col>8</xdr:col>
          <xdr:colOff>2110740</xdr:colOff>
          <xdr:row>33</xdr:row>
          <xdr:rowOff>685800</xdr:rowOff>
        </xdr:to>
        <xdr:grpSp>
          <xdr:nvGrpSpPr>
            <xdr:cNvPr id="1121" name="Gruppieren 1120">
              <a:extLst>
                <a:ext uri="{FF2B5EF4-FFF2-40B4-BE49-F238E27FC236}">
                  <a16:creationId xmlns:a16="http://schemas.microsoft.com/office/drawing/2014/main" id="{181BDBDA-7749-48F1-842D-29F63F4C38B6}"/>
                </a:ext>
              </a:extLst>
            </xdr:cNvPr>
            <xdr:cNvGrpSpPr/>
          </xdr:nvGrpSpPr>
          <xdr:grpSpPr>
            <a:xfrm>
              <a:off x="5212080" y="6120765"/>
              <a:ext cx="2055495" cy="594360"/>
              <a:chOff x="3219401" y="5753191"/>
              <a:chExt cx="2038350" cy="590550"/>
            </a:xfrm>
          </xdr:grpSpPr>
          <xdr:sp macro="" textlink="">
            <xdr:nvSpPr>
              <xdr:cNvPr id="1122" name="Group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500-000062080000}"/>
                  </a:ext>
                </a:extLst>
              </xdr:cNvPr>
              <xdr:cNvSpPr/>
            </xdr:nvSpPr>
            <xdr:spPr bwMode="auto">
              <a:xfrm>
                <a:off x="3219401" y="5753191"/>
                <a:ext cx="2038350" cy="5905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7432" rIns="0" bIns="0" anchor="t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Bodenbeschaffenheit</a:t>
                </a:r>
              </a:p>
            </xdr:txBody>
          </xdr:sp>
          <xdr:sp macro="" textlink="">
            <xdr:nvSpPr>
              <xdr:cNvPr id="1123" name="Option Button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500-000063080000}"/>
                  </a:ext>
                </a:extLst>
              </xdr:cNvPr>
              <xdr:cNvSpPr/>
            </xdr:nvSpPr>
            <xdr:spPr bwMode="auto">
              <a:xfrm>
                <a:off x="3305175" y="5819775"/>
                <a:ext cx="542925" cy="466725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Pflaster</a:t>
                </a:r>
              </a:p>
            </xdr:txBody>
          </xdr:sp>
          <xdr:sp macro="" textlink="">
            <xdr:nvSpPr>
              <xdr:cNvPr id="1124" name="Option Button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500-000064080000}"/>
                  </a:ext>
                </a:extLst>
              </xdr:cNvPr>
              <xdr:cNvSpPr/>
            </xdr:nvSpPr>
            <xdr:spPr bwMode="auto">
              <a:xfrm>
                <a:off x="3981450" y="5819775"/>
                <a:ext cx="542925" cy="466725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Bitumen</a:t>
                </a:r>
              </a:p>
            </xdr:txBody>
          </xdr:sp>
          <xdr:sp macro="" textlink="">
            <xdr:nvSpPr>
              <xdr:cNvPr id="1125" name="Option Button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500-000065080000}"/>
                  </a:ext>
                </a:extLst>
              </xdr:cNvPr>
              <xdr:cNvSpPr/>
            </xdr:nvSpPr>
            <xdr:spPr bwMode="auto">
              <a:xfrm>
                <a:off x="4619625" y="5819775"/>
                <a:ext cx="542925" cy="466725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Loser   Boden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7620</xdr:colOff>
          <xdr:row>18</xdr:row>
          <xdr:rowOff>106680</xdr:rowOff>
        </xdr:from>
        <xdr:to>
          <xdr:col>71</xdr:col>
          <xdr:colOff>243840</xdr:colOff>
          <xdr:row>24</xdr:row>
          <xdr:rowOff>114300</xdr:rowOff>
        </xdr:to>
        <xdr:sp macro="" textlink="">
          <xdr:nvSpPr>
            <xdr:cNvPr id="1126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7B86CD8-44D4-4109-B245-486A797524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Ausleger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19</xdr:row>
          <xdr:rowOff>0</xdr:rowOff>
        </xdr:from>
        <xdr:to>
          <xdr:col>71</xdr:col>
          <xdr:colOff>167640</xdr:colOff>
          <xdr:row>20</xdr:row>
          <xdr:rowOff>15240</xdr:rowOff>
        </xdr:to>
        <xdr:sp macro="" textlink="">
          <xdr:nvSpPr>
            <xdr:cNvPr id="1127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7373D701-9A1F-4FB9-AB95-EF48F577FB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Aufsatzausleger 1-fach 1,5 m bis LPH 10 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20</xdr:row>
          <xdr:rowOff>22860</xdr:rowOff>
        </xdr:from>
        <xdr:to>
          <xdr:col>71</xdr:col>
          <xdr:colOff>167640</xdr:colOff>
          <xdr:row>21</xdr:row>
          <xdr:rowOff>53340</xdr:rowOff>
        </xdr:to>
        <xdr:sp macro="" textlink="">
          <xdr:nvSpPr>
            <xdr:cNvPr id="1128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829A0443-17B8-4639-9411-D1012207CD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Aufsatzausleger 2-fach 1,5 m bis LPH 10 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21</xdr:row>
          <xdr:rowOff>30480</xdr:rowOff>
        </xdr:from>
        <xdr:to>
          <xdr:col>71</xdr:col>
          <xdr:colOff>167640</xdr:colOff>
          <xdr:row>22</xdr:row>
          <xdr:rowOff>53340</xdr:rowOff>
        </xdr:to>
        <xdr:sp macro="" textlink="">
          <xdr:nvSpPr>
            <xdr:cNvPr id="1129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A5A30070-CB12-47D2-BB65-B7229B7366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Aufsatzausleger 3-fach 1,0 m bis LPH 10 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22</xdr:row>
          <xdr:rowOff>30480</xdr:rowOff>
        </xdr:from>
        <xdr:to>
          <xdr:col>71</xdr:col>
          <xdr:colOff>167640</xdr:colOff>
          <xdr:row>23</xdr:row>
          <xdr:rowOff>53340</xdr:rowOff>
        </xdr:to>
        <xdr:sp macro="" textlink="">
          <xdr:nvSpPr>
            <xdr:cNvPr id="1130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4644D041-F41D-4ADC-9D57-D276204055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Aufsatzausleger 3-fach 1,5 m bis LPH 10 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434340</xdr:colOff>
          <xdr:row>4</xdr:row>
          <xdr:rowOff>83820</xdr:rowOff>
        </xdr:from>
        <xdr:to>
          <xdr:col>61</xdr:col>
          <xdr:colOff>723900</xdr:colOff>
          <xdr:row>5</xdr:row>
          <xdr:rowOff>152400</xdr:rowOff>
        </xdr:to>
        <xdr:sp macro="" textlink="">
          <xdr:nvSpPr>
            <xdr:cNvPr id="1131" name="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6DF022BB-63FF-4722-B7EB-A32CB10FEC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Multiprojekte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358775</xdr:colOff>
      <xdr:row>12</xdr:row>
      <xdr:rowOff>130175</xdr:rowOff>
    </xdr:from>
    <xdr:to>
      <xdr:col>5</xdr:col>
      <xdr:colOff>41275</xdr:colOff>
      <xdr:row>18</xdr:row>
      <xdr:rowOff>60325</xdr:rowOff>
    </xdr:to>
    <xdr:sp macro="" textlink="">
      <xdr:nvSpPr>
        <xdr:cNvPr id="1132" name="Rechteck 1131">
          <a:extLst>
            <a:ext uri="{FF2B5EF4-FFF2-40B4-BE49-F238E27FC236}">
              <a16:creationId xmlns:a16="http://schemas.microsoft.com/office/drawing/2014/main" id="{B5FBF5C7-0272-49C7-A521-61A8B1581204}"/>
            </a:ext>
          </a:extLst>
        </xdr:cNvPr>
        <xdr:cNvSpPr/>
      </xdr:nvSpPr>
      <xdr:spPr>
        <a:xfrm>
          <a:off x="2353310" y="2353310"/>
          <a:ext cx="1012190" cy="100838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596900</xdr:colOff>
      <xdr:row>12</xdr:row>
      <xdr:rowOff>130175</xdr:rowOff>
    </xdr:from>
    <xdr:to>
      <xdr:col>2</xdr:col>
      <xdr:colOff>596900</xdr:colOff>
      <xdr:row>18</xdr:row>
      <xdr:rowOff>60325</xdr:rowOff>
    </xdr:to>
    <xdr:cxnSp macro="">
      <xdr:nvCxnSpPr>
        <xdr:cNvPr id="1133" name="Gerade Verbindung mit Pfeil 1132">
          <a:extLst>
            <a:ext uri="{FF2B5EF4-FFF2-40B4-BE49-F238E27FC236}">
              <a16:creationId xmlns:a16="http://schemas.microsoft.com/office/drawing/2014/main" id="{70BD7780-B998-46FB-AB28-1EE6554DD41A}"/>
            </a:ext>
          </a:extLst>
        </xdr:cNvPr>
        <xdr:cNvCxnSpPr/>
      </xdr:nvCxnSpPr>
      <xdr:spPr>
        <a:xfrm>
          <a:off x="1964690" y="2353310"/>
          <a:ext cx="0" cy="1008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394652</xdr:colOff>
      <xdr:row>12</xdr:row>
      <xdr:rowOff>14923</xdr:rowOff>
    </xdr:from>
    <xdr:to>
      <xdr:col>2</xdr:col>
      <xdr:colOff>548957</xdr:colOff>
      <xdr:row>15</xdr:row>
      <xdr:rowOff>110808</xdr:rowOff>
    </xdr:to>
    <xdr:sp macro="" textlink="">
      <xdr:nvSpPr>
        <xdr:cNvPr id="1134" name="Textfeld 1133">
          <a:extLst>
            <a:ext uri="{FF2B5EF4-FFF2-40B4-BE49-F238E27FC236}">
              <a16:creationId xmlns:a16="http://schemas.microsoft.com/office/drawing/2014/main" id="{E167794C-E0F7-44E3-A098-E25932D85641}"/>
            </a:ext>
          </a:extLst>
        </xdr:cNvPr>
        <xdr:cNvSpPr txBox="1"/>
      </xdr:nvSpPr>
      <xdr:spPr>
        <a:xfrm rot="16200000">
          <a:off x="1529715" y="2478405"/>
          <a:ext cx="635000" cy="15430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800</a:t>
          </a:r>
        </a:p>
      </xdr:txBody>
    </xdr:sp>
    <xdr:clientData/>
  </xdr:twoCellAnchor>
  <xdr:twoCellAnchor>
    <xdr:from>
      <xdr:col>3</xdr:col>
      <xdr:colOff>549275</xdr:colOff>
      <xdr:row>13</xdr:row>
      <xdr:rowOff>139700</xdr:rowOff>
    </xdr:from>
    <xdr:to>
      <xdr:col>4</xdr:col>
      <xdr:colOff>631825</xdr:colOff>
      <xdr:row>17</xdr:row>
      <xdr:rowOff>50800</xdr:rowOff>
    </xdr:to>
    <xdr:sp macro="" textlink="">
      <xdr:nvSpPr>
        <xdr:cNvPr id="1135" name="Rechteck 1134">
          <a:extLst>
            <a:ext uri="{FF2B5EF4-FFF2-40B4-BE49-F238E27FC236}">
              <a16:creationId xmlns:a16="http://schemas.microsoft.com/office/drawing/2014/main" id="{8902E075-DB88-4909-B24E-E1B69170BFC2}"/>
            </a:ext>
          </a:extLst>
        </xdr:cNvPr>
        <xdr:cNvSpPr/>
      </xdr:nvSpPr>
      <xdr:spPr>
        <a:xfrm>
          <a:off x="2543810" y="2536190"/>
          <a:ext cx="627380" cy="6426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231775</xdr:colOff>
      <xdr:row>13</xdr:row>
      <xdr:rowOff>139700</xdr:rowOff>
    </xdr:from>
    <xdr:to>
      <xdr:col>3</xdr:col>
      <xdr:colOff>231775</xdr:colOff>
      <xdr:row>17</xdr:row>
      <xdr:rowOff>50800</xdr:rowOff>
    </xdr:to>
    <xdr:cxnSp macro="">
      <xdr:nvCxnSpPr>
        <xdr:cNvPr id="1136" name="Gerade Verbindung mit Pfeil 1135">
          <a:extLst>
            <a:ext uri="{FF2B5EF4-FFF2-40B4-BE49-F238E27FC236}">
              <a16:creationId xmlns:a16="http://schemas.microsoft.com/office/drawing/2014/main" id="{25D37523-ED17-4B66-BD22-E280CFEC216F}"/>
            </a:ext>
          </a:extLst>
        </xdr:cNvPr>
        <xdr:cNvCxnSpPr/>
      </xdr:nvCxnSpPr>
      <xdr:spPr>
        <a:xfrm>
          <a:off x="2222500" y="2536190"/>
          <a:ext cx="0" cy="6426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</xdr:colOff>
      <xdr:row>12</xdr:row>
      <xdr:rowOff>14923</xdr:rowOff>
    </xdr:from>
    <xdr:to>
      <xdr:col>3</xdr:col>
      <xdr:colOff>180022</xdr:colOff>
      <xdr:row>15</xdr:row>
      <xdr:rowOff>110808</xdr:rowOff>
    </xdr:to>
    <xdr:sp macro="" textlink="">
      <xdr:nvSpPr>
        <xdr:cNvPr id="1137" name="Textfeld 1136">
          <a:extLst>
            <a:ext uri="{FF2B5EF4-FFF2-40B4-BE49-F238E27FC236}">
              <a16:creationId xmlns:a16="http://schemas.microsoft.com/office/drawing/2014/main" id="{CA355816-F6EA-42E0-A4A8-5F9AF012CFE2}"/>
            </a:ext>
          </a:extLst>
        </xdr:cNvPr>
        <xdr:cNvSpPr txBox="1"/>
      </xdr:nvSpPr>
      <xdr:spPr>
        <a:xfrm rot="16200000">
          <a:off x="1773237" y="2477453"/>
          <a:ext cx="635000" cy="15621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500</a:t>
          </a:r>
        </a:p>
      </xdr:txBody>
    </xdr:sp>
    <xdr:clientData/>
  </xdr:twoCellAnchor>
  <xdr:twoCellAnchor>
    <xdr:from>
      <xdr:col>3</xdr:col>
      <xdr:colOff>358775</xdr:colOff>
      <xdr:row>19</xdr:row>
      <xdr:rowOff>69850</xdr:rowOff>
    </xdr:from>
    <xdr:to>
      <xdr:col>5</xdr:col>
      <xdr:colOff>41275</xdr:colOff>
      <xdr:row>21</xdr:row>
      <xdr:rowOff>177800</xdr:rowOff>
    </xdr:to>
    <xdr:sp macro="" textlink="">
      <xdr:nvSpPr>
        <xdr:cNvPr id="1138" name="Rechteck 1137">
          <a:extLst>
            <a:ext uri="{FF2B5EF4-FFF2-40B4-BE49-F238E27FC236}">
              <a16:creationId xmlns:a16="http://schemas.microsoft.com/office/drawing/2014/main" id="{0B6A097B-383D-48BB-B20D-99C2882DF5B6}"/>
            </a:ext>
          </a:extLst>
        </xdr:cNvPr>
        <xdr:cNvSpPr/>
      </xdr:nvSpPr>
      <xdr:spPr>
        <a:xfrm>
          <a:off x="2353310" y="3554095"/>
          <a:ext cx="1012190" cy="46799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549275</xdr:colOff>
      <xdr:row>19</xdr:row>
      <xdr:rowOff>69850</xdr:rowOff>
    </xdr:from>
    <xdr:to>
      <xdr:col>4</xdr:col>
      <xdr:colOff>631825</xdr:colOff>
      <xdr:row>23</xdr:row>
      <xdr:rowOff>107950</xdr:rowOff>
    </xdr:to>
    <xdr:sp macro="" textlink="">
      <xdr:nvSpPr>
        <xdr:cNvPr id="1139" name="Rechteck 1138">
          <a:extLst>
            <a:ext uri="{FF2B5EF4-FFF2-40B4-BE49-F238E27FC236}">
              <a16:creationId xmlns:a16="http://schemas.microsoft.com/office/drawing/2014/main" id="{BA021C0F-AD96-4CE2-BA8E-5DC279C988D6}"/>
            </a:ext>
          </a:extLst>
        </xdr:cNvPr>
        <xdr:cNvSpPr/>
      </xdr:nvSpPr>
      <xdr:spPr>
        <a:xfrm>
          <a:off x="2543810" y="3554095"/>
          <a:ext cx="627380" cy="762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596900</xdr:colOff>
      <xdr:row>19</xdr:row>
      <xdr:rowOff>69850</xdr:rowOff>
    </xdr:from>
    <xdr:to>
      <xdr:col>2</xdr:col>
      <xdr:colOff>596900</xdr:colOff>
      <xdr:row>23</xdr:row>
      <xdr:rowOff>107950</xdr:rowOff>
    </xdr:to>
    <xdr:cxnSp macro="">
      <xdr:nvCxnSpPr>
        <xdr:cNvPr id="1140" name="Gerade Verbindung mit Pfeil 1139">
          <a:extLst>
            <a:ext uri="{FF2B5EF4-FFF2-40B4-BE49-F238E27FC236}">
              <a16:creationId xmlns:a16="http://schemas.microsoft.com/office/drawing/2014/main" id="{AF435DE2-1CF3-4A03-B142-3A84F3040796}"/>
            </a:ext>
          </a:extLst>
        </xdr:cNvPr>
        <xdr:cNvCxnSpPr/>
      </xdr:nvCxnSpPr>
      <xdr:spPr>
        <a:xfrm>
          <a:off x="1964690" y="3554095"/>
          <a:ext cx="0" cy="762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395605</xdr:colOff>
      <xdr:row>18</xdr:row>
      <xdr:rowOff>138430</xdr:rowOff>
    </xdr:from>
    <xdr:to>
      <xdr:col>2</xdr:col>
      <xdr:colOff>548005</xdr:colOff>
      <xdr:row>22</xdr:row>
      <xdr:rowOff>53340</xdr:rowOff>
    </xdr:to>
    <xdr:sp macro="" textlink="">
      <xdr:nvSpPr>
        <xdr:cNvPr id="1141" name="Textfeld 1140">
          <a:extLst>
            <a:ext uri="{FF2B5EF4-FFF2-40B4-BE49-F238E27FC236}">
              <a16:creationId xmlns:a16="http://schemas.microsoft.com/office/drawing/2014/main" id="{49AA8EC4-2EC4-40A9-ACD0-3B2DA2A31B96}"/>
            </a:ext>
          </a:extLst>
        </xdr:cNvPr>
        <xdr:cNvSpPr txBox="1"/>
      </xdr:nvSpPr>
      <xdr:spPr>
        <a:xfrm rot="16200000">
          <a:off x="1524000" y="3686810"/>
          <a:ext cx="646430" cy="1524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600</a:t>
          </a:r>
        </a:p>
      </xdr:txBody>
    </xdr:sp>
    <xdr:clientData/>
  </xdr:twoCellAnchor>
  <xdr:twoCellAnchor>
    <xdr:from>
      <xdr:col>3</xdr:col>
      <xdr:colOff>25717</xdr:colOff>
      <xdr:row>16</xdr:row>
      <xdr:rowOff>176213</xdr:rowOff>
    </xdr:from>
    <xdr:to>
      <xdr:col>3</xdr:col>
      <xdr:colOff>180022</xdr:colOff>
      <xdr:row>20</xdr:row>
      <xdr:rowOff>91123</xdr:rowOff>
    </xdr:to>
    <xdr:sp macro="" textlink="">
      <xdr:nvSpPr>
        <xdr:cNvPr id="1142" name="Textfeld 1141">
          <a:extLst>
            <a:ext uri="{FF2B5EF4-FFF2-40B4-BE49-F238E27FC236}">
              <a16:creationId xmlns:a16="http://schemas.microsoft.com/office/drawing/2014/main" id="{7A6ACB82-BBAB-4A07-A7F8-EAC6E1EB63BC}"/>
            </a:ext>
          </a:extLst>
        </xdr:cNvPr>
        <xdr:cNvSpPr txBox="1"/>
      </xdr:nvSpPr>
      <xdr:spPr>
        <a:xfrm rot="16200000">
          <a:off x="1767522" y="3360738"/>
          <a:ext cx="646430" cy="15621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37</a:t>
          </a:r>
          <a:r>
            <a:rPr lang="de-DE" sz="1100"/>
            <a:t>0</a:t>
          </a:r>
        </a:p>
      </xdr:txBody>
    </xdr:sp>
    <xdr:clientData/>
  </xdr:twoCellAnchor>
  <xdr:twoCellAnchor>
    <xdr:from>
      <xdr:col>3</xdr:col>
      <xdr:colOff>231775</xdr:colOff>
      <xdr:row>19</xdr:row>
      <xdr:rowOff>69850</xdr:rowOff>
    </xdr:from>
    <xdr:to>
      <xdr:col>3</xdr:col>
      <xdr:colOff>231775</xdr:colOff>
      <xdr:row>21</xdr:row>
      <xdr:rowOff>177800</xdr:rowOff>
    </xdr:to>
    <xdr:cxnSp macro="">
      <xdr:nvCxnSpPr>
        <xdr:cNvPr id="1143" name="Gerade Verbindung mit Pfeil 1142">
          <a:extLst>
            <a:ext uri="{FF2B5EF4-FFF2-40B4-BE49-F238E27FC236}">
              <a16:creationId xmlns:a16="http://schemas.microsoft.com/office/drawing/2014/main" id="{1026D6E5-9091-4811-B019-6863E7C0466F}"/>
            </a:ext>
          </a:extLst>
        </xdr:cNvPr>
        <xdr:cNvCxnSpPr/>
      </xdr:nvCxnSpPr>
      <xdr:spPr>
        <a:xfrm>
          <a:off x="2222500" y="3554095"/>
          <a:ext cx="0" cy="46799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358775</xdr:colOff>
      <xdr:row>10</xdr:row>
      <xdr:rowOff>174625</xdr:rowOff>
    </xdr:from>
    <xdr:to>
      <xdr:col>5</xdr:col>
      <xdr:colOff>41275</xdr:colOff>
      <xdr:row>10</xdr:row>
      <xdr:rowOff>174625</xdr:rowOff>
    </xdr:to>
    <xdr:cxnSp macro="">
      <xdr:nvCxnSpPr>
        <xdr:cNvPr id="1144" name="Gerade Verbindung mit Pfeil 1143">
          <a:extLst>
            <a:ext uri="{FF2B5EF4-FFF2-40B4-BE49-F238E27FC236}">
              <a16:creationId xmlns:a16="http://schemas.microsoft.com/office/drawing/2014/main" id="{FB2122F3-8DD2-4912-91E4-3C48208C6C03}"/>
            </a:ext>
          </a:extLst>
        </xdr:cNvPr>
        <xdr:cNvCxnSpPr/>
      </xdr:nvCxnSpPr>
      <xdr:spPr>
        <a:xfrm>
          <a:off x="2353310" y="2028190"/>
          <a:ext cx="101219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10</xdr:row>
      <xdr:rowOff>174625</xdr:rowOff>
    </xdr:from>
    <xdr:to>
      <xdr:col>5</xdr:col>
      <xdr:colOff>73025</xdr:colOff>
      <xdr:row>11</xdr:row>
      <xdr:rowOff>146050</xdr:rowOff>
    </xdr:to>
    <xdr:sp macro="" textlink="">
      <xdr:nvSpPr>
        <xdr:cNvPr id="1145" name="Textfeld 1144">
          <a:extLst>
            <a:ext uri="{FF2B5EF4-FFF2-40B4-BE49-F238E27FC236}">
              <a16:creationId xmlns:a16="http://schemas.microsoft.com/office/drawing/2014/main" id="{E11B6453-1D98-4187-90C9-C09CE28DB096}"/>
            </a:ext>
          </a:extLst>
        </xdr:cNvPr>
        <xdr:cNvSpPr txBox="1"/>
      </xdr:nvSpPr>
      <xdr:spPr>
        <a:xfrm>
          <a:off x="2760345" y="2028190"/>
          <a:ext cx="636905" cy="15430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500</a:t>
          </a:r>
        </a:p>
      </xdr:txBody>
    </xdr:sp>
    <xdr:clientData/>
  </xdr:twoCellAnchor>
  <xdr:twoCellAnchor>
    <xdr:from>
      <xdr:col>3</xdr:col>
      <xdr:colOff>549275</xdr:colOff>
      <xdr:row>12</xdr:row>
      <xdr:rowOff>3175</xdr:rowOff>
    </xdr:from>
    <xdr:to>
      <xdr:col>4</xdr:col>
      <xdr:colOff>631825</xdr:colOff>
      <xdr:row>12</xdr:row>
      <xdr:rowOff>3175</xdr:rowOff>
    </xdr:to>
    <xdr:cxnSp macro="">
      <xdr:nvCxnSpPr>
        <xdr:cNvPr id="1146" name="Gerade Verbindung mit Pfeil 1145">
          <a:extLst>
            <a:ext uri="{FF2B5EF4-FFF2-40B4-BE49-F238E27FC236}">
              <a16:creationId xmlns:a16="http://schemas.microsoft.com/office/drawing/2014/main" id="{BDB03B22-F53C-47EE-904D-2CB226A2EE0D}"/>
            </a:ext>
          </a:extLst>
        </xdr:cNvPr>
        <xdr:cNvCxnSpPr/>
      </xdr:nvCxnSpPr>
      <xdr:spPr>
        <a:xfrm>
          <a:off x="2543810" y="2222500"/>
          <a:ext cx="62738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9</xdr:row>
      <xdr:rowOff>165100</xdr:rowOff>
    </xdr:from>
    <xdr:to>
      <xdr:col>5</xdr:col>
      <xdr:colOff>73025</xdr:colOff>
      <xdr:row>10</xdr:row>
      <xdr:rowOff>136525</xdr:rowOff>
    </xdr:to>
    <xdr:sp macro="" textlink="">
      <xdr:nvSpPr>
        <xdr:cNvPr id="1147" name="Textfeld 1146">
          <a:extLst>
            <a:ext uri="{FF2B5EF4-FFF2-40B4-BE49-F238E27FC236}">
              <a16:creationId xmlns:a16="http://schemas.microsoft.com/office/drawing/2014/main" id="{37133144-15F4-405C-8AB8-F9EF543365C7}"/>
            </a:ext>
          </a:extLst>
        </xdr:cNvPr>
        <xdr:cNvSpPr txBox="1"/>
      </xdr:nvSpPr>
      <xdr:spPr>
        <a:xfrm>
          <a:off x="2760345" y="1845310"/>
          <a:ext cx="636905" cy="14478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800</a:t>
          </a:r>
        </a:p>
      </xdr:txBody>
    </xdr:sp>
    <xdr:clientData/>
  </xdr:twoCellAnchor>
  <xdr:twoCellAnchor>
    <xdr:from>
      <xdr:col>3</xdr:col>
      <xdr:colOff>549275</xdr:colOff>
      <xdr:row>22</xdr:row>
      <xdr:rowOff>34925</xdr:rowOff>
    </xdr:from>
    <xdr:to>
      <xdr:col>4</xdr:col>
      <xdr:colOff>631825</xdr:colOff>
      <xdr:row>23</xdr:row>
      <xdr:rowOff>107950</xdr:rowOff>
    </xdr:to>
    <xdr:sp macro="" textlink="">
      <xdr:nvSpPr>
        <xdr:cNvPr id="1148" name="Rechteck 1147">
          <a:extLst>
            <a:ext uri="{FF2B5EF4-FFF2-40B4-BE49-F238E27FC236}">
              <a16:creationId xmlns:a16="http://schemas.microsoft.com/office/drawing/2014/main" id="{AF300E0E-E37F-4BB2-88F5-F545BEAD6D37}"/>
            </a:ext>
          </a:extLst>
        </xdr:cNvPr>
        <xdr:cNvSpPr/>
      </xdr:nvSpPr>
      <xdr:spPr>
        <a:xfrm>
          <a:off x="2543810" y="4064000"/>
          <a:ext cx="627380" cy="25209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41275</xdr:colOff>
      <xdr:row>22</xdr:row>
      <xdr:rowOff>34925</xdr:rowOff>
    </xdr:from>
    <xdr:to>
      <xdr:col>5</xdr:col>
      <xdr:colOff>41275</xdr:colOff>
      <xdr:row>23</xdr:row>
      <xdr:rowOff>107950</xdr:rowOff>
    </xdr:to>
    <xdr:cxnSp macro="">
      <xdr:nvCxnSpPr>
        <xdr:cNvPr id="1149" name="Gerade Verbindung mit Pfeil 1148">
          <a:extLst>
            <a:ext uri="{FF2B5EF4-FFF2-40B4-BE49-F238E27FC236}">
              <a16:creationId xmlns:a16="http://schemas.microsoft.com/office/drawing/2014/main" id="{4AF71589-DB7A-4AB0-B315-9FFBF46CF63D}"/>
            </a:ext>
          </a:extLst>
        </xdr:cNvPr>
        <xdr:cNvCxnSpPr/>
      </xdr:nvCxnSpPr>
      <xdr:spPr>
        <a:xfrm>
          <a:off x="3365500" y="4064000"/>
          <a:ext cx="0" cy="25209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88265</xdr:colOff>
      <xdr:row>20</xdr:row>
      <xdr:rowOff>155575</xdr:rowOff>
    </xdr:from>
    <xdr:to>
      <xdr:col>5</xdr:col>
      <xdr:colOff>242570</xdr:colOff>
      <xdr:row>24</xdr:row>
      <xdr:rowOff>68580</xdr:rowOff>
    </xdr:to>
    <xdr:sp macro="" textlink="">
      <xdr:nvSpPr>
        <xdr:cNvPr id="1150" name="Textfeld 1149">
          <a:extLst>
            <a:ext uri="{FF2B5EF4-FFF2-40B4-BE49-F238E27FC236}">
              <a16:creationId xmlns:a16="http://schemas.microsoft.com/office/drawing/2014/main" id="{3A7FD39F-4F90-45E7-8625-ECC2C0353767}"/>
            </a:ext>
          </a:extLst>
        </xdr:cNvPr>
        <xdr:cNvSpPr txBox="1"/>
      </xdr:nvSpPr>
      <xdr:spPr>
        <a:xfrm rot="16200000">
          <a:off x="3175953" y="4063047"/>
          <a:ext cx="635000" cy="15430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20</a:t>
          </a:r>
          <a:r>
            <a:rPr lang="de-DE" sz="1100"/>
            <a:t>0</a:t>
          </a:r>
        </a:p>
      </xdr:txBody>
    </xdr:sp>
    <xdr:clientData/>
  </xdr:twoCellAnchor>
  <xdr:twoCellAnchor>
    <xdr:from>
      <xdr:col>4</xdr:col>
      <xdr:colOff>504825</xdr:colOff>
      <xdr:row>24</xdr:row>
      <xdr:rowOff>53975</xdr:rowOff>
    </xdr:from>
    <xdr:to>
      <xdr:col>5</xdr:col>
      <xdr:colOff>358775</xdr:colOff>
      <xdr:row>25</xdr:row>
      <xdr:rowOff>25400</xdr:rowOff>
    </xdr:to>
    <xdr:sp macro="" textlink="">
      <xdr:nvSpPr>
        <xdr:cNvPr id="1151" name="Textfeld 1150">
          <a:extLst>
            <a:ext uri="{FF2B5EF4-FFF2-40B4-BE49-F238E27FC236}">
              <a16:creationId xmlns:a16="http://schemas.microsoft.com/office/drawing/2014/main" id="{879047D0-D678-4739-931C-C65326569655}"/>
            </a:ext>
          </a:extLst>
        </xdr:cNvPr>
        <xdr:cNvSpPr txBox="1"/>
      </xdr:nvSpPr>
      <xdr:spPr>
        <a:xfrm>
          <a:off x="3049905" y="4448810"/>
          <a:ext cx="636905" cy="14478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8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Sandbett</a:t>
          </a:r>
        </a:p>
      </xdr:txBody>
    </xdr:sp>
    <xdr:clientData/>
  </xdr:twoCellAnchor>
  <xdr:twoCellAnchor>
    <xdr:from>
      <xdr:col>4</xdr:col>
      <xdr:colOff>187325</xdr:colOff>
      <xdr:row>22</xdr:row>
      <xdr:rowOff>161925</xdr:rowOff>
    </xdr:from>
    <xdr:to>
      <xdr:col>4</xdr:col>
      <xdr:colOff>377825</xdr:colOff>
      <xdr:row>24</xdr:row>
      <xdr:rowOff>53975</xdr:rowOff>
    </xdr:to>
    <xdr:cxnSp macro="">
      <xdr:nvCxnSpPr>
        <xdr:cNvPr id="1152" name="Gerade Verbindung mit Pfeil 1151">
          <a:extLst>
            <a:ext uri="{FF2B5EF4-FFF2-40B4-BE49-F238E27FC236}">
              <a16:creationId xmlns:a16="http://schemas.microsoft.com/office/drawing/2014/main" id="{8DE1BA14-2C31-4106-AD8F-42054FCF0700}"/>
            </a:ext>
          </a:extLst>
        </xdr:cNvPr>
        <xdr:cNvCxnSpPr/>
      </xdr:nvCxnSpPr>
      <xdr:spPr>
        <a:xfrm flipH="1" flipV="1">
          <a:off x="2730500" y="4192905"/>
          <a:ext cx="190500" cy="25590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549275</xdr:colOff>
      <xdr:row>13</xdr:row>
      <xdr:rowOff>139700</xdr:rowOff>
    </xdr:from>
    <xdr:to>
      <xdr:col>4</xdr:col>
      <xdr:colOff>631825</xdr:colOff>
      <xdr:row>17</xdr:row>
      <xdr:rowOff>50800</xdr:rowOff>
    </xdr:to>
    <xdr:sp macro="" textlink="">
      <xdr:nvSpPr>
        <xdr:cNvPr id="1153" name="Ellipse 1152">
          <a:extLst>
            <a:ext uri="{FF2B5EF4-FFF2-40B4-BE49-F238E27FC236}">
              <a16:creationId xmlns:a16="http://schemas.microsoft.com/office/drawing/2014/main" id="{BEF458B3-B1DC-47C7-B045-969875F39837}"/>
            </a:ext>
          </a:extLst>
        </xdr:cNvPr>
        <xdr:cNvSpPr/>
      </xdr:nvSpPr>
      <xdr:spPr>
        <a:xfrm>
          <a:off x="2543810" y="2536190"/>
          <a:ext cx="627380" cy="642620"/>
        </a:xfrm>
        <a:prstGeom prst="ellipse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549275</xdr:colOff>
      <xdr:row>21</xdr:row>
      <xdr:rowOff>177800</xdr:rowOff>
    </xdr:from>
    <xdr:to>
      <xdr:col>4</xdr:col>
      <xdr:colOff>631825</xdr:colOff>
      <xdr:row>22</xdr:row>
      <xdr:rowOff>98425</xdr:rowOff>
    </xdr:to>
    <xdr:sp macro="" textlink="">
      <xdr:nvSpPr>
        <xdr:cNvPr id="1154" name="Rechteck 1153">
          <a:extLst>
            <a:ext uri="{FF2B5EF4-FFF2-40B4-BE49-F238E27FC236}">
              <a16:creationId xmlns:a16="http://schemas.microsoft.com/office/drawing/2014/main" id="{489CC1D8-D87F-4E7D-854E-812ECAD1E7BF}"/>
            </a:ext>
          </a:extLst>
        </xdr:cNvPr>
        <xdr:cNvSpPr/>
      </xdr:nvSpPr>
      <xdr:spPr>
        <a:xfrm>
          <a:off x="2543810" y="4022090"/>
          <a:ext cx="627380" cy="101600"/>
        </a:xfrm>
        <a:prstGeom prst="rect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60325</xdr:colOff>
      <xdr:row>22</xdr:row>
      <xdr:rowOff>34925</xdr:rowOff>
    </xdr:from>
    <xdr:to>
      <xdr:col>4</xdr:col>
      <xdr:colOff>568325</xdr:colOff>
      <xdr:row>23</xdr:row>
      <xdr:rowOff>107950</xdr:rowOff>
    </xdr:to>
    <xdr:sp macro="" textlink="">
      <xdr:nvSpPr>
        <xdr:cNvPr id="1155" name="Rechteck 1154">
          <a:extLst>
            <a:ext uri="{FF2B5EF4-FFF2-40B4-BE49-F238E27FC236}">
              <a16:creationId xmlns:a16="http://schemas.microsoft.com/office/drawing/2014/main" id="{9C0D4163-0CB9-4A77-9BEF-53DE8E623FE7}"/>
            </a:ext>
          </a:extLst>
        </xdr:cNvPr>
        <xdr:cNvSpPr/>
      </xdr:nvSpPr>
      <xdr:spPr>
        <a:xfrm>
          <a:off x="2599690" y="4064000"/>
          <a:ext cx="511810" cy="252095"/>
        </a:xfrm>
        <a:prstGeom prst="rect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295275</xdr:colOff>
      <xdr:row>22</xdr:row>
      <xdr:rowOff>34925</xdr:rowOff>
    </xdr:from>
    <xdr:to>
      <xdr:col>5</xdr:col>
      <xdr:colOff>295275</xdr:colOff>
      <xdr:row>23</xdr:row>
      <xdr:rowOff>107950</xdr:rowOff>
    </xdr:to>
    <xdr:cxnSp macro="">
      <xdr:nvCxnSpPr>
        <xdr:cNvPr id="1156" name="Gerade Verbindung mit Pfeil 1155">
          <a:extLst>
            <a:ext uri="{FF2B5EF4-FFF2-40B4-BE49-F238E27FC236}">
              <a16:creationId xmlns:a16="http://schemas.microsoft.com/office/drawing/2014/main" id="{8AE51BF0-B38D-4322-B08D-A70CCA6D8F6B}"/>
            </a:ext>
          </a:extLst>
        </xdr:cNvPr>
        <xdr:cNvCxnSpPr/>
      </xdr:nvCxnSpPr>
      <xdr:spPr>
        <a:xfrm>
          <a:off x="3617595" y="4064000"/>
          <a:ext cx="0" cy="25209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476885</xdr:colOff>
      <xdr:row>21</xdr:row>
      <xdr:rowOff>99695</xdr:rowOff>
    </xdr:from>
    <xdr:to>
      <xdr:col>6</xdr:col>
      <xdr:colOff>33020</xdr:colOff>
      <xdr:row>25</xdr:row>
      <xdr:rowOff>12700</xdr:rowOff>
    </xdr:to>
    <xdr:sp macro="" textlink="">
      <xdr:nvSpPr>
        <xdr:cNvPr id="1157" name="Textfeld 1156">
          <a:extLst>
            <a:ext uri="{FF2B5EF4-FFF2-40B4-BE49-F238E27FC236}">
              <a16:creationId xmlns:a16="http://schemas.microsoft.com/office/drawing/2014/main" id="{69F6401C-19C0-494B-B55C-BA4AD20F452E}"/>
            </a:ext>
          </a:extLst>
        </xdr:cNvPr>
        <xdr:cNvSpPr txBox="1"/>
      </xdr:nvSpPr>
      <xdr:spPr>
        <a:xfrm rot="16200000">
          <a:off x="3549332" y="4191953"/>
          <a:ext cx="644525" cy="14859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200</a:t>
          </a:r>
        </a:p>
      </xdr:txBody>
    </xdr:sp>
    <xdr:clientData/>
  </xdr:twoCellAnchor>
  <xdr:twoCellAnchor>
    <xdr:from>
      <xdr:col>5</xdr:col>
      <xdr:colOff>295275</xdr:colOff>
      <xdr:row>20</xdr:row>
      <xdr:rowOff>111125</xdr:rowOff>
    </xdr:from>
    <xdr:to>
      <xdr:col>5</xdr:col>
      <xdr:colOff>295275</xdr:colOff>
      <xdr:row>20</xdr:row>
      <xdr:rowOff>142875</xdr:rowOff>
    </xdr:to>
    <xdr:cxnSp macro="">
      <xdr:nvCxnSpPr>
        <xdr:cNvPr id="1158" name="Gerade Verbindung mit Pfeil 1157">
          <a:extLst>
            <a:ext uri="{FF2B5EF4-FFF2-40B4-BE49-F238E27FC236}">
              <a16:creationId xmlns:a16="http://schemas.microsoft.com/office/drawing/2014/main" id="{9C5758DD-3C5B-4217-A5DA-D7CC722227CE}"/>
            </a:ext>
          </a:extLst>
        </xdr:cNvPr>
        <xdr:cNvCxnSpPr/>
      </xdr:nvCxnSpPr>
      <xdr:spPr>
        <a:xfrm>
          <a:off x="3617595" y="3778250"/>
          <a:ext cx="0" cy="298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474028</xdr:colOff>
      <xdr:row>19</xdr:row>
      <xdr:rowOff>141287</xdr:rowOff>
    </xdr:from>
    <xdr:to>
      <xdr:col>6</xdr:col>
      <xdr:colOff>35878</xdr:colOff>
      <xdr:row>23</xdr:row>
      <xdr:rowOff>54292</xdr:rowOff>
    </xdr:to>
    <xdr:sp macro="" textlink="">
      <xdr:nvSpPr>
        <xdr:cNvPr id="1159" name="Textfeld 1158">
          <a:extLst>
            <a:ext uri="{FF2B5EF4-FFF2-40B4-BE49-F238E27FC236}">
              <a16:creationId xmlns:a16="http://schemas.microsoft.com/office/drawing/2014/main" id="{793DEDA7-3157-45DF-8E0D-60CFDDA13F70}"/>
            </a:ext>
          </a:extLst>
        </xdr:cNvPr>
        <xdr:cNvSpPr txBox="1"/>
      </xdr:nvSpPr>
      <xdr:spPr>
        <a:xfrm rot="16200000">
          <a:off x="3555048" y="3872547"/>
          <a:ext cx="642620" cy="14859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25</a:t>
          </a:r>
        </a:p>
      </xdr:txBody>
    </xdr:sp>
    <xdr:clientData/>
  </xdr:twoCellAnchor>
  <xdr:twoCellAnchor>
    <xdr:from>
      <xdr:col>5</xdr:col>
      <xdr:colOff>295275</xdr:colOff>
      <xdr:row>21</xdr:row>
      <xdr:rowOff>177800</xdr:rowOff>
    </xdr:from>
    <xdr:to>
      <xdr:col>5</xdr:col>
      <xdr:colOff>295275</xdr:colOff>
      <xdr:row>22</xdr:row>
      <xdr:rowOff>98425</xdr:rowOff>
    </xdr:to>
    <xdr:cxnSp macro="">
      <xdr:nvCxnSpPr>
        <xdr:cNvPr id="1160" name="Gerade Verbindung mit Pfeil 1159">
          <a:extLst>
            <a:ext uri="{FF2B5EF4-FFF2-40B4-BE49-F238E27FC236}">
              <a16:creationId xmlns:a16="http://schemas.microsoft.com/office/drawing/2014/main" id="{6C9515A7-C0CF-4F0B-8A8A-665C6703A463}"/>
            </a:ext>
          </a:extLst>
        </xdr:cNvPr>
        <xdr:cNvCxnSpPr/>
      </xdr:nvCxnSpPr>
      <xdr:spPr>
        <a:xfrm>
          <a:off x="3617595" y="4022090"/>
          <a:ext cx="0" cy="101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473075</xdr:colOff>
      <xdr:row>18</xdr:row>
      <xdr:rowOff>7620</xdr:rowOff>
    </xdr:from>
    <xdr:to>
      <xdr:col>6</xdr:col>
      <xdr:colOff>36830</xdr:colOff>
      <xdr:row>21</xdr:row>
      <xdr:rowOff>101600</xdr:rowOff>
    </xdr:to>
    <xdr:sp macro="" textlink="">
      <xdr:nvSpPr>
        <xdr:cNvPr id="1161" name="Textfeld 1160">
          <a:extLst>
            <a:ext uri="{FF2B5EF4-FFF2-40B4-BE49-F238E27FC236}">
              <a16:creationId xmlns:a16="http://schemas.microsoft.com/office/drawing/2014/main" id="{CC00D7E1-2A0E-41E5-A3F9-4EDFBF8CC211}"/>
            </a:ext>
          </a:extLst>
        </xdr:cNvPr>
        <xdr:cNvSpPr txBox="1"/>
      </xdr:nvSpPr>
      <xdr:spPr>
        <a:xfrm rot="16200000">
          <a:off x="3560763" y="3555047"/>
          <a:ext cx="631190" cy="1504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80</a:t>
          </a:r>
        </a:p>
      </xdr:txBody>
    </xdr:sp>
    <xdr:clientData/>
  </xdr:twoCellAnchor>
  <xdr:twoCellAnchor>
    <xdr:from>
      <xdr:col>4</xdr:col>
      <xdr:colOff>228600</xdr:colOff>
      <xdr:row>15</xdr:row>
      <xdr:rowOff>9525</xdr:rowOff>
    </xdr:from>
    <xdr:to>
      <xdr:col>4</xdr:col>
      <xdr:colOff>400050</xdr:colOff>
      <xdr:row>16</xdr:row>
      <xdr:rowOff>0</xdr:rowOff>
    </xdr:to>
    <xdr:sp macro="" textlink="">
      <xdr:nvSpPr>
        <xdr:cNvPr id="1162" name="Ellipse 1161">
          <a:extLst>
            <a:ext uri="{FF2B5EF4-FFF2-40B4-BE49-F238E27FC236}">
              <a16:creationId xmlns:a16="http://schemas.microsoft.com/office/drawing/2014/main" id="{AFCD2427-D4A4-431E-97C8-98FE87C6B4B5}"/>
            </a:ext>
          </a:extLst>
        </xdr:cNvPr>
        <xdr:cNvSpPr/>
      </xdr:nvSpPr>
      <xdr:spPr>
        <a:xfrm>
          <a:off x="2771775" y="2773680"/>
          <a:ext cx="167640" cy="169545"/>
        </a:xfrm>
        <a:prstGeom prst="ellipse">
          <a:avLst/>
        </a:prstGeom>
        <a:solidFill>
          <a:srgbClr val="FFC000"/>
        </a:solidFill>
        <a:ln w="1905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228600</xdr:colOff>
      <xdr:row>19</xdr:row>
      <xdr:rowOff>69850</xdr:rowOff>
    </xdr:from>
    <xdr:to>
      <xdr:col>4</xdr:col>
      <xdr:colOff>400050</xdr:colOff>
      <xdr:row>23</xdr:row>
      <xdr:rowOff>107950</xdr:rowOff>
    </xdr:to>
    <xdr:sp macro="" textlink="">
      <xdr:nvSpPr>
        <xdr:cNvPr id="1163" name="Rechteck 1162">
          <a:extLst>
            <a:ext uri="{FF2B5EF4-FFF2-40B4-BE49-F238E27FC236}">
              <a16:creationId xmlns:a16="http://schemas.microsoft.com/office/drawing/2014/main" id="{4A7D7AFF-72A3-47CC-AE65-EB173B8419E8}"/>
            </a:ext>
          </a:extLst>
        </xdr:cNvPr>
        <xdr:cNvSpPr/>
      </xdr:nvSpPr>
      <xdr:spPr>
        <a:xfrm>
          <a:off x="2771775" y="3554095"/>
          <a:ext cx="167640" cy="762000"/>
        </a:xfrm>
        <a:prstGeom prst="rect">
          <a:avLst/>
        </a:prstGeom>
        <a:solidFill>
          <a:srgbClr val="FFC000"/>
        </a:solidFill>
        <a:ln w="1905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020796\Documents\Auma&#223;\Aufma&#223;%20RheinEnergie%202025%20NEU.xltm" TargetMode="External"/><Relationship Id="rId1" Type="http://schemas.openxmlformats.org/officeDocument/2006/relationships/externalLinkPath" Target="file:///C:\Users\s020796\Documents\Auma&#223;\Aufma&#223;%20RheinEnergie%202025%20NEU.xlt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ie-my.sharepoint.com/personal/udo_baranski_spie_de/Documents/Documents/F&#252;r%20Forum/Zusammenfassung.xlsx" TargetMode="External"/><Relationship Id="rId1" Type="http://schemas.openxmlformats.org/officeDocument/2006/relationships/externalLinkPath" Target="Zusammenfass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Ausgabe an Kunde"/>
      <sheetName val="Start2"/>
      <sheetName val="Grube Pflaster"/>
      <sheetName val="Anschluss an Schrank"/>
      <sheetName val="Grube Pflaster V"/>
      <sheetName val="Grube Asphalt V"/>
      <sheetName val="Grube loser Boden"/>
      <sheetName val="Grube loser Boden V"/>
      <sheetName val="Muffengrube Pflaster V"/>
      <sheetName val="Muffengrube Asphalt V"/>
      <sheetName val="Muffengrube loser Boden V"/>
      <sheetName val="Graben Pflaster V"/>
      <sheetName val="Mast Grube V"/>
      <sheetName val="Zusammenfassung"/>
      <sheetName val="Tabelle2"/>
      <sheetName val="Tabelle1"/>
      <sheetName val="Preisliste"/>
      <sheetName val="Mastanschluß"/>
      <sheetName val="Distanz Anschluss Mast 1"/>
      <sheetName val="Distanz Anschluss Mast 1 zu 2"/>
      <sheetName val="Distanz Anschluss Mast 2 zu 3"/>
      <sheetName val="Distanz Anschluss Mast 3 zu 4"/>
      <sheetName val="Distanz Anschluss Mast 4 zu 5"/>
      <sheetName val="Distanz Anschluss Mast 5 zu 6"/>
      <sheetName val="Distanz Anschluss Mast 6 zu 7"/>
      <sheetName val="Distanz Anschluss Mast 7 zu 8"/>
      <sheetName val="Distanz Anschluss Mast 8 zu 9"/>
      <sheetName val="Distanz Anschluss Mast 9 zu 10"/>
      <sheetName val="Distanz Anschluss Mast 10 zu 11"/>
      <sheetName val="Distanz Anschluss Mast 11 zu 12"/>
      <sheetName val="Distanz Anschluss Mast 12 zu 13"/>
      <sheetName val="Distanz Anschluss Mast 13 z 14"/>
      <sheetName val="Distanz Anschluss Mast 14 z 15"/>
      <sheetName val="Distanz Anschluss Mast 15 z 16"/>
      <sheetName val="Distanz Anschluss Mast 16 z 17"/>
      <sheetName val="Distanz Anschluss Mast 17 z 18"/>
      <sheetName val="Distanz Anschluss Mast 18 z 19"/>
      <sheetName val="Distanz Anschluss Mast 19 z 20"/>
      <sheetName val="Multiprojekte"/>
      <sheetName val="Muffengrube Multi"/>
      <sheetName val="Mastanschluß Multi"/>
      <sheetName val="Grube Multi"/>
      <sheetName val="Mast Grube Multi3,5P"/>
      <sheetName val="Tabelle19"/>
      <sheetName val="Mast Grube Multi3,5B"/>
      <sheetName val="Mast Grube Multi3,5lB"/>
      <sheetName val="Mast Grube Multi5P"/>
      <sheetName val="Mast Grube Multi5B"/>
      <sheetName val="Mast Grube Multi5lB"/>
      <sheetName val="Mast Grube Multi6P"/>
      <sheetName val="Mast Grube Multi6B"/>
      <sheetName val="Mast Grube Multi6lB"/>
      <sheetName val="Mast Grube Multi8P"/>
      <sheetName val="Mast Grube Multi8B"/>
      <sheetName val="Mast Grube Multi8lB"/>
      <sheetName val="Mast Grube Multi10P"/>
      <sheetName val="Mast Grube Multi10B"/>
      <sheetName val="Mast Grube Multi10lB"/>
      <sheetName val="Zusammenfassung Multi"/>
      <sheetName val="Ausgabe an Kunde Multi"/>
      <sheetName val="Anschluß Mast per Muffengrube P"/>
      <sheetName val="Anschluß Mast per Muffengrube B"/>
      <sheetName val="Anschluß Mast per Muffengrub lB"/>
      <sheetName val="AnschlussMuffeMast P"/>
      <sheetName val="AnschlussMuffeMast B"/>
      <sheetName val="Tabelle3"/>
      <sheetName val="AnschlussMuffeMast lB"/>
      <sheetName val="Aufmaß RheinEnergie 2025 NEU"/>
    </sheetNames>
    <definedNames>
      <definedName name="deletShapesInSelection"/>
      <definedName name="Makro12"/>
      <definedName name="MakroMultiZurück"/>
      <definedName name="MasteBestimmen3"/>
      <definedName name="MastGrubeAsphaltV"/>
    </definedNames>
    <sheetDataSet>
      <sheetData sheetId="0">
        <row r="1">
          <cell r="BA1" t="str">
            <v>25_00017</v>
          </cell>
        </row>
      </sheetData>
      <sheetData sheetId="1"/>
      <sheetData sheetId="2"/>
      <sheetData sheetId="3"/>
      <sheetData sheetId="4"/>
      <sheetData sheetId="5">
        <row r="4">
          <cell r="C4"/>
        </row>
      </sheetData>
      <sheetData sheetId="6"/>
      <sheetData sheetId="7"/>
      <sheetData sheetId="8"/>
      <sheetData sheetId="9"/>
      <sheetData sheetId="10"/>
      <sheetData sheetId="11"/>
      <sheetData sheetId="12">
        <row r="4">
          <cell r="C4"/>
        </row>
      </sheetData>
      <sheetData sheetId="13"/>
      <sheetData sheetId="14"/>
      <sheetData sheetId="15"/>
      <sheetData sheetId="16"/>
      <sheetData sheetId="17">
        <row r="11">
          <cell r="A11">
            <v>101010100000</v>
          </cell>
          <cell r="B11" t="str">
            <v>1.1.1</v>
          </cell>
          <cell r="C11" t="str">
            <v>Einrichtung und Räumung der Baustelle</v>
          </cell>
          <cell r="E11"/>
        </row>
        <row r="12">
          <cell r="A12">
            <v>441310000001</v>
          </cell>
          <cell r="B12" t="str">
            <v>1.1.2</v>
          </cell>
          <cell r="C12" t="str">
            <v>Baustellensicherung</v>
          </cell>
          <cell r="E12"/>
        </row>
        <row r="13">
          <cell r="A13">
            <v>441311000001</v>
          </cell>
          <cell r="B13" t="str">
            <v>1.1.3</v>
          </cell>
          <cell r="C13" t="str">
            <v>Erstellung eines Sicherheits- und Gesundheitsschutzplanes</v>
          </cell>
          <cell r="E13"/>
        </row>
        <row r="14">
          <cell r="A14"/>
          <cell r="B14" t="str">
            <v>1.2</v>
          </cell>
          <cell r="C14" t="str">
            <v>Demontagen Leuchten und Masten</v>
          </cell>
          <cell r="E14"/>
        </row>
        <row r="15">
          <cell r="A15">
            <v>122010100000</v>
          </cell>
          <cell r="B15" t="str">
            <v>1.2.1</v>
          </cell>
          <cell r="C15" t="str">
            <v>Demontage Leuchten bis 6 m</v>
          </cell>
          <cell r="E15">
            <v>24.83</v>
          </cell>
        </row>
        <row r="16">
          <cell r="A16">
            <v>122010300000</v>
          </cell>
          <cell r="B16" t="str">
            <v>1.2.2</v>
          </cell>
          <cell r="C16" t="str">
            <v>Demontage Leuchten bis 10 m</v>
          </cell>
          <cell r="E16">
            <v>26.56</v>
          </cell>
        </row>
        <row r="17">
          <cell r="A17">
            <v>122010500000</v>
          </cell>
          <cell r="B17" t="str">
            <v>1.2.3</v>
          </cell>
          <cell r="C17" t="str">
            <v>Demontage Freileitungs- und Mastausleger bis 10 m</v>
          </cell>
          <cell r="E17">
            <v>96.08</v>
          </cell>
        </row>
        <row r="18">
          <cell r="A18">
            <v>110430000000</v>
          </cell>
          <cell r="B18" t="str">
            <v>1.2.4</v>
          </cell>
          <cell r="C18" t="str">
            <v>Demontage Mastausleger Sondermasten</v>
          </cell>
          <cell r="E18">
            <v>90.43</v>
          </cell>
        </row>
        <row r="19">
          <cell r="A19">
            <v>122010700000</v>
          </cell>
          <cell r="B19" t="str">
            <v>1.2.5</v>
          </cell>
          <cell r="C19" t="str">
            <v>Demontage Kabelübergangskästen ohne AuS</v>
          </cell>
          <cell r="E19">
            <v>18.239999999999998</v>
          </cell>
        </row>
        <row r="20">
          <cell r="A20">
            <v>122010900000</v>
          </cell>
          <cell r="B20" t="str">
            <v>1.2.6</v>
          </cell>
          <cell r="C20" t="str">
            <v>Hinweistafeln und -schilder demontieren und montieren</v>
          </cell>
          <cell r="E20">
            <v>16.63</v>
          </cell>
        </row>
        <row r="21">
          <cell r="A21">
            <v>122011100000</v>
          </cell>
          <cell r="B21" t="str">
            <v>1.2.7</v>
          </cell>
          <cell r="C21" t="str">
            <v>Verkehrszeichen, Werbungs- und Straßenschilder</v>
          </cell>
          <cell r="E21">
            <v>21.56</v>
          </cell>
        </row>
        <row r="22">
          <cell r="A22">
            <v>122011300000</v>
          </cell>
          <cell r="B22" t="str">
            <v>1.2.8</v>
          </cell>
          <cell r="C22" t="str">
            <v>Demontage Masten und Mastfundamente LPH bis 6 m</v>
          </cell>
          <cell r="E22">
            <v>135.58000000000001</v>
          </cell>
        </row>
        <row r="23">
          <cell r="A23">
            <v>122011500000</v>
          </cell>
          <cell r="B23" t="str">
            <v>1.2.9</v>
          </cell>
          <cell r="C23" t="str">
            <v>Demontage Masten und Mastfundamente LPH bis 10 m</v>
          </cell>
          <cell r="E23">
            <v>194.32</v>
          </cell>
        </row>
        <row r="24">
          <cell r="A24"/>
          <cell r="B24" t="str">
            <v>1.3</v>
          </cell>
          <cell r="C24" t="str">
            <v>Tiefbau und Oberflächen</v>
          </cell>
          <cell r="E24"/>
        </row>
        <row r="25">
          <cell r="A25">
            <v>122020100000</v>
          </cell>
          <cell r="B25" t="str">
            <v>1.3.1</v>
          </cell>
          <cell r="C25" t="str">
            <v>Bituminösen Oberbau senkrecht schneiden</v>
          </cell>
          <cell r="E25">
            <v>5.86</v>
          </cell>
        </row>
        <row r="26">
          <cell r="A26">
            <v>122020300000</v>
          </cell>
          <cell r="B26" t="str">
            <v>1.3.2</v>
          </cell>
          <cell r="C26" t="str">
            <v>Bituminöse Befestigung bis 12 cm aufbrechen</v>
          </cell>
          <cell r="E26">
            <v>23.84</v>
          </cell>
        </row>
        <row r="27">
          <cell r="A27">
            <v>122020500000</v>
          </cell>
          <cell r="B27" t="str">
            <v>1.3.3</v>
          </cell>
          <cell r="C27" t="str">
            <v>Erschwernis für Abbrucharbeiten an Gebäuden und Einfriedungen</v>
          </cell>
          <cell r="E27">
            <v>26.85</v>
          </cell>
        </row>
        <row r="28">
          <cell r="A28">
            <v>122020700000</v>
          </cell>
          <cell r="B28" t="str">
            <v>1.3.4</v>
          </cell>
          <cell r="C28" t="str">
            <v>Betonkantensteine aufbrechen und wiederherstellen</v>
          </cell>
          <cell r="E28">
            <v>75.5</v>
          </cell>
        </row>
        <row r="29">
          <cell r="A29">
            <v>122020900000</v>
          </cell>
          <cell r="B29" t="str">
            <v>1.3.5</v>
          </cell>
          <cell r="C29" t="str">
            <v>Betonbordsteine aufbrechen und wiederherstellen</v>
          </cell>
          <cell r="E29">
            <v>82.21</v>
          </cell>
        </row>
        <row r="30">
          <cell r="A30">
            <v>122021100000</v>
          </cell>
          <cell r="B30" t="str">
            <v>1.3.6</v>
          </cell>
          <cell r="C30" t="str">
            <v>Pflasteroberflächen aufnehmen und wieder herstellen</v>
          </cell>
          <cell r="E30">
            <v>100.68</v>
          </cell>
        </row>
        <row r="31">
          <cell r="A31">
            <v>122021300000</v>
          </cell>
          <cell r="B31" t="str">
            <v>1.3.7</v>
          </cell>
          <cell r="C31" t="str">
            <v>ungeb. Tragschichten ausbauen</v>
          </cell>
          <cell r="E31">
            <v>114.1</v>
          </cell>
        </row>
        <row r="32">
          <cell r="A32">
            <v>122021500000</v>
          </cell>
          <cell r="B32" t="str">
            <v>1.3.8</v>
          </cell>
          <cell r="C32" t="str">
            <v>Graben herstellen und wiederverfüllen</v>
          </cell>
          <cell r="E32">
            <v>248.34</v>
          </cell>
        </row>
        <row r="33">
          <cell r="A33">
            <v>122021700000</v>
          </cell>
          <cell r="B33" t="str">
            <v>1.3.9</v>
          </cell>
          <cell r="C33" t="str">
            <v>Bodenaushub für Muffengrube</v>
          </cell>
          <cell r="E33">
            <v>343.98</v>
          </cell>
        </row>
        <row r="34">
          <cell r="A34">
            <v>122021900000</v>
          </cell>
          <cell r="B34" t="str">
            <v>1.3.10</v>
          </cell>
          <cell r="C34" t="str">
            <v>Sandbett für Elektroleitung</v>
          </cell>
          <cell r="E34">
            <v>70.48</v>
          </cell>
        </row>
        <row r="35">
          <cell r="A35">
            <v>122022100000</v>
          </cell>
          <cell r="B35" t="str">
            <v>1.3.11</v>
          </cell>
          <cell r="C35" t="str">
            <v>vorhandene Tragschicht wieder einbauen</v>
          </cell>
          <cell r="E35">
            <v>80.55</v>
          </cell>
        </row>
        <row r="36">
          <cell r="A36">
            <v>122022300000</v>
          </cell>
          <cell r="B36" t="str">
            <v>1.3.12</v>
          </cell>
          <cell r="C36" t="str">
            <v>Asphalttragschicht aus AC 22 TN</v>
          </cell>
          <cell r="E36">
            <v>55.37</v>
          </cell>
        </row>
        <row r="37">
          <cell r="A37">
            <v>122022500000</v>
          </cell>
          <cell r="B37" t="str">
            <v>1.3.13</v>
          </cell>
          <cell r="C37" t="str">
            <v>Bitumenemulsion aufsprühen</v>
          </cell>
          <cell r="E37">
            <v>20.14</v>
          </cell>
        </row>
        <row r="38">
          <cell r="A38">
            <v>122022700000</v>
          </cell>
          <cell r="B38" t="str">
            <v>1.3.14</v>
          </cell>
          <cell r="C38" t="str">
            <v>Fugen in der Dicke der bituminösen Decke</v>
          </cell>
          <cell r="E38">
            <v>20.14</v>
          </cell>
        </row>
        <row r="39">
          <cell r="A39">
            <v>122022900000</v>
          </cell>
          <cell r="B39" t="str">
            <v>1.3.15</v>
          </cell>
          <cell r="C39" t="str">
            <v>Asphaltdeckschicht aus AC 8 DN</v>
          </cell>
          <cell r="E39">
            <v>55.36</v>
          </cell>
        </row>
        <row r="40">
          <cell r="A40">
            <v>122023100000</v>
          </cell>
          <cell r="B40" t="str">
            <v>1.3.16</v>
          </cell>
          <cell r="C40" t="str">
            <v>Pflasteroberfläche wiederherstellen</v>
          </cell>
          <cell r="E40"/>
        </row>
        <row r="41">
          <cell r="A41">
            <v>122023300000</v>
          </cell>
          <cell r="B41" t="str">
            <v>1.3.17</v>
          </cell>
          <cell r="C41" t="str">
            <v>Pflasterschnitt herstellen</v>
          </cell>
          <cell r="E41">
            <v>13.42</v>
          </cell>
        </row>
        <row r="42">
          <cell r="A42">
            <v>122023500000</v>
          </cell>
          <cell r="B42" t="str">
            <v>1.3.18</v>
          </cell>
          <cell r="C42" t="str">
            <v>Oberflächen und Tiefbau bei entfernten Masten herstellen</v>
          </cell>
          <cell r="E42">
            <v>188.29</v>
          </cell>
        </row>
        <row r="43">
          <cell r="A43">
            <v>122122110000</v>
          </cell>
          <cell r="B43"/>
          <cell r="C43" t="str">
            <v>Pflasteroberflächen aufnehmen</v>
          </cell>
          <cell r="E43">
            <v>32.79</v>
          </cell>
        </row>
        <row r="44">
          <cell r="A44">
            <v>122121710000</v>
          </cell>
          <cell r="B44"/>
          <cell r="C44" t="str">
            <v>Bodenpressung mittels Erdrakete</v>
          </cell>
          <cell r="E44">
            <v>130.78</v>
          </cell>
        </row>
        <row r="45">
          <cell r="A45"/>
          <cell r="B45" t="str">
            <v>1.4</v>
          </cell>
          <cell r="C45" t="str">
            <v>Tiefbau Elektro</v>
          </cell>
          <cell r="E45"/>
        </row>
        <row r="46">
          <cell r="A46">
            <v>122120400000</v>
          </cell>
          <cell r="B46"/>
          <cell r="C46" t="str">
            <v>Zuleitungskabel liefern</v>
          </cell>
          <cell r="E46">
            <v>1.94</v>
          </cell>
        </row>
        <row r="47">
          <cell r="A47">
            <v>122120500000</v>
          </cell>
          <cell r="B47"/>
          <cell r="C47" t="str">
            <v>Zuleitung ab- und wieder anklemmen</v>
          </cell>
          <cell r="E47">
            <v>9.39</v>
          </cell>
        </row>
        <row r="48">
          <cell r="A48">
            <v>122030100000</v>
          </cell>
          <cell r="B48" t="str">
            <v>1.4.1</v>
          </cell>
          <cell r="C48" t="str">
            <v>Erdkabel NYY-J 5 x 10 mm² RE liefern und verlegen</v>
          </cell>
          <cell r="E48">
            <v>8.64</v>
          </cell>
        </row>
        <row r="49">
          <cell r="A49">
            <v>122030200000</v>
          </cell>
          <cell r="B49" t="str">
            <v>1.4.2</v>
          </cell>
          <cell r="C49" t="str">
            <v>Erdkabel NYY-J 5 x 16 mm² RE liefern und verlegen</v>
          </cell>
          <cell r="E49">
            <v>12.15</v>
          </cell>
        </row>
        <row r="50">
          <cell r="A50">
            <v>310603110003</v>
          </cell>
          <cell r="B50" t="str">
            <v>1.4.3</v>
          </cell>
          <cell r="C50" t="str">
            <v>Erdkabel NYY-J 5 x 10 mm² RE in vorhandenem Leerrohr</v>
          </cell>
          <cell r="E50">
            <v>11.5</v>
          </cell>
        </row>
        <row r="51">
          <cell r="A51">
            <v>122123200000</v>
          </cell>
          <cell r="B51"/>
          <cell r="C51" t="str">
            <v>NFA2X 4x35² liefern/montieren</v>
          </cell>
          <cell r="E51">
            <v>11.59</v>
          </cell>
        </row>
        <row r="52">
          <cell r="A52">
            <v>122030500000</v>
          </cell>
          <cell r="B52"/>
          <cell r="C52" t="str">
            <v>Kabel liefern/in Rohr einziehen</v>
          </cell>
          <cell r="E52">
            <v>11.05</v>
          </cell>
        </row>
        <row r="53">
          <cell r="A53">
            <v>122030700000</v>
          </cell>
          <cell r="B53" t="str">
            <v>1.4.4</v>
          </cell>
          <cell r="C53" t="str">
            <v>Verbindungsmuffe bis 5 x 16 mm² ohne AuS</v>
          </cell>
          <cell r="E53">
            <v>56.14</v>
          </cell>
        </row>
        <row r="54">
          <cell r="A54">
            <v>122030900000</v>
          </cell>
          <cell r="B54" t="str">
            <v>1.4.5</v>
          </cell>
          <cell r="C54" t="str">
            <v>Abzweigmuffe ohne AuS</v>
          </cell>
          <cell r="E54">
            <v>118.14</v>
          </cell>
        </row>
        <row r="55">
          <cell r="A55">
            <v>122031100000</v>
          </cell>
          <cell r="B55" t="str">
            <v>1.4.6</v>
          </cell>
          <cell r="C55" t="str">
            <v>Kabelendverschluss herstellen ohne AuS</v>
          </cell>
          <cell r="E55">
            <v>72.56</v>
          </cell>
        </row>
        <row r="56">
          <cell r="A56">
            <v>122031300000</v>
          </cell>
          <cell r="B56" t="str">
            <v>1.4.7</v>
          </cell>
          <cell r="C56" t="str">
            <v>Rückbau Freileitungsanschluss für nicht benötigten LP</v>
          </cell>
          <cell r="E56">
            <v>168.41</v>
          </cell>
        </row>
        <row r="57">
          <cell r="A57">
            <v>122031500000</v>
          </cell>
          <cell r="B57" t="str">
            <v>1.4.8</v>
          </cell>
          <cell r="C57" t="str">
            <v>Leerrohr 110 mm liefern u. verlegen</v>
          </cell>
          <cell r="E57">
            <v>9.2100000000000009</v>
          </cell>
        </row>
        <row r="58">
          <cell r="A58"/>
          <cell r="B58" t="str">
            <v>1.5</v>
          </cell>
          <cell r="C58" t="str">
            <v>Aufsatzmaste</v>
          </cell>
          <cell r="E58"/>
        </row>
        <row r="59">
          <cell r="A59">
            <v>122040100000</v>
          </cell>
          <cell r="B59" t="str">
            <v>1.5.1</v>
          </cell>
          <cell r="C59" t="str">
            <v>Aufsatzmaste LPH 3,5 m liefern und betriebsfertig aufstellen</v>
          </cell>
          <cell r="E59">
            <v>617.04999999999995</v>
          </cell>
        </row>
        <row r="60">
          <cell r="A60">
            <v>122040300000</v>
          </cell>
          <cell r="B60" t="str">
            <v>1.5.2</v>
          </cell>
          <cell r="C60" t="str">
            <v>Aufsatzmaste LPH 5,0 m liefern und betriebsfertig aufstellen</v>
          </cell>
          <cell r="E60">
            <v>660.92</v>
          </cell>
        </row>
        <row r="61">
          <cell r="A61">
            <v>122040500000</v>
          </cell>
          <cell r="B61" t="str">
            <v>1.5.3</v>
          </cell>
          <cell r="C61" t="str">
            <v>Aufsatzmaste LPH 6,0 m liefern und betriebsfertig aufstellen</v>
          </cell>
          <cell r="E61">
            <v>758.81</v>
          </cell>
        </row>
        <row r="62">
          <cell r="A62">
            <v>122040700000</v>
          </cell>
          <cell r="B62" t="str">
            <v>1.5.4</v>
          </cell>
          <cell r="C62" t="str">
            <v>Aufsatzmaste LPH 8,0 m liefern und betriebsfertig aufstellen</v>
          </cell>
          <cell r="E62">
            <v>1066.1600000000001</v>
          </cell>
        </row>
        <row r="63">
          <cell r="A63">
            <v>122040900000</v>
          </cell>
          <cell r="B63" t="str">
            <v>1.5.5</v>
          </cell>
          <cell r="C63" t="str">
            <v>Aufsatzmaste LPH 10,0 m liefern und betriebsfertig aufstellen</v>
          </cell>
          <cell r="E63">
            <v>1212.3499999999999</v>
          </cell>
        </row>
        <row r="64">
          <cell r="A64">
            <v>122040110000</v>
          </cell>
          <cell r="B64" t="str">
            <v>1.5.6</v>
          </cell>
          <cell r="C64" t="str">
            <v>Mast richten</v>
          </cell>
          <cell r="E64">
            <v>239.44</v>
          </cell>
        </row>
        <row r="65">
          <cell r="A65">
            <v>122120100000</v>
          </cell>
          <cell r="B65"/>
          <cell r="C65" t="str">
            <v>Mast kürzen</v>
          </cell>
          <cell r="E65">
            <v>21.43</v>
          </cell>
        </row>
        <row r="66">
          <cell r="A66">
            <v>122123400000</v>
          </cell>
          <cell r="B66"/>
          <cell r="C66" t="str">
            <v>doppelseitige Ankerschelle</v>
          </cell>
          <cell r="E66">
            <v>41.6</v>
          </cell>
        </row>
        <row r="67">
          <cell r="A67">
            <v>122123600000</v>
          </cell>
          <cell r="B67"/>
          <cell r="C67" t="str">
            <v>Abspannklemme</v>
          </cell>
          <cell r="E67">
            <v>37.57</v>
          </cell>
        </row>
        <row r="68">
          <cell r="A68">
            <v>122123800000</v>
          </cell>
          <cell r="B68"/>
          <cell r="C68" t="str">
            <v>Abreishaken</v>
          </cell>
          <cell r="E68">
            <v>48.62</v>
          </cell>
        </row>
        <row r="69">
          <cell r="A69">
            <v>122124000000</v>
          </cell>
          <cell r="B69"/>
          <cell r="C69" t="str">
            <v>Erdanker</v>
          </cell>
          <cell r="E69">
            <v>271.44</v>
          </cell>
        </row>
        <row r="70">
          <cell r="A70"/>
          <cell r="B70"/>
          <cell r="C70"/>
          <cell r="E70"/>
        </row>
        <row r="71">
          <cell r="A71"/>
          <cell r="B71"/>
          <cell r="C71"/>
          <cell r="E71"/>
        </row>
        <row r="72">
          <cell r="A72">
            <v>122120200000</v>
          </cell>
          <cell r="B72"/>
          <cell r="C72" t="str">
            <v>Mastkopf kürzen/schneiden</v>
          </cell>
          <cell r="E72">
            <v>11.17</v>
          </cell>
        </row>
        <row r="73">
          <cell r="A73">
            <v>122120900000</v>
          </cell>
          <cell r="B73"/>
          <cell r="C73" t="str">
            <v>Mast LPH 3,5m stellen o. Material</v>
          </cell>
          <cell r="E73">
            <v>467.03</v>
          </cell>
        </row>
        <row r="74">
          <cell r="A74">
            <v>122121100000</v>
          </cell>
          <cell r="B74"/>
          <cell r="C74" t="str">
            <v>Mast LPH 5,0m stellen o. Material</v>
          </cell>
          <cell r="E74">
            <v>493.59</v>
          </cell>
        </row>
        <row r="75">
          <cell r="A75">
            <v>122121300000</v>
          </cell>
          <cell r="B75"/>
          <cell r="C75" t="str">
            <v>Mast LPH 6,0m stellen o. Material</v>
          </cell>
          <cell r="E75">
            <v>590.42999999999995</v>
          </cell>
        </row>
        <row r="76">
          <cell r="A76">
            <v>122121500000</v>
          </cell>
          <cell r="B76"/>
          <cell r="C76" t="str">
            <v>Mast LPH 8,0m stellen o. Material</v>
          </cell>
          <cell r="E76">
            <v>834.1</v>
          </cell>
        </row>
        <row r="77">
          <cell r="A77">
            <v>122120600000</v>
          </cell>
          <cell r="B77"/>
          <cell r="C77" t="str">
            <v>Ampelanlage</v>
          </cell>
          <cell r="E77">
            <v>279.62</v>
          </cell>
        </row>
        <row r="78">
          <cell r="A78"/>
          <cell r="B78"/>
          <cell r="C78"/>
          <cell r="E78"/>
        </row>
        <row r="79">
          <cell r="A79"/>
          <cell r="B79"/>
          <cell r="C79"/>
          <cell r="E79"/>
        </row>
        <row r="80">
          <cell r="A80"/>
          <cell r="B80" t="str">
            <v>1.6</v>
          </cell>
          <cell r="C80" t="str">
            <v>Mastzubehör</v>
          </cell>
          <cell r="E80"/>
        </row>
        <row r="81">
          <cell r="A81">
            <v>122050100000</v>
          </cell>
          <cell r="B81" t="str">
            <v>1.6.1</v>
          </cell>
          <cell r="C81" t="str">
            <v>Masterdung für bestehende Masten</v>
          </cell>
          <cell r="E81">
            <v>9.82</v>
          </cell>
        </row>
        <row r="82">
          <cell r="A82">
            <v>122050300000</v>
          </cell>
          <cell r="B82" t="str">
            <v>1.6.2</v>
          </cell>
          <cell r="C82" t="str">
            <v>Mastnummernkennzeichnung erstellen</v>
          </cell>
          <cell r="E82">
            <v>11.23</v>
          </cell>
        </row>
        <row r="83">
          <cell r="A83">
            <v>122122700000</v>
          </cell>
          <cell r="B83"/>
          <cell r="C83" t="str">
            <v>Montage Tiefenerder (V4A)</v>
          </cell>
          <cell r="E83">
            <v>136.52000000000001</v>
          </cell>
        </row>
        <row r="84">
          <cell r="A84">
            <v>122122800000</v>
          </cell>
          <cell r="B84"/>
          <cell r="C84" t="str">
            <v>Zulage je weitere erdungsstange V4A 1,5</v>
          </cell>
          <cell r="E84">
            <v>56.52</v>
          </cell>
        </row>
        <row r="85">
          <cell r="A85">
            <v>122122900000</v>
          </cell>
          <cell r="B85"/>
          <cell r="C85" t="str">
            <v>Erdungsmessung inkl. Protokoll</v>
          </cell>
          <cell r="E85">
            <v>59.93</v>
          </cell>
        </row>
        <row r="86">
          <cell r="A86">
            <v>122123000000</v>
          </cell>
          <cell r="B86"/>
          <cell r="C86" t="str">
            <v>Pauschale Tiefbau für Tiefenerder</v>
          </cell>
          <cell r="E86">
            <v>134.19999999999999</v>
          </cell>
        </row>
        <row r="87">
          <cell r="A87">
            <v>122123100000</v>
          </cell>
          <cell r="B87"/>
          <cell r="C87" t="str">
            <v>Pauschale An und Abfahrt Tiefenerder</v>
          </cell>
          <cell r="E87">
            <v>61.6</v>
          </cell>
        </row>
        <row r="88">
          <cell r="A88">
            <v>122050500000</v>
          </cell>
          <cell r="B88" t="str">
            <v>1.6.3</v>
          </cell>
          <cell r="C88" t="str">
            <v>Mastanschlusskasten mit Maststeckdose</v>
          </cell>
          <cell r="E88">
            <v>337</v>
          </cell>
        </row>
        <row r="89">
          <cell r="A89"/>
          <cell r="B89" t="str">
            <v>1.7</v>
          </cell>
          <cell r="C89" t="str">
            <v>Ausleger</v>
          </cell>
          <cell r="E89"/>
        </row>
        <row r="90">
          <cell r="A90">
            <v>122060100000</v>
          </cell>
          <cell r="B90" t="str">
            <v>1.7.1</v>
          </cell>
          <cell r="C90" t="str">
            <v>Aufsatzausleger 1-fach 1,5 m bis LPH 10 m</v>
          </cell>
          <cell r="E90">
            <v>111.7</v>
          </cell>
        </row>
        <row r="91">
          <cell r="A91">
            <v>122060300000</v>
          </cell>
          <cell r="B91" t="str">
            <v>1.7.2</v>
          </cell>
          <cell r="C91" t="str">
            <v>Aufsatzausleger 2-fach 1,5 m bis LPH 10 m</v>
          </cell>
          <cell r="E91">
            <v>137.85</v>
          </cell>
        </row>
        <row r="92">
          <cell r="A92">
            <v>122060500000</v>
          </cell>
          <cell r="B92" t="str">
            <v>1.7.3</v>
          </cell>
          <cell r="C92" t="str">
            <v>Aufsatzausleger 3-fach 1,0 m bis LPH 10 m</v>
          </cell>
          <cell r="E92">
            <v>178.71</v>
          </cell>
        </row>
        <row r="93">
          <cell r="A93">
            <v>122060700000</v>
          </cell>
          <cell r="B93" t="str">
            <v>1.7.4</v>
          </cell>
          <cell r="C93" t="str">
            <v>Aufsatzausleger 3-fach 1,5 m bis LPH 10 m</v>
          </cell>
          <cell r="E93">
            <v>198.46</v>
          </cell>
        </row>
        <row r="94">
          <cell r="A94">
            <v>122060900000</v>
          </cell>
          <cell r="B94" t="str">
            <v>1.7.5</v>
          </cell>
          <cell r="C94" t="str">
            <v>Mastausleger für Freileitungsmast liefern u. montieren</v>
          </cell>
          <cell r="E94">
            <v>299.95999999999998</v>
          </cell>
        </row>
        <row r="95">
          <cell r="A95"/>
          <cell r="B95" t="str">
            <v>1.8</v>
          </cell>
          <cell r="C95" t="str">
            <v>Aluminiumgussmast "Bergisch Gladbach"</v>
          </cell>
          <cell r="E95"/>
        </row>
        <row r="96">
          <cell r="A96">
            <v>101030300000</v>
          </cell>
          <cell r="B96" t="str">
            <v>1.8.1</v>
          </cell>
          <cell r="C96" t="str">
            <v>Aluminiumgussmast 2,65m</v>
          </cell>
          <cell r="E96"/>
        </row>
        <row r="97">
          <cell r="A97">
            <v>441420000001</v>
          </cell>
          <cell r="B97" t="str">
            <v>1.8.2</v>
          </cell>
          <cell r="C97" t="str">
            <v>Leiterstütze nach historischem Vorbild</v>
          </cell>
          <cell r="E97"/>
        </row>
        <row r="98">
          <cell r="A98">
            <v>441421000001</v>
          </cell>
          <cell r="B98" t="str">
            <v>1.8.3</v>
          </cell>
          <cell r="C98" t="str">
            <v>Erdstücke</v>
          </cell>
          <cell r="E98"/>
        </row>
        <row r="99">
          <cell r="A99"/>
          <cell r="B99" t="str">
            <v>1.9</v>
          </cell>
          <cell r="C99" t="str">
            <v>Mastsicherungskästen liefern und einbauen/anschließen</v>
          </cell>
          <cell r="E99"/>
        </row>
        <row r="100">
          <cell r="A100">
            <v>122070100000</v>
          </cell>
          <cell r="B100" t="str">
            <v>1.9.1</v>
          </cell>
          <cell r="C100" t="str">
            <v>Kabelübergangskasten ohne AuS</v>
          </cell>
          <cell r="E100">
            <v>79.53</v>
          </cell>
        </row>
        <row r="101">
          <cell r="A101"/>
          <cell r="B101" t="str">
            <v>1.10</v>
          </cell>
          <cell r="C101" t="str">
            <v>Leuchten</v>
          </cell>
          <cell r="E101"/>
        </row>
        <row r="102">
          <cell r="A102">
            <v>122080100000</v>
          </cell>
          <cell r="B102"/>
          <cell r="C102" t="str">
            <v>Mont. Micro Luma</v>
          </cell>
          <cell r="E102">
            <v>37.78</v>
          </cell>
        </row>
        <row r="103">
          <cell r="A103">
            <v>122080300000</v>
          </cell>
          <cell r="B103"/>
          <cell r="C103" t="str">
            <v>Mont. Mini Luma</v>
          </cell>
          <cell r="E103">
            <v>38.86</v>
          </cell>
        </row>
        <row r="104">
          <cell r="A104">
            <v>122080500000</v>
          </cell>
          <cell r="B104"/>
          <cell r="C104" t="str">
            <v>Mont. Luma</v>
          </cell>
          <cell r="E104">
            <v>41.02</v>
          </cell>
        </row>
        <row r="105">
          <cell r="A105">
            <v>122080700000</v>
          </cell>
          <cell r="B105"/>
          <cell r="C105" t="str">
            <v>Mont. FGÜ Mini Luma</v>
          </cell>
          <cell r="E105">
            <v>96.08</v>
          </cell>
        </row>
        <row r="106">
          <cell r="A106">
            <v>122080900000</v>
          </cell>
          <cell r="B106"/>
          <cell r="C106" t="str">
            <v>Mont. Trilux Publisca</v>
          </cell>
          <cell r="E106">
            <v>43.18</v>
          </cell>
        </row>
        <row r="107">
          <cell r="A107">
            <v>122081100000</v>
          </cell>
          <cell r="B107"/>
          <cell r="C107" t="str">
            <v>Mont. Nordeon Vulkan V3458</v>
          </cell>
          <cell r="E107">
            <v>45.34</v>
          </cell>
        </row>
        <row r="108">
          <cell r="A108">
            <v>120813000000</v>
          </cell>
          <cell r="B108"/>
          <cell r="C108" t="str">
            <v>Mont. Hahn-Licht</v>
          </cell>
          <cell r="E108">
            <v>100.44</v>
          </cell>
        </row>
        <row r="109">
          <cell r="A109">
            <v>122120700000</v>
          </cell>
          <cell r="B109"/>
          <cell r="C109" t="str">
            <v>Leuchtenmontage o. Material</v>
          </cell>
          <cell r="E109">
            <v>57.53</v>
          </cell>
        </row>
        <row r="110">
          <cell r="A110">
            <v>122121900000</v>
          </cell>
          <cell r="B110"/>
          <cell r="C110" t="str">
            <v>Blendeneinbau Vulkan</v>
          </cell>
          <cell r="E110">
            <v>51.86</v>
          </cell>
        </row>
        <row r="111">
          <cell r="A111">
            <v>122122500000</v>
          </cell>
          <cell r="B111"/>
          <cell r="C111" t="str">
            <v>Austausch Vulkan Leuchtendach</v>
          </cell>
          <cell r="E111">
            <v>51.86</v>
          </cell>
        </row>
        <row r="112">
          <cell r="A112">
            <v>122124200000</v>
          </cell>
          <cell r="B112"/>
          <cell r="C112" t="str">
            <v>Isol. Klemme Leuchtenanschluss</v>
          </cell>
          <cell r="E112">
            <v>60.83</v>
          </cell>
        </row>
        <row r="113">
          <cell r="A113">
            <v>101030306000</v>
          </cell>
          <cell r="B113" t="str">
            <v>1.10.1</v>
          </cell>
          <cell r="C113" t="str">
            <v>Technische LED-Außenleuchte für Anliegerstraßen</v>
          </cell>
          <cell r="E113">
            <v>37.78</v>
          </cell>
        </row>
        <row r="114">
          <cell r="A114">
            <v>101030307000</v>
          </cell>
          <cell r="B114" t="str">
            <v>1.10.2</v>
          </cell>
          <cell r="C114" t="str">
            <v>Technische LED-Außenleuchte für Haupterschließungsstraßen</v>
          </cell>
          <cell r="E114">
            <v>38.86</v>
          </cell>
        </row>
        <row r="115">
          <cell r="A115">
            <v>101030400000</v>
          </cell>
          <cell r="B115" t="str">
            <v>1.10.3</v>
          </cell>
          <cell r="C115" t="str">
            <v>Technische LED-Außenleuchte für Hauptverkehrsstraßen</v>
          </cell>
          <cell r="E115">
            <v>41.02</v>
          </cell>
        </row>
        <row r="116">
          <cell r="A116">
            <v>441430000001</v>
          </cell>
          <cell r="B116" t="str">
            <v>1.10.4</v>
          </cell>
          <cell r="C116" t="str">
            <v>Technische LED-Außenleuchte für FGÜ</v>
          </cell>
          <cell r="E116">
            <v>96.08</v>
          </cell>
        </row>
        <row r="117">
          <cell r="A117">
            <v>441431000001</v>
          </cell>
          <cell r="B117" t="str">
            <v>1.10.5</v>
          </cell>
          <cell r="C117" t="str">
            <v>Technisch-dekorative LED-Außenleuchte</v>
          </cell>
          <cell r="E117">
            <v>43.18</v>
          </cell>
        </row>
        <row r="118">
          <cell r="A118">
            <v>441432000001</v>
          </cell>
          <cell r="B118" t="str">
            <v>1.10.6</v>
          </cell>
          <cell r="C118" t="str">
            <v>Klassisch-dekorative LED-Außenleuchte</v>
          </cell>
          <cell r="E118">
            <v>45.34</v>
          </cell>
        </row>
        <row r="119">
          <cell r="A119">
            <v>441433000001</v>
          </cell>
          <cell r="B119" t="str">
            <v>1.10.7</v>
          </cell>
          <cell r="C119" t="str">
            <v>Historische Mastaufsatzleuchten "Ausführung Bergisch Gladbach"</v>
          </cell>
          <cell r="E119">
            <v>100.44</v>
          </cell>
        </row>
        <row r="120">
          <cell r="A120">
            <v>101030405000</v>
          </cell>
          <cell r="B120" t="str">
            <v>1.10.8</v>
          </cell>
          <cell r="C120" t="str">
            <v>LED-Kompakt-Strahler für Akzentbeleuchtung &gt; 4000 lm</v>
          </cell>
          <cell r="E120"/>
        </row>
        <row r="121">
          <cell r="A121">
            <v>101030406000</v>
          </cell>
          <cell r="B121" t="str">
            <v>1.10.9</v>
          </cell>
          <cell r="C121" t="str">
            <v>LED-Kompakt-Strahler für Akzentbeleuchtung &gt; 3000 lm</v>
          </cell>
          <cell r="E121"/>
        </row>
        <row r="122">
          <cell r="A122">
            <v>101030407000</v>
          </cell>
          <cell r="B122" t="str">
            <v>1.10.10</v>
          </cell>
          <cell r="C122" t="str">
            <v>LED-Flutlichtstrahler für Anstrahlungen &gt; 6500 lm</v>
          </cell>
          <cell r="E122"/>
        </row>
        <row r="123">
          <cell r="A123">
            <v>101030500000</v>
          </cell>
          <cell r="B123" t="str">
            <v>1.10.11</v>
          </cell>
          <cell r="C123" t="str">
            <v>LED-Flutlichtstrahler für Anstrahlungen &gt; 5500 lm</v>
          </cell>
          <cell r="E123"/>
        </row>
        <row r="124">
          <cell r="A124"/>
          <cell r="B124" t="str">
            <v>1.11</v>
          </cell>
          <cell r="C124" t="str">
            <v>Energieverteiler</v>
          </cell>
          <cell r="E124"/>
        </row>
        <row r="125">
          <cell r="A125">
            <v>122090100000</v>
          </cell>
          <cell r="B125" t="str">
            <v>1.11.1</v>
          </cell>
          <cell r="C125" t="str">
            <v>Bestehende Verteiler demontieren</v>
          </cell>
          <cell r="E125">
            <v>451.03</v>
          </cell>
        </row>
        <row r="126">
          <cell r="A126">
            <v>122090300000</v>
          </cell>
          <cell r="B126" t="str">
            <v>1.11.2</v>
          </cell>
          <cell r="C126" t="str">
            <v>Energieverteiler mit 6 Abgängen liefern und montieren</v>
          </cell>
          <cell r="E126">
            <v>791.26</v>
          </cell>
        </row>
        <row r="127">
          <cell r="A127">
            <v>122090500000</v>
          </cell>
          <cell r="B127" t="str">
            <v>1.11.3</v>
          </cell>
          <cell r="C127" t="str">
            <v>Energieverteiler mit 12 Abgängen liefern und montieren</v>
          </cell>
          <cell r="E127">
            <v>890.18</v>
          </cell>
        </row>
        <row r="128">
          <cell r="A128">
            <v>122090700000</v>
          </cell>
          <cell r="B128" t="str">
            <v>1.11.4</v>
          </cell>
          <cell r="C128" t="str">
            <v>Dokumentation Energieverteiler</v>
          </cell>
          <cell r="E128">
            <v>236.91</v>
          </cell>
        </row>
        <row r="129">
          <cell r="A129">
            <v>122090900000</v>
          </cell>
          <cell r="B129" t="str">
            <v>1.11.5</v>
          </cell>
          <cell r="C129" t="str">
            <v>Energieverteiler Prüfung</v>
          </cell>
          <cell r="E129">
            <v>325.82</v>
          </cell>
        </row>
        <row r="130">
          <cell r="A130">
            <v>122091100000</v>
          </cell>
          <cell r="B130" t="str">
            <v>1.11.6</v>
          </cell>
          <cell r="C130" t="str">
            <v>Reinigung und Prüfung von Schaltanlagen</v>
          </cell>
          <cell r="E130">
            <v>445.86</v>
          </cell>
        </row>
        <row r="131">
          <cell r="A131">
            <v>122091300000</v>
          </cell>
          <cell r="B131" t="str">
            <v>1.11.7</v>
          </cell>
          <cell r="C131" t="str">
            <v>Überspannungsschutz am bestehenden Energieverteiler nachrüsten</v>
          </cell>
          <cell r="E131">
            <v>267.86</v>
          </cell>
        </row>
        <row r="132">
          <cell r="A132">
            <v>122091500000</v>
          </cell>
          <cell r="B132" t="str">
            <v>1.11.8</v>
          </cell>
          <cell r="C132" t="str">
            <v>Neue Energieverteiler Überspannungsschutz</v>
          </cell>
          <cell r="E132">
            <v>178.57</v>
          </cell>
        </row>
        <row r="133">
          <cell r="A133">
            <v>122091700000</v>
          </cell>
          <cell r="B133" t="str">
            <v>1.11.9</v>
          </cell>
          <cell r="C133" t="str">
            <v>Zähleranträge für v.g. Position beim EVU beantragen</v>
          </cell>
          <cell r="E133">
            <v>113.71</v>
          </cell>
        </row>
        <row r="134">
          <cell r="A134"/>
          <cell r="B134" t="str">
            <v>1.12</v>
          </cell>
          <cell r="C134" t="str">
            <v>Messungen und Nebenarbeiten bzw. besondere Leistungen</v>
          </cell>
          <cell r="E134"/>
        </row>
        <row r="135">
          <cell r="A135">
            <v>122100100000</v>
          </cell>
          <cell r="B135" t="str">
            <v>1.12.1</v>
          </cell>
          <cell r="C135" t="str">
            <v>Isolationsmessung Kabel</v>
          </cell>
          <cell r="E135">
            <v>169.16</v>
          </cell>
        </row>
        <row r="136">
          <cell r="A136">
            <v>122100300000</v>
          </cell>
          <cell r="B136" t="str">
            <v>1.12.2</v>
          </cell>
          <cell r="C136" t="str">
            <v>Schleifenimpedanzmessung</v>
          </cell>
          <cell r="E136">
            <v>89.29</v>
          </cell>
        </row>
        <row r="137">
          <cell r="A137">
            <v>122100500000</v>
          </cell>
          <cell r="B137" t="str">
            <v>1.12.3</v>
          </cell>
          <cell r="C137" t="str">
            <v>Messung der Schutzmaßnahme gegen zu hohe Berührungsspannungen</v>
          </cell>
          <cell r="E137">
            <v>218.5</v>
          </cell>
        </row>
        <row r="138">
          <cell r="A138"/>
          <cell r="B138"/>
          <cell r="C138"/>
          <cell r="E138"/>
        </row>
        <row r="139">
          <cell r="A139"/>
          <cell r="B139" t="str">
            <v>1.13</v>
          </cell>
          <cell r="C139" t="str">
            <v>Lichtmanagementsystem</v>
          </cell>
          <cell r="E139"/>
        </row>
        <row r="140">
          <cell r="A140">
            <v>101040107000</v>
          </cell>
          <cell r="B140" t="str">
            <v>1.13.1</v>
          </cell>
          <cell r="C140" t="str">
            <v>Lichtmanagement Pauschale</v>
          </cell>
          <cell r="E140"/>
        </row>
        <row r="141">
          <cell r="A141">
            <v>101040108000</v>
          </cell>
          <cell r="B141" t="str">
            <v>1.13.2</v>
          </cell>
          <cell r="C141" t="str">
            <v>Schulung</v>
          </cell>
          <cell r="E141"/>
        </row>
        <row r="142">
          <cell r="A142"/>
          <cell r="B142" t="str">
            <v>1.14</v>
          </cell>
          <cell r="C142" t="str">
            <v>Stundenlohnarbeiten</v>
          </cell>
          <cell r="E142"/>
        </row>
        <row r="143">
          <cell r="A143">
            <v>122110210000</v>
          </cell>
          <cell r="B143" t="str">
            <v>1.14.1</v>
          </cell>
          <cell r="C143" t="str">
            <v>Stundenlohn Meister / Techniker</v>
          </cell>
          <cell r="E143">
            <v>94.03</v>
          </cell>
        </row>
        <row r="144">
          <cell r="A144">
            <v>122110100000</v>
          </cell>
          <cell r="B144" t="str">
            <v>1.14.2</v>
          </cell>
          <cell r="C144" t="str">
            <v>Stundenlohn Monteur</v>
          </cell>
          <cell r="E144">
            <v>65.819999999999993</v>
          </cell>
        </row>
        <row r="145">
          <cell r="A145">
            <v>122110220000</v>
          </cell>
          <cell r="B145" t="str">
            <v>1.14.3</v>
          </cell>
          <cell r="C145" t="str">
            <v>Stundenlohn Helfer</v>
          </cell>
          <cell r="E145">
            <v>53.67</v>
          </cell>
        </row>
        <row r="146">
          <cell r="A146">
            <v>122110300000</v>
          </cell>
          <cell r="B146" t="str">
            <v>1.14.4</v>
          </cell>
          <cell r="C146" t="str">
            <v>Kabelmesswagen</v>
          </cell>
          <cell r="E146">
            <v>449.64</v>
          </cell>
        </row>
        <row r="147">
          <cell r="A147">
            <v>122110400000</v>
          </cell>
          <cell r="B147" t="str">
            <v>1.14.5</v>
          </cell>
          <cell r="C147" t="str">
            <v>Hubsteiger mit Bedienung</v>
          </cell>
          <cell r="E147">
            <v>103.72</v>
          </cell>
        </row>
        <row r="148">
          <cell r="A148">
            <v>122110500000</v>
          </cell>
          <cell r="B148" t="str">
            <v>1.14.6</v>
          </cell>
          <cell r="C148" t="str">
            <v>LKW bis 7,5 t mit Bedienung</v>
          </cell>
          <cell r="E148">
            <v>100.49</v>
          </cell>
        </row>
        <row r="149">
          <cell r="A149">
            <v>122110600000</v>
          </cell>
          <cell r="B149" t="str">
            <v>1.14.7</v>
          </cell>
          <cell r="C149" t="str">
            <v>Bagger 3,5 t mit Bedienung</v>
          </cell>
          <cell r="E149">
            <v>87.3</v>
          </cell>
        </row>
        <row r="150">
          <cell r="A150">
            <v>122120300000</v>
          </cell>
          <cell r="B150"/>
          <cell r="C150" t="str">
            <v>Kompressor mit Aufbruchhammer</v>
          </cell>
          <cell r="E150">
            <v>16.37</v>
          </cell>
        </row>
        <row r="151">
          <cell r="A151"/>
          <cell r="B151"/>
          <cell r="C151" t="str">
            <v>Betriebsführung</v>
          </cell>
          <cell r="E151"/>
        </row>
        <row r="152">
          <cell r="A152">
            <v>122120000100</v>
          </cell>
          <cell r="B152"/>
          <cell r="C152" t="str">
            <v>Betrieb 5 J. Gew. je Leuchtstelle</v>
          </cell>
          <cell r="E152">
            <v>24.71</v>
          </cell>
        </row>
        <row r="153">
          <cell r="A153">
            <v>122120000200</v>
          </cell>
          <cell r="B153"/>
          <cell r="C153" t="str">
            <v>Betrieb 5 J. Gew. je zus. Leuchtstelle</v>
          </cell>
          <cell r="E153">
            <v>10.8</v>
          </cell>
        </row>
        <row r="154">
          <cell r="A154">
            <v>122120000300</v>
          </cell>
          <cell r="B154"/>
          <cell r="C154" t="str">
            <v>Betrieb 15 J. Gew. je Leuchtstelle</v>
          </cell>
          <cell r="E154">
            <v>104.6</v>
          </cell>
        </row>
        <row r="155">
          <cell r="A155">
            <v>122120000400</v>
          </cell>
          <cell r="B155"/>
          <cell r="C155" t="str">
            <v>Betrieb 15 J. Gew. je zus. Leuchtstelle</v>
          </cell>
          <cell r="E155">
            <v>30.3</v>
          </cell>
        </row>
        <row r="156">
          <cell r="A156">
            <v>122120000500</v>
          </cell>
          <cell r="B156"/>
          <cell r="C156" t="str">
            <v>Betrieb 20 J. je Sonderleuchte</v>
          </cell>
          <cell r="E156">
            <v>605.91999999999996</v>
          </cell>
        </row>
      </sheetData>
      <sheetData sheetId="18"/>
      <sheetData sheetId="19">
        <row r="35">
          <cell r="E35" t="str">
            <v>m²</v>
          </cell>
        </row>
      </sheetData>
      <sheetData sheetId="20">
        <row r="35">
          <cell r="E35" t="str">
            <v>m²</v>
          </cell>
        </row>
      </sheetData>
      <sheetData sheetId="21">
        <row r="35">
          <cell r="E35" t="str">
            <v>m²</v>
          </cell>
        </row>
      </sheetData>
      <sheetData sheetId="22">
        <row r="35">
          <cell r="E35" t="str">
            <v>m²</v>
          </cell>
        </row>
      </sheetData>
      <sheetData sheetId="23">
        <row r="35">
          <cell r="E35" t="str">
            <v>m²</v>
          </cell>
        </row>
      </sheetData>
      <sheetData sheetId="24">
        <row r="35">
          <cell r="E35" t="str">
            <v>m²</v>
          </cell>
        </row>
      </sheetData>
      <sheetData sheetId="25">
        <row r="35">
          <cell r="E35" t="str">
            <v>m²</v>
          </cell>
        </row>
      </sheetData>
      <sheetData sheetId="26">
        <row r="35">
          <cell r="E35" t="str">
            <v>m²</v>
          </cell>
        </row>
      </sheetData>
      <sheetData sheetId="27">
        <row r="35">
          <cell r="E35" t="str">
            <v>m²</v>
          </cell>
        </row>
      </sheetData>
      <sheetData sheetId="28">
        <row r="35">
          <cell r="E35" t="str">
            <v>m²</v>
          </cell>
        </row>
      </sheetData>
      <sheetData sheetId="29">
        <row r="35">
          <cell r="E35" t="str">
            <v>m²</v>
          </cell>
        </row>
      </sheetData>
      <sheetData sheetId="30">
        <row r="35">
          <cell r="E35" t="str">
            <v>m²</v>
          </cell>
        </row>
      </sheetData>
      <sheetData sheetId="31">
        <row r="35">
          <cell r="E35" t="str">
            <v>m²</v>
          </cell>
        </row>
      </sheetData>
      <sheetData sheetId="32">
        <row r="35">
          <cell r="E35" t="str">
            <v>m²</v>
          </cell>
        </row>
      </sheetData>
      <sheetData sheetId="33">
        <row r="35">
          <cell r="E35" t="str">
            <v>m²</v>
          </cell>
        </row>
      </sheetData>
      <sheetData sheetId="34">
        <row r="35">
          <cell r="E35" t="str">
            <v>m²</v>
          </cell>
        </row>
      </sheetData>
      <sheetData sheetId="35">
        <row r="35">
          <cell r="E35" t="str">
            <v>m²</v>
          </cell>
        </row>
      </sheetData>
      <sheetData sheetId="36">
        <row r="35">
          <cell r="E35" t="str">
            <v>m²</v>
          </cell>
        </row>
      </sheetData>
      <sheetData sheetId="37">
        <row r="35">
          <cell r="E35" t="str">
            <v>m²</v>
          </cell>
        </row>
      </sheetData>
      <sheetData sheetId="38">
        <row r="35">
          <cell r="E35" t="str">
            <v>m²</v>
          </cell>
        </row>
      </sheetData>
      <sheetData sheetId="39">
        <row r="23">
          <cell r="AB23">
            <v>2</v>
          </cell>
        </row>
      </sheetData>
      <sheetData sheetId="40">
        <row r="35">
          <cell r="D35" t="str">
            <v>m²</v>
          </cell>
        </row>
      </sheetData>
      <sheetData sheetId="41">
        <row r="22">
          <cell r="E22" t="str">
            <v>m²</v>
          </cell>
        </row>
      </sheetData>
      <sheetData sheetId="42">
        <row r="35">
          <cell r="E35" t="str">
            <v>m²</v>
          </cell>
        </row>
      </sheetData>
      <sheetData sheetId="43">
        <row r="55">
          <cell r="J55">
            <v>0.64</v>
          </cell>
        </row>
      </sheetData>
      <sheetData sheetId="44"/>
      <sheetData sheetId="45">
        <row r="55">
          <cell r="D55" t="str">
            <v>m²</v>
          </cell>
        </row>
      </sheetData>
      <sheetData sheetId="46">
        <row r="55">
          <cell r="D55" t="str">
            <v>m²</v>
          </cell>
        </row>
      </sheetData>
      <sheetData sheetId="47">
        <row r="55">
          <cell r="D55" t="str">
            <v>m²</v>
          </cell>
        </row>
      </sheetData>
      <sheetData sheetId="48">
        <row r="55">
          <cell r="D55" t="str">
            <v>m²</v>
          </cell>
        </row>
      </sheetData>
      <sheetData sheetId="49">
        <row r="55">
          <cell r="D55" t="str">
            <v>m²</v>
          </cell>
        </row>
      </sheetData>
      <sheetData sheetId="50">
        <row r="55">
          <cell r="D55" t="str">
            <v>m²</v>
          </cell>
        </row>
      </sheetData>
      <sheetData sheetId="51"/>
      <sheetData sheetId="52"/>
      <sheetData sheetId="53">
        <row r="55">
          <cell r="D55" t="str">
            <v>m²</v>
          </cell>
        </row>
      </sheetData>
      <sheetData sheetId="54">
        <row r="55">
          <cell r="D55" t="str">
            <v>m²</v>
          </cell>
        </row>
      </sheetData>
      <sheetData sheetId="55">
        <row r="55">
          <cell r="D55" t="str">
            <v>m²</v>
          </cell>
        </row>
      </sheetData>
      <sheetData sheetId="56">
        <row r="55">
          <cell r="D55" t="str">
            <v>m²</v>
          </cell>
        </row>
      </sheetData>
      <sheetData sheetId="57">
        <row r="55">
          <cell r="D55" t="str">
            <v>m²</v>
          </cell>
        </row>
      </sheetData>
      <sheetData sheetId="58">
        <row r="55">
          <cell r="D55" t="str">
            <v>m²</v>
          </cell>
        </row>
      </sheetData>
      <sheetData sheetId="59"/>
      <sheetData sheetId="60"/>
      <sheetData sheetId="61">
        <row r="35">
          <cell r="D35" t="str">
            <v>m²</v>
          </cell>
        </row>
      </sheetData>
      <sheetData sheetId="62">
        <row r="35">
          <cell r="D35" t="str">
            <v>m²</v>
          </cell>
        </row>
      </sheetData>
      <sheetData sheetId="63">
        <row r="35">
          <cell r="D35" t="str">
            <v>m²</v>
          </cell>
        </row>
      </sheetData>
      <sheetData sheetId="64">
        <row r="35">
          <cell r="D35" t="str">
            <v>m²</v>
          </cell>
        </row>
      </sheetData>
      <sheetData sheetId="65">
        <row r="35">
          <cell r="D35" t="str">
            <v>m²</v>
          </cell>
        </row>
      </sheetData>
      <sheetData sheetId="66"/>
      <sheetData sheetId="67">
        <row r="35">
          <cell r="D35" t="str">
            <v>m²</v>
          </cell>
        </row>
      </sheetData>
      <sheetData sheetId="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isliste"/>
      <sheetName val="Multiprojekte"/>
      <sheetName val="Distanz Anschluss Mast 4 zu 5"/>
      <sheetName val="Zusammenfassung Multi"/>
      <sheetName val="Mast Grube Multi3,5B"/>
      <sheetName val="Mast Grube Multi3,5lB"/>
    </sheetNames>
    <sheetDataSet>
      <sheetData sheetId="0"/>
      <sheetData sheetId="1">
        <row r="23">
          <cell r="AB23">
            <v>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A85C-2F10-4688-AADF-C45BCBDC4ECF}">
  <sheetPr>
    <pageSetUpPr fitToPage="1"/>
  </sheetPr>
  <dimension ref="A1:BV143"/>
  <sheetViews>
    <sheetView showGridLines="0" tabSelected="1" zoomScaleNormal="100" workbookViewId="0">
      <selection sqref="A1:J143"/>
    </sheetView>
  </sheetViews>
  <sheetFormatPr baseColWidth="10" defaultRowHeight="14.4" x14ac:dyDescent="0.3"/>
  <cols>
    <col min="1" max="1" width="8.44140625" customWidth="1"/>
    <col min="3" max="3" width="9" customWidth="1"/>
    <col min="4" max="4" width="8" customWidth="1"/>
    <col min="5" max="5" width="11.44140625" customWidth="1"/>
    <col min="6" max="6" width="8.5546875" customWidth="1"/>
    <col min="7" max="7" width="9.44140625" customWidth="1"/>
    <col min="8" max="8" width="8.6640625" customWidth="1"/>
    <col min="9" max="9" width="59" customWidth="1"/>
    <col min="10" max="10" width="11.44140625" customWidth="1"/>
    <col min="11" max="11" width="11.44140625" hidden="1" customWidth="1"/>
    <col min="12" max="12" width="13.6640625" hidden="1" customWidth="1"/>
    <col min="13" max="42" width="11.44140625" hidden="1" customWidth="1"/>
    <col min="43" max="47" width="11.44140625" style="2" hidden="1" customWidth="1"/>
    <col min="48" max="48" width="11.44140625" style="3" hidden="1" customWidth="1"/>
    <col min="49" max="49" width="17.109375" hidden="1" customWidth="1"/>
    <col min="50" max="60" width="11.44140625" hidden="1" customWidth="1"/>
    <col min="61" max="62" width="11.44140625" customWidth="1"/>
    <col min="63" max="63" width="9.5546875" style="4" customWidth="1"/>
    <col min="64" max="68" width="11.44140625" customWidth="1"/>
    <col min="70" max="70" width="16.44140625" customWidth="1"/>
    <col min="71" max="71" width="5.109375" customWidth="1"/>
    <col min="73" max="74" width="11.44140625" customWidth="1"/>
  </cols>
  <sheetData>
    <row r="1" spans="2:74" x14ac:dyDescent="0.3">
      <c r="K1" s="1" t="s">
        <v>0</v>
      </c>
      <c r="N1" t="s">
        <v>1</v>
      </c>
      <c r="AN1" t="s">
        <v>2</v>
      </c>
      <c r="AX1" t="s">
        <v>3</v>
      </c>
      <c r="BC1" t="s">
        <v>4</v>
      </c>
      <c r="BF1" t="s">
        <v>2</v>
      </c>
    </row>
    <row r="2" spans="2:74" x14ac:dyDescent="0.3">
      <c r="B2" s="5" t="s">
        <v>5</v>
      </c>
      <c r="C2" s="6">
        <f>IF(AND(D36="x",BJ32=1),F36/10,IF(AND(D36="x",BJ32=2),G36/10,IF(AND(D36="x",BJ32=3),H36/10,IF(AND(D37="x",BJ32=1),F37/10,IF(AND(D37="x",BJ32=2),G37/10,IF(AND(D37="x",BJ32=3),H37/10,IF(AND(D38="x",BJ32=1),F38/10,IF(AND(D38="x",BJ32=2),G38/10,IF(AND(D38="x",BJ32=3),H38/10,IF(AND(D39="x",BJ32=1),F39/10,IF(AND(D39="x",BJ32=2),G39/10,IF(AND(D39="x",BJ32=3),H39/10,IF(AND(D40="x",BJ32=1),F40/10,IF(AND(D40="x",BJ32=2),G40/10,IF(AND(D40="x",BJ32=3),H40/10,"")))))))))))))))</f>
        <v>50</v>
      </c>
      <c r="D2" t="s">
        <v>6</v>
      </c>
      <c r="F2" s="7" t="s">
        <v>7</v>
      </c>
      <c r="G2" s="6">
        <f>IF(BJ32=3,"",IF(OR(BJ32=1,BJ32=2),IF(C2&lt;&gt;"",C2+15+15,"")))</f>
        <v>80</v>
      </c>
      <c r="H2" t="s">
        <v>6</v>
      </c>
      <c r="N2" t="s">
        <v>8</v>
      </c>
      <c r="AD2" t="s">
        <v>9</v>
      </c>
      <c r="AF2" t="s">
        <v>10</v>
      </c>
      <c r="AK2" s="8"/>
      <c r="AL2" s="8" t="s">
        <v>11</v>
      </c>
      <c r="AM2" s="8"/>
      <c r="AN2" s="8"/>
      <c r="AO2" s="8"/>
      <c r="AP2" s="8"/>
      <c r="AQ2" s="2" t="s">
        <v>12</v>
      </c>
      <c r="AR2" s="2" t="s">
        <v>13</v>
      </c>
      <c r="AS2" s="2" t="s">
        <v>14</v>
      </c>
      <c r="AT2" s="2" t="s">
        <v>15</v>
      </c>
      <c r="AU2" s="2" t="s">
        <v>16</v>
      </c>
      <c r="AX2" s="2" t="s">
        <v>12</v>
      </c>
      <c r="AY2" s="2" t="s">
        <v>13</v>
      </c>
      <c r="AZ2" s="2" t="s">
        <v>14</v>
      </c>
      <c r="BA2" s="2" t="s">
        <v>15</v>
      </c>
      <c r="BB2" s="2" t="s">
        <v>16</v>
      </c>
    </row>
    <row r="3" spans="2:74" x14ac:dyDescent="0.3">
      <c r="F3" s="6"/>
      <c r="G3" s="6"/>
      <c r="N3" t="s">
        <v>17</v>
      </c>
      <c r="O3" t="s">
        <v>18</v>
      </c>
      <c r="R3" t="s">
        <v>19</v>
      </c>
      <c r="U3" s="5" t="s">
        <v>5</v>
      </c>
      <c r="V3">
        <f>C2/100</f>
        <v>0.5</v>
      </c>
      <c r="Y3">
        <f>G2/100</f>
        <v>0.8</v>
      </c>
      <c r="AA3">
        <v>0</v>
      </c>
      <c r="AC3" t="s">
        <v>20</v>
      </c>
      <c r="AD3" t="s">
        <v>21</v>
      </c>
      <c r="AE3" t="s">
        <v>22</v>
      </c>
      <c r="AF3" t="s">
        <v>23</v>
      </c>
      <c r="AG3" t="s">
        <v>24</v>
      </c>
      <c r="AI3" t="s">
        <v>25</v>
      </c>
      <c r="AK3" s="8"/>
      <c r="AL3" s="8"/>
      <c r="AM3" s="8"/>
      <c r="AN3" s="8"/>
      <c r="AO3" s="8" t="s">
        <v>17</v>
      </c>
      <c r="AP3" s="8" t="s">
        <v>18</v>
      </c>
      <c r="AQ3" s="9" t="s">
        <v>26</v>
      </c>
      <c r="AR3" s="9"/>
      <c r="AS3" s="9"/>
      <c r="AT3" s="9"/>
      <c r="AU3" s="9"/>
      <c r="AX3" s="10" t="s">
        <v>27</v>
      </c>
      <c r="AY3" t="s">
        <v>28</v>
      </c>
      <c r="AZ3" t="s">
        <v>29</v>
      </c>
      <c r="BA3" t="s">
        <v>30</v>
      </c>
      <c r="BB3" s="10" t="s">
        <v>31</v>
      </c>
    </row>
    <row r="4" spans="2:74" x14ac:dyDescent="0.3">
      <c r="B4" s="5" t="s">
        <v>32</v>
      </c>
      <c r="C4" s="6">
        <f>C2</f>
        <v>50</v>
      </c>
      <c r="D4" t="s">
        <v>6</v>
      </c>
      <c r="F4" s="7" t="s">
        <v>33</v>
      </c>
      <c r="G4" s="6">
        <f>IF(BJ32=3,"",IF(OR(BJ32=1,BJ32=2),IF(C2&lt;&gt;"",C4+15+15,"")))</f>
        <v>80</v>
      </c>
      <c r="H4" t="s">
        <v>6</v>
      </c>
      <c r="J4" s="11"/>
      <c r="K4" s="11" t="s">
        <v>34</v>
      </c>
      <c r="L4" s="11"/>
      <c r="M4" s="12">
        <v>200</v>
      </c>
      <c r="N4" s="13">
        <v>200</v>
      </c>
      <c r="O4" s="13">
        <f>N4-15</f>
        <v>185</v>
      </c>
      <c r="P4" s="14" t="s">
        <v>35</v>
      </c>
      <c r="Q4" s="15" t="s">
        <v>36</v>
      </c>
      <c r="R4" s="11"/>
      <c r="AC4">
        <f>Z16-20</f>
        <v>305</v>
      </c>
      <c r="AD4">
        <f>U16+20</f>
        <v>20</v>
      </c>
      <c r="AE4">
        <f>AC4-15</f>
        <v>290</v>
      </c>
      <c r="AF4">
        <f>Z15+20</f>
        <v>375</v>
      </c>
      <c r="AG4">
        <f>AE4-80</f>
        <v>210</v>
      </c>
      <c r="AI4">
        <v>3.5</v>
      </c>
      <c r="AJ4">
        <v>200</v>
      </c>
      <c r="AK4" s="8" t="s">
        <v>0</v>
      </c>
      <c r="AL4" s="8" t="s">
        <v>37</v>
      </c>
      <c r="AM4" s="8"/>
      <c r="AN4" s="8"/>
      <c r="AO4" s="8">
        <v>200</v>
      </c>
      <c r="AP4" s="8">
        <f>AO4-15</f>
        <v>185</v>
      </c>
      <c r="AQ4" s="16">
        <v>6</v>
      </c>
      <c r="AR4" s="2">
        <f>100/10</f>
        <v>10</v>
      </c>
      <c r="AS4" s="2">
        <f>AR4</f>
        <v>10</v>
      </c>
      <c r="AT4" s="2">
        <f>AR4</f>
        <v>10</v>
      </c>
      <c r="AU4" s="16">
        <v>15</v>
      </c>
      <c r="AV4" s="3" t="s">
        <v>38</v>
      </c>
      <c r="AX4" s="10">
        <v>50</v>
      </c>
      <c r="AY4">
        <v>60</v>
      </c>
      <c r="AZ4">
        <v>65</v>
      </c>
      <c r="BA4">
        <v>75</v>
      </c>
      <c r="BB4" s="10">
        <v>90</v>
      </c>
    </row>
    <row r="5" spans="2:74" x14ac:dyDescent="0.3">
      <c r="B5" s="17" t="s">
        <v>39</v>
      </c>
      <c r="C5" s="18">
        <f>IF([2]Multiprojekte!AB23&lt;&gt;0,3.5,0)</f>
        <v>3.5</v>
      </c>
      <c r="D5" t="s">
        <v>40</v>
      </c>
      <c r="F5" s="17" t="s">
        <v>41</v>
      </c>
      <c r="G5" s="19">
        <f>IF(C5=3.5,AI30,IF(C5=5,AI31,IF(C5=6,AI32,IF(C5=8,AI33,IF(C5=10,AI34,"")))))</f>
        <v>135</v>
      </c>
      <c r="H5" s="19" t="s">
        <v>42</v>
      </c>
      <c r="J5" s="11"/>
      <c r="K5" s="11" t="s">
        <v>43</v>
      </c>
      <c r="L5" s="11"/>
      <c r="M5" s="12">
        <v>200</v>
      </c>
      <c r="N5" s="13">
        <v>200</v>
      </c>
      <c r="O5" s="13">
        <f>N5-15</f>
        <v>185</v>
      </c>
      <c r="P5" s="20" t="s">
        <v>44</v>
      </c>
      <c r="Q5" s="21" t="s">
        <v>45</v>
      </c>
      <c r="R5" s="11"/>
      <c r="U5" s="5" t="s">
        <v>32</v>
      </c>
      <c r="V5">
        <f>C4/100</f>
        <v>0.5</v>
      </c>
      <c r="Y5">
        <f>G4/100</f>
        <v>0.8</v>
      </c>
      <c r="AA5">
        <v>-600</v>
      </c>
      <c r="AB5">
        <f>U15+(X8/10)</f>
        <v>8</v>
      </c>
      <c r="AI5">
        <v>5</v>
      </c>
      <c r="AJ5">
        <v>415</v>
      </c>
      <c r="AK5" s="8" t="s">
        <v>0</v>
      </c>
      <c r="AL5" s="8" t="s">
        <v>46</v>
      </c>
      <c r="AM5" s="8"/>
      <c r="AN5" s="8"/>
      <c r="AO5" s="8">
        <v>200</v>
      </c>
      <c r="AP5" s="8">
        <f>AO5-15</f>
        <v>185</v>
      </c>
      <c r="AQ5" s="16">
        <v>6</v>
      </c>
      <c r="AR5" s="2">
        <f>AR4</f>
        <v>10</v>
      </c>
      <c r="AS5" s="2">
        <f>AR4</f>
        <v>10</v>
      </c>
      <c r="AT5" s="2">
        <f>AR4</f>
        <v>10</v>
      </c>
      <c r="AU5" s="16">
        <v>15</v>
      </c>
      <c r="AV5" s="3" t="s">
        <v>47</v>
      </c>
      <c r="AW5" t="s">
        <v>48</v>
      </c>
      <c r="BC5">
        <f>C3/10</f>
        <v>0</v>
      </c>
    </row>
    <row r="6" spans="2:74" x14ac:dyDescent="0.3">
      <c r="F6" s="5" t="s">
        <v>49</v>
      </c>
      <c r="G6" s="8">
        <f>IF(BJ32=1,14,IF(BJ32=2,37,IF(BJ32=3,20,"")))</f>
        <v>37</v>
      </c>
      <c r="H6" t="s">
        <v>6</v>
      </c>
      <c r="I6" t="s">
        <v>50</v>
      </c>
      <c r="J6" s="11"/>
      <c r="K6" s="11" t="s">
        <v>51</v>
      </c>
      <c r="L6" s="11"/>
      <c r="M6" s="22">
        <f>C2*10</f>
        <v>500</v>
      </c>
      <c r="N6" s="13">
        <f>M6/10</f>
        <v>50</v>
      </c>
      <c r="O6" s="13">
        <f>N6+15+15</f>
        <v>80</v>
      </c>
      <c r="P6" s="23" t="s">
        <v>52</v>
      </c>
      <c r="Q6" s="24" t="s">
        <v>53</v>
      </c>
      <c r="R6" s="13">
        <f>M6+150+150</f>
        <v>800</v>
      </c>
      <c r="X6" t="s">
        <v>54</v>
      </c>
      <c r="Y6">
        <f>I7</f>
        <v>33</v>
      </c>
      <c r="AI6">
        <v>6</v>
      </c>
      <c r="AJ6">
        <v>580</v>
      </c>
      <c r="AK6" s="8"/>
      <c r="AL6" s="8"/>
      <c r="AM6" s="8"/>
      <c r="AN6" s="8"/>
      <c r="AO6" s="8"/>
      <c r="AP6" s="8"/>
      <c r="AQ6" s="16">
        <v>6</v>
      </c>
      <c r="AR6" s="2">
        <f>AR4</f>
        <v>10</v>
      </c>
      <c r="AS6" s="2">
        <f>AR4</f>
        <v>10</v>
      </c>
      <c r="AT6" s="2">
        <f>AR4</f>
        <v>10</v>
      </c>
      <c r="AU6" s="16">
        <v>15</v>
      </c>
      <c r="AV6" s="3" t="s">
        <v>55</v>
      </c>
      <c r="AW6" t="s">
        <v>56</v>
      </c>
      <c r="BC6">
        <f>C5/10</f>
        <v>0.35</v>
      </c>
    </row>
    <row r="7" spans="2:74" x14ac:dyDescent="0.3">
      <c r="B7" t="s">
        <v>57</v>
      </c>
      <c r="C7" s="6">
        <f>IF(D36="x",X30,IF(D37="x",X31,IF(D38="x",X32,IF(D39="x",X33,IF(D40="x",X34,"")))))</f>
        <v>60</v>
      </c>
      <c r="D7" t="s">
        <v>6</v>
      </c>
      <c r="I7" s="25">
        <f>IF(BJ32=1,6,IF(BJ32=2,33,IF(BJ32=3,22,"")))</f>
        <v>33</v>
      </c>
      <c r="J7" s="11"/>
      <c r="K7" s="11" t="s">
        <v>58</v>
      </c>
      <c r="L7" s="11"/>
      <c r="M7" s="22">
        <f>C4*10</f>
        <v>500</v>
      </c>
      <c r="N7" s="13">
        <f>M7/10</f>
        <v>50</v>
      </c>
      <c r="O7" s="13">
        <f>N7+15+15</f>
        <v>80</v>
      </c>
      <c r="P7" s="26" t="s">
        <v>59</v>
      </c>
      <c r="Q7" s="27" t="s">
        <v>60</v>
      </c>
      <c r="R7" s="11">
        <f>M7+150+150</f>
        <v>800</v>
      </c>
      <c r="U7" t="s">
        <v>57</v>
      </c>
      <c r="V7">
        <f>C6/100</f>
        <v>0</v>
      </c>
      <c r="Y7">
        <f>G6/100</f>
        <v>0.37</v>
      </c>
      <c r="AI7">
        <v>8</v>
      </c>
      <c r="AJ7">
        <v>780</v>
      </c>
      <c r="AK7" s="8" t="s">
        <v>61</v>
      </c>
      <c r="AL7" s="8" t="s">
        <v>37</v>
      </c>
      <c r="AM7" s="8"/>
      <c r="AN7" s="8"/>
      <c r="AO7" s="8">
        <v>300</v>
      </c>
      <c r="AP7" s="8"/>
      <c r="AQ7" s="9" t="s">
        <v>62</v>
      </c>
      <c r="AR7" s="9"/>
      <c r="AS7" s="9"/>
      <c r="AT7" s="9"/>
      <c r="AU7" s="9"/>
      <c r="AW7" t="s">
        <v>63</v>
      </c>
      <c r="BC7">
        <f>G3/10</f>
        <v>0</v>
      </c>
    </row>
    <row r="8" spans="2:74" ht="18" x14ac:dyDescent="0.35">
      <c r="K8" s="11" t="s">
        <v>64</v>
      </c>
      <c r="M8">
        <f>C7*10</f>
        <v>600</v>
      </c>
      <c r="N8">
        <f>M8/10</f>
        <v>60</v>
      </c>
      <c r="R8">
        <f>M19</f>
        <v>370</v>
      </c>
      <c r="W8" t="s">
        <v>65</v>
      </c>
      <c r="X8" s="28">
        <f>IF(D36="x",I36,IF(D37="x",I37,IF(D38="x",I38,IF(D39="x",I39,IF(D40="x",I40,"")))))</f>
        <v>80</v>
      </c>
      <c r="AA8">
        <v>-1200</v>
      </c>
      <c r="AC8" s="29">
        <f>U15-5</f>
        <v>-5</v>
      </c>
      <c r="AE8">
        <f>AC8-5</f>
        <v>-10</v>
      </c>
      <c r="AG8">
        <f>M18+N25+5</f>
        <v>505</v>
      </c>
      <c r="AH8">
        <f>AG8</f>
        <v>505</v>
      </c>
      <c r="AI8">
        <v>10</v>
      </c>
      <c r="AJ8">
        <v>950</v>
      </c>
      <c r="AK8" s="8" t="s">
        <v>61</v>
      </c>
      <c r="AL8" s="8" t="s">
        <v>46</v>
      </c>
      <c r="AM8" s="8"/>
      <c r="AN8" s="8"/>
      <c r="AO8" s="8">
        <v>200</v>
      </c>
      <c r="AP8" s="8">
        <f>AP5</f>
        <v>185</v>
      </c>
      <c r="AQ8" s="16">
        <v>3</v>
      </c>
      <c r="AR8" s="2">
        <v>3</v>
      </c>
      <c r="AS8" s="2">
        <v>23</v>
      </c>
      <c r="AT8" s="2">
        <v>43</v>
      </c>
      <c r="AU8" s="16">
        <v>43</v>
      </c>
      <c r="AV8" s="3" t="s">
        <v>38</v>
      </c>
      <c r="AW8" t="s">
        <v>66</v>
      </c>
      <c r="BC8">
        <f>G5/10</f>
        <v>13.5</v>
      </c>
      <c r="BL8" s="30"/>
    </row>
    <row r="9" spans="2:74" x14ac:dyDescent="0.3">
      <c r="C9" s="31" t="s">
        <v>67</v>
      </c>
      <c r="J9" s="32"/>
      <c r="K9" s="32"/>
      <c r="L9" s="32"/>
      <c r="M9" s="32"/>
      <c r="N9" s="32"/>
      <c r="O9" s="32"/>
      <c r="P9" s="32"/>
      <c r="Q9" s="32"/>
      <c r="AC9" s="31">
        <f>N6+N7+12</f>
        <v>112</v>
      </c>
      <c r="AD9">
        <f>-M20+-X8</f>
        <v>-80</v>
      </c>
      <c r="AE9">
        <f>AB12</f>
        <v>295</v>
      </c>
      <c r="AG9">
        <f>X16+W16</f>
        <v>50</v>
      </c>
      <c r="AH9" s="1">
        <f>N17+10</f>
        <v>290</v>
      </c>
      <c r="AI9" s="1"/>
      <c r="AJ9" s="1"/>
      <c r="AK9" s="8" t="s">
        <v>61</v>
      </c>
      <c r="AL9" s="8" t="s">
        <v>64</v>
      </c>
      <c r="AM9" s="8"/>
      <c r="AN9" s="8"/>
      <c r="AO9" s="8">
        <f>AO7+(C7)</f>
        <v>360</v>
      </c>
      <c r="AP9" s="8"/>
      <c r="AQ9" s="16">
        <v>3</v>
      </c>
      <c r="AR9" s="2">
        <v>3</v>
      </c>
      <c r="AS9" s="2">
        <v>23</v>
      </c>
      <c r="AT9" s="2">
        <v>43</v>
      </c>
      <c r="AU9" s="16">
        <v>43</v>
      </c>
      <c r="AV9" s="3" t="s">
        <v>47</v>
      </c>
      <c r="AW9" t="s">
        <v>68</v>
      </c>
      <c r="BC9">
        <f>AO9</f>
        <v>360</v>
      </c>
      <c r="BU9" t="e">
        <f>(#REF!+#REF!+'[1]Graben Pflaster V'!$C$4)/100</f>
        <v>#REF!</v>
      </c>
    </row>
    <row r="10" spans="2:74" x14ac:dyDescent="0.3">
      <c r="J10" s="32"/>
      <c r="K10" s="32"/>
      <c r="L10" s="32"/>
      <c r="M10" s="32"/>
      <c r="N10" s="33"/>
      <c r="O10" s="32"/>
      <c r="P10" s="33"/>
      <c r="Q10" s="32"/>
      <c r="S10">
        <f>IF(AND(D36="x",BJ32=1),F42/10,IF(AND(D36="x",BJ32=2),G42/10,IF(AND(D36="x",BJ32=3),H42/10,IF(AND(D37="x",BJ32=1),F43/10,IF(AND(D37="x",BJ32=2),G43/10,IF(AND(D37="x",BJ32=3),H43/10,IF(AND(D38="x",BJ32=1),F44/10,IF(AND(D38="x",BJ32=2),G44/10,IF(AND(D38="x",BJ32=3),H44/10,IF(AND(D39="x",BJ32=1),F45/10,IF(AND(D39="x",BJ32=2),G45/10,IF(AND(D39="x",BJ32=3),H45/10,IF(AND(D40="x",BJ32=1),F46/10,IF(AND(D40="x",BJ32=2),G46/10,IF(AND(D40="x",BJ32=3),H46/10,"")))))))))))))))</f>
        <v>40</v>
      </c>
      <c r="T10" t="s">
        <v>58</v>
      </c>
      <c r="W10" t="s">
        <v>69</v>
      </c>
      <c r="X10" s="28">
        <f>IF(D36="x",I42,IF(D37="x",I43,IF(D38="x",I44,IF(D39="x",I45,IF(D40="x",I46,"")))))</f>
        <v>25</v>
      </c>
      <c r="Y10" t="s">
        <v>70</v>
      </c>
      <c r="Z10">
        <f>(M25/2)+(X10/2)</f>
        <v>12.5</v>
      </c>
      <c r="AA10">
        <f>AC13+10</f>
        <v>290</v>
      </c>
      <c r="AC10">
        <f>AC13+10+3</f>
        <v>293</v>
      </c>
      <c r="AD10">
        <f>0-(M25/2)</f>
        <v>0</v>
      </c>
      <c r="AH10">
        <f>U12*10</f>
        <v>0</v>
      </c>
      <c r="AI10">
        <v>3.5</v>
      </c>
      <c r="AJ10">
        <f>$N$17+(AJ4/10)-(I42/10)</f>
        <v>297.5</v>
      </c>
      <c r="AK10" s="8"/>
      <c r="AL10" s="8" t="s">
        <v>71</v>
      </c>
      <c r="AM10" s="8"/>
      <c r="AN10" s="8"/>
      <c r="AO10" s="8">
        <f>AO7+(C7/2)</f>
        <v>330</v>
      </c>
      <c r="AP10" s="8"/>
      <c r="AQ10" s="16">
        <v>3</v>
      </c>
      <c r="AR10" s="2">
        <v>3</v>
      </c>
      <c r="AS10" s="2">
        <v>23</v>
      </c>
      <c r="AT10" s="2">
        <v>43</v>
      </c>
      <c r="AU10" s="16">
        <v>43</v>
      </c>
      <c r="AV10" s="3" t="s">
        <v>55</v>
      </c>
      <c r="AW10" t="s">
        <v>72</v>
      </c>
      <c r="BC10">
        <f>AP5-50</f>
        <v>135</v>
      </c>
      <c r="BD10" t="s">
        <v>73</v>
      </c>
      <c r="BK10" s="34"/>
      <c r="BP10" s="35">
        <v>1</v>
      </c>
      <c r="BU10">
        <f>'[1]Grube Pflaster V'!C4/100+(2*BS13)</f>
        <v>3</v>
      </c>
    </row>
    <row r="11" spans="2:74" x14ac:dyDescent="0.3">
      <c r="J11" s="32"/>
      <c r="K11" s="32"/>
      <c r="L11" s="32"/>
      <c r="M11" s="32"/>
      <c r="N11" s="36"/>
      <c r="O11" s="32"/>
      <c r="P11" s="36"/>
      <c r="Q11" s="32">
        <f>IF(D36="x",I42,IF(D37="x",I43,IF(D38="x",I44,IF(D39="x",I45,IF(D40="x",I46,"")))))/2</f>
        <v>12.5</v>
      </c>
      <c r="R11" s="32">
        <f>IF(D36="x",I42,IF(D37="x",I43,IF(D38="x",I44,IF(D39="x",I45,IF(D40="x",I46,"")))))/10</f>
        <v>2.5</v>
      </c>
      <c r="S11">
        <f>(C2-S10)/2+N4</f>
        <v>205</v>
      </c>
      <c r="W11" t="s">
        <v>74</v>
      </c>
      <c r="AC11">
        <f>N18+(N25/2)+(Y16/2)</f>
        <v>51.25</v>
      </c>
      <c r="AF11" t="s">
        <v>75</v>
      </c>
      <c r="AH11">
        <f>O5</f>
        <v>185</v>
      </c>
      <c r="AI11">
        <v>5</v>
      </c>
      <c r="AJ11">
        <f>$N$17+(AJ5/10)-(I43/10)</f>
        <v>318.5</v>
      </c>
      <c r="AK11" s="8" t="s">
        <v>76</v>
      </c>
      <c r="AL11" s="8"/>
      <c r="AM11" s="8"/>
      <c r="AN11" s="8"/>
      <c r="AO11" s="8">
        <f>N20</f>
        <v>0</v>
      </c>
      <c r="AP11" s="8"/>
      <c r="AQ11" s="9" t="s">
        <v>77</v>
      </c>
      <c r="AR11" s="9"/>
      <c r="AS11" s="9"/>
      <c r="AT11" s="9"/>
      <c r="AU11" s="9"/>
      <c r="AW11" t="s">
        <v>78</v>
      </c>
      <c r="BC11">
        <f>AP4+O7</f>
        <v>265</v>
      </c>
      <c r="BD11" t="s">
        <v>73</v>
      </c>
      <c r="BF11">
        <f>R7</f>
        <v>800</v>
      </c>
      <c r="BK11" s="34"/>
    </row>
    <row r="12" spans="2:74" x14ac:dyDescent="0.3">
      <c r="G12" t="str">
        <f>[1]Multiprojekte!AB23&amp;" mal"</f>
        <v>2 mal</v>
      </c>
      <c r="J12" s="32"/>
      <c r="K12" s="32"/>
      <c r="L12" s="32"/>
      <c r="M12" s="32"/>
      <c r="N12" s="37"/>
      <c r="O12" s="37"/>
      <c r="P12" s="37"/>
      <c r="Q12" s="32">
        <f>IF(D36="x",AJ10,IF(D37="x",AJ11,IF(D38="x",AJ12,IF(D39="x",AJ13,IF(D40="x",AJ14,"")))))</f>
        <v>297.5</v>
      </c>
      <c r="R12">
        <f>R11/2</f>
        <v>1.25</v>
      </c>
      <c r="W12" t="s">
        <v>79</v>
      </c>
      <c r="X12" s="28">
        <f>IF(D36="x",I48,IF(D37="x",I49,IF(D38="x",I50,IF(D39="x",I51,IF(D40="x",I52,"")))))</f>
        <v>200</v>
      </c>
      <c r="Y12">
        <f>N18+(N25/2)+(Y16/2)</f>
        <v>51.25</v>
      </c>
      <c r="AB12">
        <f>AB13+10</f>
        <v>295</v>
      </c>
      <c r="AC12">
        <f>N18+N20+Y15</f>
        <v>58</v>
      </c>
      <c r="AF12" t="s">
        <v>80</v>
      </c>
      <c r="AH12">
        <f>O6-30</f>
        <v>50</v>
      </c>
      <c r="AI12">
        <v>6</v>
      </c>
      <c r="AJ12">
        <f>$N$17+(AJ6/10)-(I44/10)</f>
        <v>318</v>
      </c>
      <c r="AK12" s="8"/>
      <c r="AL12" s="8"/>
      <c r="AM12" s="8"/>
      <c r="AN12" s="8"/>
      <c r="AO12" s="8"/>
      <c r="AP12" s="8"/>
      <c r="AQ12" s="16">
        <v>25</v>
      </c>
      <c r="AR12" s="2">
        <v>40</v>
      </c>
      <c r="AS12" s="2">
        <v>40</v>
      </c>
      <c r="AT12" s="2">
        <v>40</v>
      </c>
      <c r="AU12" s="16">
        <v>40</v>
      </c>
      <c r="AV12" s="3" t="s">
        <v>38</v>
      </c>
      <c r="AW12" t="s">
        <v>81</v>
      </c>
      <c r="BC12">
        <f>BC10-35</f>
        <v>100</v>
      </c>
    </row>
    <row r="13" spans="2:74" x14ac:dyDescent="0.3">
      <c r="J13" s="32"/>
      <c r="K13" s="32"/>
      <c r="L13" s="32"/>
      <c r="M13" s="32"/>
      <c r="N13" s="38"/>
      <c r="O13" s="32"/>
      <c r="P13" s="38"/>
      <c r="Q13" s="39" t="s">
        <v>82</v>
      </c>
      <c r="R13" t="s">
        <v>83</v>
      </c>
      <c r="S13" t="s">
        <v>84</v>
      </c>
      <c r="W13">
        <f>N5+N7</f>
        <v>250</v>
      </c>
      <c r="AB13">
        <f>AB15-130</f>
        <v>285</v>
      </c>
      <c r="AC13">
        <f>AB12-15</f>
        <v>280</v>
      </c>
      <c r="AD13">
        <f>AC13+5</f>
        <v>285</v>
      </c>
      <c r="AF13" t="s">
        <v>85</v>
      </c>
      <c r="AH13">
        <f>O5+O7</f>
        <v>265</v>
      </c>
      <c r="AI13">
        <v>8</v>
      </c>
      <c r="AJ13">
        <f>$N$17+(AJ7/10)-(I45/10)</f>
        <v>320</v>
      </c>
      <c r="AK13" s="8" t="s">
        <v>86</v>
      </c>
      <c r="AL13" s="8" t="s">
        <v>87</v>
      </c>
      <c r="AM13" s="8">
        <v>60</v>
      </c>
      <c r="AN13" s="10">
        <v>600</v>
      </c>
      <c r="AO13" s="8"/>
      <c r="AP13" s="8"/>
      <c r="AQ13" s="16">
        <v>25</v>
      </c>
      <c r="AR13" s="2">
        <v>40</v>
      </c>
      <c r="AS13" s="2">
        <v>40</v>
      </c>
      <c r="AT13" s="2">
        <v>40</v>
      </c>
      <c r="AU13" s="16">
        <v>40</v>
      </c>
      <c r="AV13" s="3" t="s">
        <v>47</v>
      </c>
      <c r="AW13" t="s">
        <v>88</v>
      </c>
      <c r="BC13">
        <f>AP4+(O7/2)</f>
        <v>225</v>
      </c>
      <c r="BK13" s="40"/>
      <c r="BL13" s="41" t="s">
        <v>89</v>
      </c>
      <c r="BQ13" s="42" t="s">
        <v>90</v>
      </c>
      <c r="BS13" s="42">
        <v>1.5</v>
      </c>
      <c r="BT13" s="42" t="s">
        <v>91</v>
      </c>
    </row>
    <row r="14" spans="2:74" x14ac:dyDescent="0.3">
      <c r="Z14" t="s">
        <v>92</v>
      </c>
      <c r="AI14">
        <v>10</v>
      </c>
      <c r="AJ14">
        <f>$N$17+(AJ8/10)-(I46/10)</f>
        <v>335</v>
      </c>
      <c r="AK14" s="8"/>
      <c r="AL14" s="8" t="s">
        <v>93</v>
      </c>
      <c r="AM14" s="8">
        <v>80</v>
      </c>
      <c r="AN14" s="8">
        <v>800</v>
      </c>
      <c r="AO14" s="8"/>
      <c r="AP14" s="8"/>
      <c r="AQ14" s="16">
        <v>25</v>
      </c>
      <c r="AR14" s="2">
        <v>40</v>
      </c>
      <c r="AS14" s="2">
        <v>40</v>
      </c>
      <c r="AT14" s="2">
        <v>40</v>
      </c>
      <c r="AU14" s="16">
        <v>4</v>
      </c>
      <c r="AV14" s="3" t="s">
        <v>55</v>
      </c>
      <c r="AW14" t="s">
        <v>94</v>
      </c>
      <c r="BC14">
        <f>BC10+30</f>
        <v>165</v>
      </c>
      <c r="BD14" t="s">
        <v>95</v>
      </c>
      <c r="BK14" s="40"/>
      <c r="BL14" s="41" t="s">
        <v>96</v>
      </c>
    </row>
    <row r="15" spans="2:74" x14ac:dyDescent="0.3">
      <c r="J15" s="11"/>
      <c r="K15" s="1" t="s">
        <v>97</v>
      </c>
      <c r="L15" s="1" t="s">
        <v>98</v>
      </c>
      <c r="M15" s="11"/>
      <c r="N15" s="11"/>
      <c r="O15" s="11"/>
      <c r="P15" s="11"/>
      <c r="Q15" s="11">
        <f>Q17+T17</f>
        <v>325</v>
      </c>
      <c r="R15" s="11"/>
      <c r="W15" s="28">
        <f>N6</f>
        <v>50</v>
      </c>
      <c r="X15" s="28">
        <f>V15</f>
        <v>0</v>
      </c>
      <c r="Y15" s="28">
        <f>X8/10</f>
        <v>8</v>
      </c>
      <c r="Z15">
        <f>Z16+30</f>
        <v>355</v>
      </c>
      <c r="AA15">
        <f>U15+Y15</f>
        <v>8</v>
      </c>
      <c r="AB15">
        <f>Z15+60</f>
        <v>415</v>
      </c>
      <c r="AK15" s="8"/>
      <c r="AL15" s="8" t="s">
        <v>99</v>
      </c>
      <c r="AM15" s="8">
        <v>100</v>
      </c>
      <c r="AN15" s="8">
        <v>1000</v>
      </c>
      <c r="AO15" s="8"/>
      <c r="AP15" s="43" t="s">
        <v>100</v>
      </c>
      <c r="AQ15" s="2">
        <f>AO7+AO11</f>
        <v>300</v>
      </c>
      <c r="AR15" s="2">
        <f>AO7+AO11</f>
        <v>300</v>
      </c>
      <c r="AS15" s="2">
        <f>AO7+AO11</f>
        <v>300</v>
      </c>
      <c r="AT15" s="2">
        <f>AO7+AO11</f>
        <v>300</v>
      </c>
      <c r="AU15" s="2">
        <f>AO7+AO11</f>
        <v>300</v>
      </c>
      <c r="AW15" t="s">
        <v>101</v>
      </c>
      <c r="BC15">
        <f>AO4+N8</f>
        <v>260</v>
      </c>
      <c r="BF15">
        <f>C3</f>
        <v>0</v>
      </c>
      <c r="BK15" s="40"/>
      <c r="BP15" s="35"/>
      <c r="BQ15" t="s">
        <v>102</v>
      </c>
      <c r="BU15" t="e">
        <f>IF(OR(BP15=1,BP15=2,BP15=3,BP15=4),BU10,"")+BU9</f>
        <v>#VALUE!</v>
      </c>
      <c r="BV15" t="s">
        <v>103</v>
      </c>
    </row>
    <row r="16" spans="2:74" x14ac:dyDescent="0.3">
      <c r="J16" s="11"/>
      <c r="K16" s="11" t="s">
        <v>34</v>
      </c>
      <c r="L16" s="11"/>
      <c r="M16" s="11"/>
      <c r="N16" s="11">
        <f>N4</f>
        <v>200</v>
      </c>
      <c r="O16" s="13">
        <f>N16-15</f>
        <v>185</v>
      </c>
      <c r="P16" s="22" t="s">
        <v>104</v>
      </c>
      <c r="Q16" s="11"/>
      <c r="R16" s="11"/>
      <c r="S16" t="s">
        <v>105</v>
      </c>
      <c r="T16" t="s">
        <v>106</v>
      </c>
      <c r="W16" s="28">
        <f>(V15-V16)/2+W15</f>
        <v>50</v>
      </c>
      <c r="X16" s="28">
        <f>V16</f>
        <v>0</v>
      </c>
      <c r="Y16" s="28">
        <f>X10/10</f>
        <v>2.5</v>
      </c>
      <c r="Z16">
        <f>Z17+60</f>
        <v>325</v>
      </c>
      <c r="AA16">
        <f>((IF(D36="x",W30,IF(D37="x",W31,IF(D38="x",W32,IF(D39="x",W33,IF(D40="x",W34,""))))))/2)/10+N18+(Y16/2)</f>
        <v>81.25</v>
      </c>
      <c r="AB16">
        <f>Z16+70</f>
        <v>395</v>
      </c>
      <c r="AC16">
        <f>AA16-U16</f>
        <v>81.25</v>
      </c>
      <c r="AD16">
        <f>U16+Y16</f>
        <v>2.5</v>
      </c>
      <c r="AF16" t="s">
        <v>107</v>
      </c>
      <c r="AH16">
        <f>AH11+((AH13-AH11)/2)</f>
        <v>225</v>
      </c>
      <c r="AK16" s="8"/>
      <c r="AL16" s="8" t="s">
        <v>108</v>
      </c>
      <c r="AM16" s="8">
        <v>120</v>
      </c>
      <c r="AN16" s="8">
        <v>1200</v>
      </c>
      <c r="AO16" s="8"/>
      <c r="AP16" s="43" t="s">
        <v>109</v>
      </c>
      <c r="AQ16" s="2">
        <f>AO7+(AM13/2)</f>
        <v>330</v>
      </c>
      <c r="AR16" s="2">
        <f>AO7+(AM14/2)</f>
        <v>340</v>
      </c>
      <c r="AS16" s="2">
        <f>$AO$7+(AM15/2)</f>
        <v>350</v>
      </c>
      <c r="AT16" s="2">
        <f>$AO$7+(AM16/2)</f>
        <v>360</v>
      </c>
      <c r="AU16" s="2">
        <f>$AO$7+(AM17/2)</f>
        <v>375</v>
      </c>
      <c r="AW16" t="s">
        <v>110</v>
      </c>
      <c r="BC16">
        <f>BC12+30</f>
        <v>130</v>
      </c>
      <c r="BK16" s="40"/>
    </row>
    <row r="17" spans="5:68" x14ac:dyDescent="0.3">
      <c r="J17" s="11"/>
      <c r="K17" s="11" t="s">
        <v>43</v>
      </c>
      <c r="L17" s="11"/>
      <c r="M17" s="11">
        <f>N5+N6+30</f>
        <v>280</v>
      </c>
      <c r="N17" s="13">
        <f>M17</f>
        <v>280</v>
      </c>
      <c r="O17" s="11">
        <f>N17-15</f>
        <v>265</v>
      </c>
      <c r="P17" s="44" t="s">
        <v>111</v>
      </c>
      <c r="Q17" s="11">
        <f>N17+N19</f>
        <v>317</v>
      </c>
      <c r="R17" s="11"/>
      <c r="S17">
        <f>N17+N19</f>
        <v>317</v>
      </c>
      <c r="T17">
        <f>X8/10</f>
        <v>8</v>
      </c>
      <c r="W17" s="28">
        <f>(V16-V17)/2+W16</f>
        <v>50</v>
      </c>
      <c r="X17" s="28">
        <f>V17</f>
        <v>0</v>
      </c>
      <c r="Y17" s="28">
        <f>(X12/10)</f>
        <v>20</v>
      </c>
      <c r="Z17" s="28">
        <f>O5+O7</f>
        <v>265</v>
      </c>
      <c r="AA17" s="28">
        <f>U17+Y17</f>
        <v>20</v>
      </c>
      <c r="AF17" t="s">
        <v>112</v>
      </c>
      <c r="AH17">
        <f>AH12-30</f>
        <v>20</v>
      </c>
      <c r="AJ17">
        <f>-815+430</f>
        <v>-385</v>
      </c>
      <c r="AK17" s="8"/>
      <c r="AL17" s="8" t="s">
        <v>113</v>
      </c>
      <c r="AM17" s="8">
        <v>150</v>
      </c>
      <c r="AN17" s="10">
        <v>1500</v>
      </c>
      <c r="AO17" s="8"/>
      <c r="AP17" s="43" t="s">
        <v>114</v>
      </c>
      <c r="AQ17" s="2">
        <f>AO7+AM13-AQ12</f>
        <v>335</v>
      </c>
      <c r="AR17" s="2">
        <f>AO7+AM14-AR12</f>
        <v>340</v>
      </c>
      <c r="AS17" s="2">
        <f>AO7+AM15-AR12</f>
        <v>360</v>
      </c>
      <c r="AT17" s="2">
        <f>AO7+AM16-AR12</f>
        <v>380</v>
      </c>
      <c r="AU17" s="2">
        <f>AO7+AM17-AR12</f>
        <v>410</v>
      </c>
      <c r="AW17" t="s">
        <v>115</v>
      </c>
      <c r="BC17">
        <f>AO4+(N7/2)</f>
        <v>225</v>
      </c>
      <c r="BK17" s="40"/>
    </row>
    <row r="18" spans="5:68" x14ac:dyDescent="0.3">
      <c r="J18" s="11"/>
      <c r="K18" s="11" t="s">
        <v>51</v>
      </c>
      <c r="L18" s="11"/>
      <c r="M18" s="11">
        <f>M7</f>
        <v>500</v>
      </c>
      <c r="N18" s="11">
        <f>M18/10</f>
        <v>50</v>
      </c>
      <c r="O18" s="13">
        <f>N18+15+15</f>
        <v>80</v>
      </c>
      <c r="P18" s="11"/>
      <c r="Q18" s="11"/>
      <c r="R18" s="11"/>
      <c r="W18" t="s">
        <v>116</v>
      </c>
      <c r="X18" t="s">
        <v>58</v>
      </c>
      <c r="Y18" t="s">
        <v>117</v>
      </c>
      <c r="AA18" t="s">
        <v>74</v>
      </c>
      <c r="AF18" t="s">
        <v>118</v>
      </c>
      <c r="AH18" t="s">
        <v>119</v>
      </c>
      <c r="AK18" s="8"/>
      <c r="AL18" s="8"/>
      <c r="AM18" s="8"/>
      <c r="AN18" s="8"/>
      <c r="AO18" s="8"/>
      <c r="AP18" s="8"/>
      <c r="AQ18" s="9" t="s">
        <v>46</v>
      </c>
      <c r="AR18" s="9"/>
      <c r="AS18" s="9"/>
      <c r="AT18" s="9"/>
      <c r="AU18" s="9"/>
      <c r="AV18" s="9"/>
      <c r="AW18" s="45" t="s">
        <v>2</v>
      </c>
      <c r="AX18" s="45"/>
      <c r="AY18" s="45"/>
      <c r="AZ18" s="45"/>
      <c r="BA18" s="45"/>
      <c r="BB18" s="45"/>
      <c r="BK18" s="40"/>
    </row>
    <row r="19" spans="5:68" x14ac:dyDescent="0.3">
      <c r="J19" s="11"/>
      <c r="K19" s="11" t="s">
        <v>64</v>
      </c>
      <c r="L19" s="11"/>
      <c r="M19" s="11">
        <f>G6*10</f>
        <v>370</v>
      </c>
      <c r="N19" s="13">
        <f>M19/10</f>
        <v>37</v>
      </c>
      <c r="O19" s="11"/>
      <c r="P19" s="46" t="s">
        <v>120</v>
      </c>
      <c r="Q19" s="11"/>
      <c r="R19" s="11"/>
      <c r="W19" t="s">
        <v>121</v>
      </c>
      <c r="AK19" s="8" t="s">
        <v>122</v>
      </c>
      <c r="AL19" s="8"/>
      <c r="AM19" s="8"/>
      <c r="AN19" s="8"/>
      <c r="AO19" s="8"/>
      <c r="AP19" s="8"/>
      <c r="AQ19" s="16">
        <v>50</v>
      </c>
      <c r="AR19" s="2">
        <v>60</v>
      </c>
      <c r="AS19" s="2">
        <v>65</v>
      </c>
      <c r="AT19" s="2">
        <v>75</v>
      </c>
      <c r="AU19" s="16">
        <v>90</v>
      </c>
      <c r="AV19" s="3" t="s">
        <v>47</v>
      </c>
      <c r="AW19" s="45"/>
      <c r="AX19" s="45">
        <f>AQ19*10</f>
        <v>500</v>
      </c>
      <c r="AY19" s="45">
        <f t="shared" ref="AY19:BB27" si="0">AR19*10</f>
        <v>600</v>
      </c>
      <c r="AZ19" s="45">
        <f t="shared" si="0"/>
        <v>650</v>
      </c>
      <c r="BA19" s="45">
        <f t="shared" si="0"/>
        <v>750</v>
      </c>
      <c r="BB19" s="45">
        <f t="shared" si="0"/>
        <v>900</v>
      </c>
      <c r="BK19" s="40"/>
      <c r="BL19" s="41" t="s">
        <v>123</v>
      </c>
    </row>
    <row r="20" spans="5:68" x14ac:dyDescent="0.3">
      <c r="J20" s="32"/>
      <c r="K20" s="1" t="s">
        <v>124</v>
      </c>
      <c r="L20" s="1"/>
      <c r="M20" s="32"/>
      <c r="N20" s="32"/>
      <c r="O20" s="32">
        <f>M19</f>
        <v>370</v>
      </c>
      <c r="P20" s="32"/>
      <c r="Q20" s="1" t="s">
        <v>125</v>
      </c>
      <c r="R20" s="1"/>
      <c r="S20" t="s">
        <v>126</v>
      </c>
      <c r="T20" t="s">
        <v>127</v>
      </c>
      <c r="U20" t="s">
        <v>128</v>
      </c>
      <c r="AE20" t="s">
        <v>129</v>
      </c>
      <c r="AK20" s="8" t="s">
        <v>130</v>
      </c>
      <c r="AL20" s="8"/>
      <c r="AM20" s="8"/>
      <c r="AN20" s="8"/>
      <c r="AO20" s="8"/>
      <c r="AP20" s="8"/>
      <c r="AQ20" s="16">
        <v>30</v>
      </c>
      <c r="AR20" s="2">
        <v>40</v>
      </c>
      <c r="AS20" s="2">
        <v>40</v>
      </c>
      <c r="AT20" s="2">
        <v>75</v>
      </c>
      <c r="AU20" s="16">
        <v>80</v>
      </c>
      <c r="AV20" s="3" t="s">
        <v>47</v>
      </c>
      <c r="AW20" s="45"/>
      <c r="AX20" s="45">
        <f t="shared" ref="AX20:AX27" si="1">AQ20*10</f>
        <v>300</v>
      </c>
      <c r="AY20" s="45">
        <f t="shared" si="0"/>
        <v>400</v>
      </c>
      <c r="AZ20" s="45">
        <f t="shared" si="0"/>
        <v>400</v>
      </c>
      <c r="BA20" s="45">
        <f t="shared" si="0"/>
        <v>750</v>
      </c>
      <c r="BB20" s="45">
        <f t="shared" si="0"/>
        <v>800</v>
      </c>
      <c r="BK20" s="40"/>
      <c r="BL20" s="41" t="s">
        <v>131</v>
      </c>
      <c r="BP20">
        <v>2</v>
      </c>
    </row>
    <row r="21" spans="5:68" x14ac:dyDescent="0.3">
      <c r="J21" s="32"/>
      <c r="K21" s="32" t="s">
        <v>34</v>
      </c>
      <c r="L21" s="32"/>
      <c r="M21" s="32"/>
      <c r="N21" s="13">
        <f>N4</f>
        <v>200</v>
      </c>
      <c r="O21" s="32"/>
      <c r="P21" s="32"/>
      <c r="Q21" s="32">
        <f>N21</f>
        <v>200</v>
      </c>
      <c r="R21" s="32">
        <f>Q21+N23+15</f>
        <v>265</v>
      </c>
      <c r="S21">
        <f>Q21+45+Q23</f>
        <v>295</v>
      </c>
      <c r="T21">
        <f>N4+(N7/2)-20</f>
        <v>205</v>
      </c>
      <c r="U21">
        <v>215</v>
      </c>
      <c r="V21" t="s">
        <v>132</v>
      </c>
      <c r="X21" t="s">
        <v>133</v>
      </c>
      <c r="Y21" t="s">
        <v>134</v>
      </c>
      <c r="AE21">
        <v>200</v>
      </c>
      <c r="AF21">
        <f>(N6/2)+N4</f>
        <v>225</v>
      </c>
      <c r="AG21">
        <f>AF21-(AE22/2)</f>
        <v>218.25</v>
      </c>
      <c r="AK21" s="8" t="s">
        <v>135</v>
      </c>
      <c r="AL21" s="8"/>
      <c r="AM21" s="8"/>
      <c r="AN21" s="8"/>
      <c r="AO21" s="8"/>
      <c r="AP21" s="8"/>
      <c r="AQ21" s="16">
        <v>30</v>
      </c>
      <c r="AR21" s="2">
        <v>40</v>
      </c>
      <c r="AS21" s="2">
        <v>40</v>
      </c>
      <c r="AT21" s="2">
        <v>75</v>
      </c>
      <c r="AU21" s="16">
        <v>80</v>
      </c>
      <c r="AV21" s="3" t="s">
        <v>47</v>
      </c>
      <c r="AW21" s="45"/>
      <c r="AX21" s="45">
        <f t="shared" si="1"/>
        <v>300</v>
      </c>
      <c r="AY21" s="45">
        <f t="shared" si="0"/>
        <v>400</v>
      </c>
      <c r="AZ21" s="45">
        <f t="shared" si="0"/>
        <v>400</v>
      </c>
      <c r="BA21" s="45">
        <f t="shared" si="0"/>
        <v>750</v>
      </c>
      <c r="BB21" s="45">
        <f t="shared" si="0"/>
        <v>800</v>
      </c>
      <c r="BK21" s="40"/>
      <c r="BL21" s="41" t="s">
        <v>136</v>
      </c>
    </row>
    <row r="22" spans="5:68" x14ac:dyDescent="0.3">
      <c r="J22" s="32"/>
      <c r="K22" s="32" t="s">
        <v>43</v>
      </c>
      <c r="L22" s="32"/>
      <c r="M22" s="32"/>
      <c r="N22" s="13">
        <f>N17</f>
        <v>280</v>
      </c>
      <c r="O22" s="32"/>
      <c r="P22" s="32"/>
      <c r="Q22" s="32">
        <f>N22+N24-Q24</f>
        <v>320</v>
      </c>
      <c r="R22" s="32">
        <f>200+N7+20</f>
        <v>270</v>
      </c>
      <c r="S22">
        <f>Q22</f>
        <v>320</v>
      </c>
      <c r="T22">
        <f>Q22+30</f>
        <v>350</v>
      </c>
      <c r="U22">
        <v>230</v>
      </c>
      <c r="V22" t="s">
        <v>137</v>
      </c>
      <c r="W22" t="s">
        <v>79</v>
      </c>
      <c r="X22" t="s">
        <v>138</v>
      </c>
      <c r="AE22">
        <f>G5/10</f>
        <v>13.5</v>
      </c>
      <c r="AK22" s="8" t="s">
        <v>122</v>
      </c>
      <c r="AL22" s="8"/>
      <c r="AM22" s="8"/>
      <c r="AN22" s="8"/>
      <c r="AO22" s="8"/>
      <c r="AP22" s="8"/>
      <c r="AQ22" s="16">
        <v>50</v>
      </c>
      <c r="AR22" s="2">
        <v>50</v>
      </c>
      <c r="AS22" s="2">
        <v>50</v>
      </c>
      <c r="AT22" s="2">
        <v>50</v>
      </c>
      <c r="AU22" s="16">
        <v>80</v>
      </c>
      <c r="AV22" s="3" t="s">
        <v>38</v>
      </c>
      <c r="AW22" s="45"/>
      <c r="AX22" s="45">
        <f t="shared" si="1"/>
        <v>500</v>
      </c>
      <c r="AY22" s="45">
        <f t="shared" si="0"/>
        <v>500</v>
      </c>
      <c r="AZ22" s="45">
        <f t="shared" si="0"/>
        <v>500</v>
      </c>
      <c r="BA22" s="45">
        <f t="shared" si="0"/>
        <v>500</v>
      </c>
      <c r="BB22" s="45">
        <f t="shared" si="0"/>
        <v>800</v>
      </c>
      <c r="BK22" s="40"/>
      <c r="BL22" s="41" t="s">
        <v>139</v>
      </c>
    </row>
    <row r="23" spans="5:68" x14ac:dyDescent="0.3">
      <c r="J23" s="32"/>
      <c r="K23" s="32" t="s">
        <v>51</v>
      </c>
      <c r="L23" s="32"/>
      <c r="M23" s="32"/>
      <c r="N23" s="13">
        <f>N7</f>
        <v>50</v>
      </c>
      <c r="O23" s="32"/>
      <c r="P23" s="32"/>
      <c r="Q23" s="32">
        <f>N7</f>
        <v>50</v>
      </c>
      <c r="R23" s="32"/>
      <c r="S23">
        <f>S22+Q24</f>
        <v>340</v>
      </c>
      <c r="T23" t="s">
        <v>140</v>
      </c>
      <c r="U23">
        <f>Q22+10</f>
        <v>330</v>
      </c>
      <c r="V23" t="s">
        <v>141</v>
      </c>
      <c r="X23" t="s">
        <v>142</v>
      </c>
      <c r="Y23" t="s">
        <v>143</v>
      </c>
      <c r="Z23" t="s">
        <v>142</v>
      </c>
      <c r="AA23" t="s">
        <v>143</v>
      </c>
      <c r="AB23" t="s">
        <v>142</v>
      </c>
      <c r="AC23" t="s">
        <v>143</v>
      </c>
      <c r="AK23" s="8" t="s">
        <v>130</v>
      </c>
      <c r="AL23" s="8"/>
      <c r="AM23" s="8"/>
      <c r="AN23" s="8"/>
      <c r="AO23" s="8"/>
      <c r="AP23" s="8"/>
      <c r="AQ23" s="16">
        <v>30</v>
      </c>
      <c r="AR23" s="2">
        <v>40</v>
      </c>
      <c r="AS23" s="2">
        <v>40</v>
      </c>
      <c r="AT23" s="2">
        <v>75</v>
      </c>
      <c r="AU23" s="16">
        <v>60</v>
      </c>
      <c r="AV23" s="3" t="s">
        <v>38</v>
      </c>
      <c r="AW23" s="45"/>
      <c r="AX23" s="45">
        <f t="shared" si="1"/>
        <v>300</v>
      </c>
      <c r="AY23" s="45">
        <f t="shared" si="0"/>
        <v>400</v>
      </c>
      <c r="AZ23" s="45">
        <f t="shared" si="0"/>
        <v>400</v>
      </c>
      <c r="BA23" s="45">
        <f t="shared" si="0"/>
        <v>750</v>
      </c>
      <c r="BB23" s="45">
        <f t="shared" si="0"/>
        <v>600</v>
      </c>
      <c r="BK23" s="40"/>
      <c r="BL23" s="41" t="s">
        <v>144</v>
      </c>
    </row>
    <row r="24" spans="5:68" x14ac:dyDescent="0.3">
      <c r="J24" s="32"/>
      <c r="K24" s="32" t="s">
        <v>145</v>
      </c>
      <c r="L24" s="32"/>
      <c r="M24" s="32">
        <f>C7*10</f>
        <v>600</v>
      </c>
      <c r="N24" s="13">
        <f>M24/10</f>
        <v>60</v>
      </c>
      <c r="O24" s="32"/>
      <c r="P24" s="32"/>
      <c r="Q24" s="32">
        <v>20</v>
      </c>
      <c r="R24" s="32"/>
      <c r="S24">
        <f>R21-15</f>
        <v>250</v>
      </c>
      <c r="T24">
        <f>S22-5</f>
        <v>315</v>
      </c>
      <c r="U24">
        <f>T22</f>
        <v>350</v>
      </c>
      <c r="V24" t="s">
        <v>146</v>
      </c>
      <c r="W24" t="s">
        <v>147</v>
      </c>
      <c r="X24">
        <f>N18+(N25/2)+(Y16/2)</f>
        <v>51.25</v>
      </c>
      <c r="Y24">
        <f>AA17</f>
        <v>20</v>
      </c>
      <c r="AK24" s="8" t="s">
        <v>135</v>
      </c>
      <c r="AL24" s="8"/>
      <c r="AM24" s="8"/>
      <c r="AN24" s="8"/>
      <c r="AO24" s="8"/>
      <c r="AP24" s="8"/>
      <c r="AQ24" s="16">
        <v>30</v>
      </c>
      <c r="AR24" s="2">
        <v>40</v>
      </c>
      <c r="AS24" s="2">
        <v>40</v>
      </c>
      <c r="AT24" s="2">
        <v>40</v>
      </c>
      <c r="AU24" s="16">
        <v>60</v>
      </c>
      <c r="AV24" s="3" t="s">
        <v>38</v>
      </c>
      <c r="AW24" s="45"/>
      <c r="AX24" s="45">
        <f t="shared" si="1"/>
        <v>300</v>
      </c>
      <c r="AY24" s="45">
        <f t="shared" si="0"/>
        <v>400</v>
      </c>
      <c r="AZ24" s="45">
        <f t="shared" si="0"/>
        <v>400</v>
      </c>
      <c r="BA24" s="45">
        <f t="shared" si="0"/>
        <v>400</v>
      </c>
      <c r="BB24" s="45">
        <f t="shared" si="0"/>
        <v>600</v>
      </c>
      <c r="BK24" s="40"/>
      <c r="BL24" s="41" t="s">
        <v>148</v>
      </c>
      <c r="BO24" s="47" t="s">
        <v>149</v>
      </c>
    </row>
    <row r="25" spans="5:68" x14ac:dyDescent="0.3">
      <c r="Q25" t="s">
        <v>150</v>
      </c>
      <c r="R25">
        <f>Q12+R11</f>
        <v>300</v>
      </c>
      <c r="S25">
        <v>200</v>
      </c>
      <c r="T25">
        <f>S21-10</f>
        <v>285</v>
      </c>
      <c r="X25" t="s">
        <v>133</v>
      </c>
      <c r="Y25" t="s">
        <v>133</v>
      </c>
      <c r="Z25" t="s">
        <v>151</v>
      </c>
      <c r="AA25" t="s">
        <v>152</v>
      </c>
      <c r="AB25" t="s">
        <v>153</v>
      </c>
      <c r="AC25" t="s">
        <v>153</v>
      </c>
      <c r="AK25" s="8" t="s">
        <v>122</v>
      </c>
      <c r="AL25" s="8"/>
      <c r="AM25" s="8"/>
      <c r="AN25" s="8"/>
      <c r="AO25" s="8"/>
      <c r="AP25" s="8"/>
      <c r="AQ25" s="16">
        <v>50</v>
      </c>
      <c r="AR25" s="2">
        <v>60</v>
      </c>
      <c r="AS25" s="2">
        <v>65</v>
      </c>
      <c r="AT25" s="2">
        <v>50</v>
      </c>
      <c r="AU25" s="16">
        <v>90</v>
      </c>
      <c r="AV25" s="3" t="s">
        <v>55</v>
      </c>
      <c r="AW25" s="45"/>
      <c r="AX25" s="45">
        <f t="shared" si="1"/>
        <v>500</v>
      </c>
      <c r="AY25" s="45">
        <f t="shared" si="0"/>
        <v>600</v>
      </c>
      <c r="AZ25" s="45">
        <f t="shared" si="0"/>
        <v>650</v>
      </c>
      <c r="BA25" s="45">
        <f t="shared" si="0"/>
        <v>500</v>
      </c>
      <c r="BB25" s="45">
        <f t="shared" si="0"/>
        <v>900</v>
      </c>
      <c r="BP25" s="35">
        <v>3</v>
      </c>
    </row>
    <row r="26" spans="5:68" ht="15" customHeight="1" x14ac:dyDescent="0.3">
      <c r="E26" s="48"/>
      <c r="M26" t="s">
        <v>154</v>
      </c>
      <c r="O26" t="s">
        <v>155</v>
      </c>
      <c r="W26" t="s">
        <v>65</v>
      </c>
      <c r="X26">
        <f>N18-N20-Y15</f>
        <v>42</v>
      </c>
      <c r="Y26">
        <f>AA17</f>
        <v>20</v>
      </c>
      <c r="AE26" s="49" t="s">
        <v>156</v>
      </c>
      <c r="AH26" s="49" t="s">
        <v>157</v>
      </c>
      <c r="AI26" s="49"/>
      <c r="AJ26" s="49"/>
      <c r="AK26" s="8" t="s">
        <v>130</v>
      </c>
      <c r="AL26" s="8"/>
      <c r="AM26" s="8"/>
      <c r="AN26" s="8"/>
      <c r="AO26" s="8"/>
      <c r="AP26" s="8"/>
      <c r="AQ26" s="16">
        <v>30</v>
      </c>
      <c r="AR26" s="2">
        <v>40</v>
      </c>
      <c r="AS26" s="2">
        <v>40</v>
      </c>
      <c r="AT26" s="2">
        <v>40</v>
      </c>
      <c r="AU26" s="16">
        <v>60</v>
      </c>
      <c r="AV26" s="3" t="s">
        <v>55</v>
      </c>
      <c r="AW26" s="45"/>
      <c r="AX26" s="45">
        <f t="shared" si="1"/>
        <v>300</v>
      </c>
      <c r="AY26" s="45">
        <f t="shared" si="0"/>
        <v>400</v>
      </c>
      <c r="AZ26" s="45">
        <f t="shared" si="0"/>
        <v>400</v>
      </c>
      <c r="BA26" s="45">
        <f t="shared" si="0"/>
        <v>400</v>
      </c>
      <c r="BB26" s="45">
        <f t="shared" si="0"/>
        <v>600</v>
      </c>
    </row>
    <row r="27" spans="5:68" x14ac:dyDescent="0.3">
      <c r="P27">
        <f>Q27</f>
        <v>310</v>
      </c>
      <c r="Q27">
        <f>N17+(N8/2)</f>
        <v>310</v>
      </c>
      <c r="R27">
        <f>N17+(N8/2)</f>
        <v>310</v>
      </c>
      <c r="S27">
        <f>R27</f>
        <v>310</v>
      </c>
      <c r="T27">
        <f>P27+20</f>
        <v>330</v>
      </c>
      <c r="U27">
        <f>T27-25</f>
        <v>305</v>
      </c>
      <c r="V27">
        <f>N17</f>
        <v>280</v>
      </c>
      <c r="X27">
        <f>W16+V16</f>
        <v>50</v>
      </c>
      <c r="AE27">
        <f>AE23</f>
        <v>0</v>
      </c>
      <c r="AG27">
        <f>M24/2</f>
        <v>300</v>
      </c>
      <c r="AH27">
        <f>AE25</f>
        <v>0</v>
      </c>
      <c r="AK27" s="8" t="s">
        <v>135</v>
      </c>
      <c r="AQ27" s="16">
        <v>30</v>
      </c>
      <c r="AR27" s="2">
        <v>40</v>
      </c>
      <c r="AS27" s="2">
        <v>40</v>
      </c>
      <c r="AT27" s="2">
        <v>40</v>
      </c>
      <c r="AU27" s="16">
        <v>60</v>
      </c>
      <c r="AV27" s="3" t="s">
        <v>55</v>
      </c>
      <c r="AW27" s="45"/>
      <c r="AX27" s="45">
        <f t="shared" si="1"/>
        <v>300</v>
      </c>
      <c r="AY27" s="45">
        <f t="shared" si="0"/>
        <v>400</v>
      </c>
      <c r="AZ27" s="45">
        <f t="shared" si="0"/>
        <v>400</v>
      </c>
      <c r="BA27" s="45">
        <f t="shared" si="0"/>
        <v>400</v>
      </c>
      <c r="BB27" s="45">
        <f t="shared" si="0"/>
        <v>600</v>
      </c>
      <c r="BF27" s="35"/>
      <c r="BG27" s="35"/>
      <c r="BH27" s="35"/>
      <c r="BI27" s="35"/>
      <c r="BJ27" s="35"/>
    </row>
    <row r="28" spans="5:68" x14ac:dyDescent="0.3">
      <c r="Q28" s="17" t="s">
        <v>158</v>
      </c>
      <c r="R28" s="50">
        <f>O4+O6+20</f>
        <v>285</v>
      </c>
      <c r="S28">
        <f>R28-5</f>
        <v>280</v>
      </c>
      <c r="T28">
        <f>S28-20</f>
        <v>260</v>
      </c>
      <c r="AA28" s="50" t="s">
        <v>147</v>
      </c>
      <c r="AD28">
        <f>AE28-AE27+AE27</f>
        <v>60</v>
      </c>
      <c r="AE28">
        <f>M15+N24</f>
        <v>60</v>
      </c>
      <c r="AQ28" s="2">
        <f>AX28/10</f>
        <v>0</v>
      </c>
      <c r="AR28" s="2">
        <f>AY28/10</f>
        <v>0</v>
      </c>
      <c r="AS28" s="2">
        <f>AZ28/10</f>
        <v>0</v>
      </c>
      <c r="AT28" s="2">
        <f>BA28/10</f>
        <v>0</v>
      </c>
      <c r="AU28" s="2">
        <f>BB28/10</f>
        <v>0</v>
      </c>
      <c r="AW28" t="s">
        <v>94</v>
      </c>
      <c r="AX28" s="51"/>
      <c r="AY28" s="51"/>
      <c r="AZ28" s="51"/>
      <c r="BA28" s="51"/>
      <c r="BB28" s="51"/>
      <c r="BC28">
        <f>BC14</f>
        <v>165</v>
      </c>
      <c r="BD28" t="s">
        <v>159</v>
      </c>
      <c r="BF28" s="35"/>
      <c r="BG28" s="35"/>
      <c r="BH28" s="35"/>
      <c r="BI28" s="35"/>
      <c r="BJ28" s="35"/>
    </row>
    <row r="29" spans="5:68" x14ac:dyDescent="0.3">
      <c r="J29" s="11"/>
      <c r="K29" s="1" t="s">
        <v>160</v>
      </c>
      <c r="L29" s="1"/>
      <c r="M29" s="1"/>
      <c r="N29" s="11"/>
      <c r="O29" s="11"/>
      <c r="P29" s="11"/>
      <c r="Q29" s="11"/>
      <c r="R29" s="11" t="s">
        <v>161</v>
      </c>
      <c r="W29" t="s">
        <v>162</v>
      </c>
      <c r="Z29">
        <f>N18</f>
        <v>50</v>
      </c>
      <c r="AA29" t="s">
        <v>163</v>
      </c>
      <c r="AG29" t="s">
        <v>162</v>
      </c>
      <c r="AI29" t="s">
        <v>41</v>
      </c>
      <c r="AK29" s="8" t="s">
        <v>164</v>
      </c>
      <c r="AQ29" s="2">
        <f>$AO$4+(AQ19/2)-(AQ28/2)</f>
        <v>225</v>
      </c>
      <c r="AR29" s="2">
        <f>$AO$4+(AR19/2)-(AR28/2)</f>
        <v>230</v>
      </c>
      <c r="AS29" s="2">
        <f>$AO$4+(AS19/2)-(AS28/2)</f>
        <v>232.5</v>
      </c>
      <c r="AT29" s="2">
        <f>$AO$4+(AT19/2)-(AT28/2)</f>
        <v>237.5</v>
      </c>
      <c r="AU29" s="2">
        <f>$AO$4+(AU19/2)-(AU28/2)</f>
        <v>245</v>
      </c>
      <c r="AW29" t="s">
        <v>101</v>
      </c>
      <c r="BC29">
        <f>AO7+N20</f>
        <v>300</v>
      </c>
      <c r="BF29" s="35">
        <f>M20</f>
        <v>0</v>
      </c>
      <c r="BG29" s="35"/>
      <c r="BH29" s="35"/>
      <c r="BI29" s="35"/>
      <c r="BJ29" s="35"/>
    </row>
    <row r="30" spans="5:68" x14ac:dyDescent="0.3">
      <c r="J30" s="11"/>
      <c r="K30" s="11"/>
      <c r="L30" s="11"/>
      <c r="M30" s="15" t="s">
        <v>165</v>
      </c>
      <c r="N30" s="11"/>
      <c r="O30" s="15" t="s">
        <v>166</v>
      </c>
      <c r="P30" s="11">
        <f>Q30-N8</f>
        <v>260</v>
      </c>
      <c r="Q30" s="11">
        <f>N17+N8-R30</f>
        <v>320</v>
      </c>
      <c r="R30" s="11">
        <f>IF(D36="x",I48,IF(D37="x",I49,IF(D38="x",I50,IF(D39="x",I51,IF(D40="x",I52,"")))))/10</f>
        <v>20</v>
      </c>
      <c r="S30">
        <f>Q30+R30</f>
        <v>340</v>
      </c>
      <c r="W30">
        <v>600</v>
      </c>
      <c r="X30">
        <v>60</v>
      </c>
      <c r="Z30">
        <f>X30+Z29</f>
        <v>110</v>
      </c>
      <c r="AA30">
        <f>X30/2+Z29</f>
        <v>80</v>
      </c>
      <c r="AD30" t="s">
        <v>167</v>
      </c>
      <c r="AE30">
        <v>3.5</v>
      </c>
      <c r="AF30" t="s">
        <v>91</v>
      </c>
      <c r="AG30">
        <v>600</v>
      </c>
      <c r="AH30">
        <f>AG30/10</f>
        <v>60</v>
      </c>
      <c r="AI30">
        <v>135</v>
      </c>
      <c r="AJ30">
        <f>AI30/10</f>
        <v>13.5</v>
      </c>
      <c r="AK30" s="8" t="s">
        <v>168</v>
      </c>
      <c r="AL30" s="51"/>
      <c r="AQ30" s="2">
        <f>$AO$5+(AQ19/2)-(AQ28/2)</f>
        <v>225</v>
      </c>
      <c r="AR30" s="2">
        <f>$AO$5+(AR19/2)-(AR28/2)</f>
        <v>230</v>
      </c>
      <c r="AS30" s="2">
        <f>$AO$5+(AS19/2)-(AS28/2)</f>
        <v>232.5</v>
      </c>
      <c r="AT30" s="2">
        <f>$AO$5+(AT19/2)-(AT28/2)</f>
        <v>237.5</v>
      </c>
      <c r="AU30" s="2">
        <f>$AO$5+(AU19/2)-(AU28/2)</f>
        <v>245</v>
      </c>
      <c r="AW30" t="s">
        <v>110</v>
      </c>
      <c r="BC30">
        <f>BC16</f>
        <v>130</v>
      </c>
      <c r="BF30" s="35"/>
      <c r="BG30" s="35"/>
      <c r="BH30" s="35"/>
      <c r="BI30" s="35"/>
      <c r="BJ30" s="35"/>
    </row>
    <row r="31" spans="5:68" x14ac:dyDescent="0.3">
      <c r="J31" s="11"/>
      <c r="K31" s="11" t="s">
        <v>169</v>
      </c>
      <c r="L31" s="11"/>
      <c r="M31" s="13">
        <f>O5-30</f>
        <v>155</v>
      </c>
      <c r="N31" s="11" t="s">
        <v>121</v>
      </c>
      <c r="O31" s="13">
        <f>N17-15</f>
        <v>265</v>
      </c>
      <c r="P31" s="11"/>
      <c r="Q31" s="11"/>
      <c r="R31" s="11"/>
      <c r="W31">
        <v>800</v>
      </c>
      <c r="X31">
        <f>W31/10</f>
        <v>80</v>
      </c>
      <c r="Z31">
        <f>X31+Z29</f>
        <v>130</v>
      </c>
      <c r="AA31">
        <f>X31/2+Z29</f>
        <v>90</v>
      </c>
      <c r="AE31">
        <v>5</v>
      </c>
      <c r="AF31" t="s">
        <v>91</v>
      </c>
      <c r="AG31">
        <v>800</v>
      </c>
      <c r="AH31">
        <f>AG31/10</f>
        <v>80</v>
      </c>
      <c r="AI31">
        <v>134</v>
      </c>
      <c r="AJ31">
        <f>AI31/10</f>
        <v>13.4</v>
      </c>
      <c r="AK31" s="51"/>
      <c r="AL31" s="51"/>
      <c r="AW31" t="s">
        <v>115</v>
      </c>
      <c r="BC31">
        <v>200</v>
      </c>
      <c r="BD31">
        <f>AO7+(N20/2)</f>
        <v>300</v>
      </c>
      <c r="BF31" s="35"/>
      <c r="BG31" s="35"/>
      <c r="BH31" s="35"/>
      <c r="BI31" s="35"/>
      <c r="BJ31" s="35"/>
    </row>
    <row r="32" spans="5:68" x14ac:dyDescent="0.3">
      <c r="J32" s="11"/>
      <c r="K32" s="11" t="s">
        <v>170</v>
      </c>
      <c r="L32" s="11"/>
      <c r="M32" s="13">
        <f>O4+O6</f>
        <v>265</v>
      </c>
      <c r="N32" s="11"/>
      <c r="O32">
        <f>O5+(O2/2)+10</f>
        <v>195</v>
      </c>
      <c r="P32" s="15" t="s">
        <v>171</v>
      </c>
      <c r="Q32" s="11"/>
      <c r="R32" s="11"/>
      <c r="W32">
        <v>1000</v>
      </c>
      <c r="X32">
        <f>W32/10</f>
        <v>100</v>
      </c>
      <c r="Z32">
        <f>X32+Z29</f>
        <v>150</v>
      </c>
      <c r="AA32">
        <f>X32/2+Z31</f>
        <v>180</v>
      </c>
      <c r="AE32">
        <v>6</v>
      </c>
      <c r="AF32" t="s">
        <v>91</v>
      </c>
      <c r="AG32">
        <v>1000</v>
      </c>
      <c r="AH32">
        <f>AG32/10</f>
        <v>100</v>
      </c>
      <c r="AI32">
        <v>146</v>
      </c>
      <c r="AJ32">
        <f>AI32/10</f>
        <v>14.6</v>
      </c>
      <c r="AK32" s="51"/>
      <c r="AL32" s="51"/>
      <c r="BF32" s="35"/>
      <c r="BG32" s="35"/>
      <c r="BH32" s="35"/>
      <c r="BI32" s="35"/>
      <c r="BJ32" s="35">
        <v>2</v>
      </c>
    </row>
    <row r="33" spans="1:65" x14ac:dyDescent="0.3">
      <c r="E33" s="5"/>
      <c r="F33" s="52"/>
      <c r="G33" s="52"/>
      <c r="H33" s="52"/>
      <c r="J33" s="11"/>
      <c r="K33" s="11" t="s">
        <v>172</v>
      </c>
      <c r="L33" s="11"/>
      <c r="M33" s="11"/>
      <c r="N33" s="11"/>
      <c r="O33" s="11"/>
      <c r="P33" s="11"/>
      <c r="Q33" s="11"/>
      <c r="R33" s="11"/>
      <c r="W33">
        <v>1200</v>
      </c>
      <c r="X33">
        <f>W33/10</f>
        <v>120</v>
      </c>
      <c r="Z33">
        <f>X33+Z29</f>
        <v>170</v>
      </c>
      <c r="AA33">
        <f>X33/2+Z32</f>
        <v>210</v>
      </c>
      <c r="AE33">
        <v>8</v>
      </c>
      <c r="AF33" t="s">
        <v>91</v>
      </c>
      <c r="AG33">
        <v>1200</v>
      </c>
      <c r="AH33">
        <f>AG33/10</f>
        <v>120</v>
      </c>
      <c r="AI33">
        <v>165</v>
      </c>
      <c r="AJ33">
        <f>AI33/10</f>
        <v>16.5</v>
      </c>
      <c r="AK33" s="51"/>
      <c r="AL33" s="51"/>
      <c r="BF33" s="35"/>
      <c r="BG33" s="35"/>
      <c r="BH33" s="35"/>
      <c r="BI33" s="35"/>
      <c r="BJ33" s="35"/>
    </row>
    <row r="34" spans="1:65" ht="73.5" customHeight="1" x14ac:dyDescent="0.3">
      <c r="C34" s="53" t="s">
        <v>173</v>
      </c>
      <c r="D34" s="53"/>
      <c r="E34" s="53"/>
      <c r="F34" s="49" t="s">
        <v>174</v>
      </c>
      <c r="G34" s="54" t="s">
        <v>175</v>
      </c>
      <c r="H34" s="55" t="s">
        <v>176</v>
      </c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>
        <v>1500</v>
      </c>
      <c r="X34">
        <f>W34/10</f>
        <v>150</v>
      </c>
      <c r="Z34">
        <f>X34+Z29</f>
        <v>200</v>
      </c>
      <c r="AA34">
        <f>X34/2+Z34</f>
        <v>275</v>
      </c>
      <c r="AE34">
        <v>10</v>
      </c>
      <c r="AF34" t="s">
        <v>91</v>
      </c>
      <c r="AI34">
        <v>191</v>
      </c>
      <c r="AJ34">
        <f>AI34/10</f>
        <v>19.100000000000001</v>
      </c>
      <c r="AK34" s="51"/>
      <c r="AL34" s="51"/>
      <c r="BF34" s="35"/>
      <c r="BG34" s="35"/>
      <c r="BH34" s="35"/>
      <c r="BI34" s="35"/>
      <c r="BJ34" s="35"/>
    </row>
    <row r="35" spans="1:65" x14ac:dyDescent="0.3">
      <c r="C35" t="s">
        <v>177</v>
      </c>
      <c r="F35" t="s">
        <v>166</v>
      </c>
      <c r="G35" t="s">
        <v>166</v>
      </c>
      <c r="H35" t="s">
        <v>166</v>
      </c>
      <c r="I35" t="s">
        <v>178</v>
      </c>
      <c r="J35" s="57"/>
      <c r="K35" s="11">
        <v>34</v>
      </c>
      <c r="L35" s="11" t="s">
        <v>179</v>
      </c>
      <c r="M35" s="11"/>
      <c r="N35" s="11"/>
      <c r="O35" s="11"/>
      <c r="P35" s="11"/>
      <c r="Q35" s="11"/>
      <c r="R35" s="11"/>
      <c r="S35" s="11"/>
    </row>
    <row r="36" spans="1:65" x14ac:dyDescent="0.3">
      <c r="A36" t="s">
        <v>167</v>
      </c>
      <c r="B36">
        <v>3.5</v>
      </c>
      <c r="C36" t="s">
        <v>91</v>
      </c>
      <c r="D36" t="str">
        <f>IF(C5=3.5,"x","")</f>
        <v>x</v>
      </c>
      <c r="F36" s="4">
        <v>500</v>
      </c>
      <c r="G36" s="4">
        <v>500</v>
      </c>
      <c r="H36" s="4">
        <v>500</v>
      </c>
      <c r="I36">
        <v>80</v>
      </c>
      <c r="J36" s="11"/>
      <c r="K36" s="58" t="s">
        <v>180</v>
      </c>
      <c r="L36" s="1"/>
      <c r="M36" s="11"/>
      <c r="N36" s="11"/>
      <c r="O36" s="11"/>
      <c r="P36" s="11"/>
      <c r="Q36" s="11"/>
      <c r="R36" s="11"/>
      <c r="AK36" s="51"/>
    </row>
    <row r="37" spans="1:65" x14ac:dyDescent="0.3">
      <c r="B37">
        <v>5</v>
      </c>
      <c r="C37" t="s">
        <v>91</v>
      </c>
      <c r="D37" t="str">
        <f>IF(C5=5,"x","")</f>
        <v/>
      </c>
      <c r="F37" s="4">
        <v>600</v>
      </c>
      <c r="G37" s="4">
        <v>500</v>
      </c>
      <c r="H37" s="4">
        <v>500</v>
      </c>
      <c r="I37">
        <v>100</v>
      </c>
      <c r="J37" s="11"/>
      <c r="K37" s="11" t="s">
        <v>181</v>
      </c>
      <c r="L37" s="11"/>
      <c r="M37" s="11"/>
      <c r="O37">
        <f>O31+(O6/2)-20</f>
        <v>285</v>
      </c>
      <c r="P37" s="11">
        <f>O5+(O6/2)</f>
        <v>225</v>
      </c>
      <c r="Q37" s="11"/>
      <c r="R37" s="11"/>
    </row>
    <row r="38" spans="1:65" x14ac:dyDescent="0.3">
      <c r="B38">
        <v>6</v>
      </c>
      <c r="C38" t="s">
        <v>91</v>
      </c>
      <c r="D38" t="str">
        <f>IF(C5=6,"x","")</f>
        <v/>
      </c>
      <c r="F38" s="4">
        <v>650</v>
      </c>
      <c r="G38" s="4">
        <v>500</v>
      </c>
      <c r="H38" s="4">
        <v>500</v>
      </c>
      <c r="I38">
        <v>100</v>
      </c>
      <c r="K38" t="s">
        <v>182</v>
      </c>
      <c r="L38" t="s">
        <v>182</v>
      </c>
      <c r="M38" s="11"/>
      <c r="N38" s="11"/>
      <c r="O38">
        <f>M31-35</f>
        <v>120</v>
      </c>
      <c r="P38" s="11"/>
      <c r="Q38" s="11"/>
      <c r="R38" s="11"/>
    </row>
    <row r="39" spans="1:65" x14ac:dyDescent="0.3">
      <c r="B39">
        <v>8</v>
      </c>
      <c r="C39" t="s">
        <v>91</v>
      </c>
      <c r="D39" t="str">
        <f>IF(C5=8,"x","")</f>
        <v/>
      </c>
      <c r="F39" s="4">
        <v>750</v>
      </c>
      <c r="G39" s="4">
        <v>500</v>
      </c>
      <c r="H39" s="4">
        <v>500</v>
      </c>
      <c r="I39">
        <v>100</v>
      </c>
      <c r="J39" s="32"/>
      <c r="K39" s="1" t="s">
        <v>183</v>
      </c>
      <c r="L39" s="1"/>
      <c r="M39" s="32"/>
      <c r="N39" s="32"/>
      <c r="O39" s="32"/>
      <c r="P39" s="32"/>
      <c r="Q39" s="32"/>
      <c r="R39" s="32"/>
      <c r="BM39" t="s">
        <v>184</v>
      </c>
    </row>
    <row r="40" spans="1:65" x14ac:dyDescent="0.3">
      <c r="B40">
        <v>10</v>
      </c>
      <c r="C40" t="s">
        <v>91</v>
      </c>
      <c r="D40" t="str">
        <f>IF(C5=10,"x","")</f>
        <v/>
      </c>
      <c r="F40" s="4">
        <v>900</v>
      </c>
      <c r="G40" s="4">
        <v>900</v>
      </c>
      <c r="H40" s="4">
        <v>900</v>
      </c>
      <c r="I40" s="5">
        <v>120</v>
      </c>
      <c r="J40" s="32"/>
      <c r="K40" s="32" t="s">
        <v>185</v>
      </c>
      <c r="L40" s="32"/>
      <c r="M40" s="32">
        <f>N5</f>
        <v>200</v>
      </c>
      <c r="N40" s="32" t="s">
        <v>121</v>
      </c>
      <c r="O40" s="59">
        <f>O32-20</f>
        <v>175</v>
      </c>
      <c r="P40" s="32"/>
      <c r="Q40" s="32"/>
      <c r="R40" s="32"/>
      <c r="BM40" t="s">
        <v>186</v>
      </c>
    </row>
    <row r="41" spans="1:65" x14ac:dyDescent="0.3">
      <c r="C41" t="s">
        <v>177</v>
      </c>
      <c r="F41" s="4" t="s">
        <v>147</v>
      </c>
      <c r="G41" s="4" t="s">
        <v>147</v>
      </c>
      <c r="H41" s="4" t="s">
        <v>147</v>
      </c>
      <c r="I41" t="s">
        <v>187</v>
      </c>
      <c r="J41" s="32"/>
      <c r="K41" s="32" t="s">
        <v>170</v>
      </c>
      <c r="L41" s="32"/>
      <c r="M41" s="32">
        <f>N4+N6</f>
        <v>250</v>
      </c>
      <c r="N41" s="32"/>
      <c r="O41" s="32">
        <f>N7+30</f>
        <v>80</v>
      </c>
      <c r="P41" s="60" t="s">
        <v>171</v>
      </c>
      <c r="Q41" s="32"/>
      <c r="R41" s="32"/>
      <c r="BM41" t="s">
        <v>188</v>
      </c>
    </row>
    <row r="42" spans="1:65" x14ac:dyDescent="0.3">
      <c r="B42">
        <v>3.5</v>
      </c>
      <c r="F42" s="4">
        <v>400</v>
      </c>
      <c r="G42" s="4">
        <v>400</v>
      </c>
      <c r="H42" s="4">
        <v>400</v>
      </c>
      <c r="I42" s="5">
        <v>25</v>
      </c>
      <c r="J42" s="32"/>
      <c r="K42" s="32" t="s">
        <v>172</v>
      </c>
      <c r="L42" s="32"/>
      <c r="M42" s="32"/>
      <c r="N42" s="32"/>
      <c r="O42" s="32"/>
      <c r="P42" s="32"/>
      <c r="Q42" s="32"/>
      <c r="R42" s="32"/>
    </row>
    <row r="43" spans="1:65" x14ac:dyDescent="0.3">
      <c r="B43">
        <v>5</v>
      </c>
      <c r="F43" s="4">
        <v>400</v>
      </c>
      <c r="G43" s="4">
        <v>400</v>
      </c>
      <c r="H43" s="4">
        <v>400</v>
      </c>
      <c r="I43">
        <v>30</v>
      </c>
      <c r="J43" s="32"/>
      <c r="K43" s="32" t="s">
        <v>179</v>
      </c>
      <c r="L43" s="32"/>
      <c r="M43" s="32"/>
      <c r="N43" s="32"/>
      <c r="O43" s="32"/>
      <c r="P43" s="32"/>
      <c r="Q43" s="32"/>
      <c r="R43" s="32"/>
    </row>
    <row r="44" spans="1:65" x14ac:dyDescent="0.3">
      <c r="B44">
        <v>6</v>
      </c>
      <c r="F44" s="4">
        <v>400</v>
      </c>
      <c r="G44" s="4">
        <v>400</v>
      </c>
      <c r="H44" s="4">
        <v>400</v>
      </c>
      <c r="I44" s="28">
        <v>200</v>
      </c>
      <c r="J44" s="32"/>
      <c r="K44" s="58" t="s">
        <v>180</v>
      </c>
      <c r="L44" s="1"/>
      <c r="M44" s="32"/>
      <c r="N44" s="32"/>
      <c r="O44" s="32"/>
      <c r="P44" s="32"/>
      <c r="Q44" s="32"/>
      <c r="R44" s="32"/>
    </row>
    <row r="45" spans="1:65" x14ac:dyDescent="0.3">
      <c r="B45">
        <v>8</v>
      </c>
      <c r="F45" s="4">
        <v>750</v>
      </c>
      <c r="G45" s="4">
        <v>400</v>
      </c>
      <c r="H45" s="4">
        <v>400</v>
      </c>
      <c r="I45" s="28">
        <v>380</v>
      </c>
      <c r="J45" s="32"/>
      <c r="K45" s="32" t="s">
        <v>181</v>
      </c>
      <c r="L45" s="32"/>
      <c r="M45" s="32"/>
      <c r="N45" s="32"/>
      <c r="O45" s="32">
        <f>O31+(O6/2)-20</f>
        <v>285</v>
      </c>
      <c r="P45" s="32"/>
      <c r="Q45" s="32"/>
      <c r="R45" s="32"/>
    </row>
    <row r="46" spans="1:65" x14ac:dyDescent="0.3">
      <c r="B46">
        <v>10</v>
      </c>
      <c r="F46" s="4">
        <v>800</v>
      </c>
      <c r="G46" s="4">
        <v>800</v>
      </c>
      <c r="H46" s="4">
        <v>800</v>
      </c>
      <c r="I46" s="5">
        <v>400</v>
      </c>
      <c r="J46" s="32"/>
      <c r="K46" s="32" t="s">
        <v>189</v>
      </c>
      <c r="L46" s="32"/>
      <c r="M46" s="32"/>
      <c r="N46" s="32"/>
      <c r="O46" s="32">
        <f>O40-35</f>
        <v>140</v>
      </c>
      <c r="P46" s="32" t="s">
        <v>190</v>
      </c>
    </row>
    <row r="47" spans="1:65" x14ac:dyDescent="0.3">
      <c r="C47" t="s">
        <v>177</v>
      </c>
      <c r="F47" s="4" t="s">
        <v>191</v>
      </c>
      <c r="G47" s="4" t="s">
        <v>191</v>
      </c>
      <c r="H47" s="4" t="s">
        <v>191</v>
      </c>
      <c r="I47" t="s">
        <v>192</v>
      </c>
    </row>
    <row r="48" spans="1:65" x14ac:dyDescent="0.3">
      <c r="B48">
        <v>3.5</v>
      </c>
      <c r="F48" s="4">
        <v>350</v>
      </c>
      <c r="G48" s="4">
        <v>350</v>
      </c>
      <c r="H48" s="4">
        <v>350</v>
      </c>
      <c r="I48" s="5">
        <v>200</v>
      </c>
      <c r="K48" s="1" t="s">
        <v>193</v>
      </c>
      <c r="L48" s="1"/>
      <c r="M48" s="1"/>
    </row>
    <row r="49" spans="1:16" x14ac:dyDescent="0.3">
      <c r="B49">
        <v>5</v>
      </c>
      <c r="F49" s="4">
        <v>400</v>
      </c>
      <c r="G49" s="4">
        <v>400</v>
      </c>
      <c r="H49" s="4">
        <v>400</v>
      </c>
      <c r="I49">
        <v>350</v>
      </c>
      <c r="M49" s="28" t="s">
        <v>194</v>
      </c>
      <c r="O49" s="28" t="s">
        <v>195</v>
      </c>
    </row>
    <row r="50" spans="1:16" x14ac:dyDescent="0.3">
      <c r="B50">
        <v>6</v>
      </c>
      <c r="F50" s="4">
        <v>400</v>
      </c>
      <c r="G50" s="4">
        <v>400</v>
      </c>
      <c r="H50" s="4">
        <v>400</v>
      </c>
      <c r="I50">
        <v>380</v>
      </c>
      <c r="J50" s="35"/>
      <c r="K50" t="s">
        <v>185</v>
      </c>
      <c r="M50" s="31">
        <f>N17</f>
        <v>280</v>
      </c>
      <c r="N50" t="s">
        <v>121</v>
      </c>
      <c r="O50">
        <f>M31</f>
        <v>155</v>
      </c>
    </row>
    <row r="51" spans="1:16" x14ac:dyDescent="0.3">
      <c r="B51">
        <v>8</v>
      </c>
      <c r="F51" s="4">
        <v>750</v>
      </c>
      <c r="G51" s="4">
        <v>400</v>
      </c>
      <c r="H51" s="4">
        <v>400</v>
      </c>
      <c r="I51">
        <v>400</v>
      </c>
      <c r="K51" t="s">
        <v>170</v>
      </c>
      <c r="O51">
        <f>M50+N19</f>
        <v>317</v>
      </c>
      <c r="P51" s="28" t="s">
        <v>171</v>
      </c>
    </row>
    <row r="52" spans="1:16" x14ac:dyDescent="0.3">
      <c r="B52">
        <v>10</v>
      </c>
      <c r="F52" s="4">
        <v>750</v>
      </c>
      <c r="G52" s="4">
        <v>450</v>
      </c>
      <c r="H52" s="4">
        <v>450</v>
      </c>
      <c r="I52" s="5">
        <v>400</v>
      </c>
      <c r="K52" t="s">
        <v>172</v>
      </c>
    </row>
    <row r="53" spans="1:16" x14ac:dyDescent="0.3">
      <c r="K53" t="s">
        <v>179</v>
      </c>
    </row>
    <row r="54" spans="1:16" ht="28.8" x14ac:dyDescent="0.3">
      <c r="A54" s="4" t="s">
        <v>21</v>
      </c>
      <c r="C54" s="4" t="s">
        <v>196</v>
      </c>
      <c r="D54" s="4" t="s">
        <v>197</v>
      </c>
      <c r="E54" s="61" t="s">
        <v>198</v>
      </c>
      <c r="F54" s="61" t="s">
        <v>199</v>
      </c>
      <c r="G54" s="61" t="s">
        <v>200</v>
      </c>
      <c r="H54" s="4" t="s">
        <v>201</v>
      </c>
      <c r="K54" s="58" t="s">
        <v>180</v>
      </c>
      <c r="L54" s="1"/>
    </row>
    <row r="55" spans="1:16" x14ac:dyDescent="0.3">
      <c r="A55" t="s">
        <v>202</v>
      </c>
      <c r="B55" s="5" t="s">
        <v>203</v>
      </c>
      <c r="C55" s="62">
        <f>IF(AND(C5&lt;&gt;0,BJ32=1),$G$2*$G$4/10000,0)</f>
        <v>0</v>
      </c>
      <c r="D55" s="4" t="s">
        <v>204</v>
      </c>
      <c r="E55" s="63">
        <v>122021100000</v>
      </c>
      <c r="F55" t="str">
        <f>_xlfn.XLOOKUP(E55,[1]Preisliste!$A$11:$A$156,[1]Preisliste!$B$11:$B$156)</f>
        <v>1.3.6</v>
      </c>
      <c r="G55" s="64">
        <f>_xlfn.XLOOKUP(E55,[1]Preisliste!$A$11:$A$156,[1]Preisliste!$E$11:$E$156)</f>
        <v>100.68</v>
      </c>
      <c r="H55" s="65">
        <f>IF(C55="",0,C55*G55)</f>
        <v>0</v>
      </c>
      <c r="I55" t="str">
        <f>_xlfn.XLOOKUP(E55,[1]Preisliste!$A$11:$A$156,[1]Preisliste!$C$11:$C$156)</f>
        <v>Pflasteroberflächen aufnehmen und wieder herstellen</v>
      </c>
      <c r="J55">
        <f>ROUND(C55,2)</f>
        <v>0</v>
      </c>
      <c r="K55" t="s">
        <v>189</v>
      </c>
      <c r="O55">
        <f>O38</f>
        <v>120</v>
      </c>
      <c r="P55" t="s">
        <v>205</v>
      </c>
    </row>
    <row r="56" spans="1:16" x14ac:dyDescent="0.3">
      <c r="A56" t="s">
        <v>202</v>
      </c>
      <c r="B56" s="5" t="s">
        <v>206</v>
      </c>
      <c r="C56" s="66">
        <f>IF(AND(C5&lt;&gt;0,BJ32=1),C55*(I7/100),0)</f>
        <v>0</v>
      </c>
      <c r="D56" s="4" t="s">
        <v>207</v>
      </c>
      <c r="E56" s="63">
        <v>122021300000</v>
      </c>
      <c r="F56" t="str">
        <f>_xlfn.XLOOKUP(E56,[1]Preisliste!$A$11:$A$156,[1]Preisliste!$B$11:$B$156)</f>
        <v>1.3.7</v>
      </c>
      <c r="G56" s="64">
        <f>_xlfn.XLOOKUP(E56,[1]Preisliste!$A$11:$A$156,[1]Preisliste!$E$11:$E$156)</f>
        <v>114.1</v>
      </c>
      <c r="H56" s="65">
        <f t="shared" ref="H56:H119" si="2">IF(C56="",0,C56*G56)</f>
        <v>0</v>
      </c>
      <c r="I56" t="str">
        <f>_xlfn.XLOOKUP(E56,[1]Preisliste!$A$11:$A$156,[1]Preisliste!$C$11:$C$156)</f>
        <v>ungeb. Tragschichten ausbauen</v>
      </c>
      <c r="J56">
        <f t="shared" ref="J56:J68" si="3">ROUND(C56,2)</f>
        <v>0</v>
      </c>
      <c r="O56">
        <f>M50+(N8/2)-20</f>
        <v>290</v>
      </c>
      <c r="P56" t="s">
        <v>65</v>
      </c>
    </row>
    <row r="57" spans="1:16" x14ac:dyDescent="0.3">
      <c r="A57" t="s">
        <v>17</v>
      </c>
      <c r="B57" s="5"/>
      <c r="C57" s="62">
        <f>IF(C5=0,0,(C2/10)*(C4/10)*(C7/10)/1000)</f>
        <v>0.15</v>
      </c>
      <c r="D57" s="4" t="s">
        <v>207</v>
      </c>
      <c r="E57" s="63">
        <v>122021500000</v>
      </c>
      <c r="F57" t="str">
        <f>_xlfn.XLOOKUP(E57,[1]Preisliste!$A$11:$A$156,[1]Preisliste!$B$11:$B$156)</f>
        <v>1.3.8</v>
      </c>
      <c r="G57" s="64">
        <f>_xlfn.XLOOKUP(E57,[1]Preisliste!$A$11:$A$156,[1]Preisliste!$E$11:$E$156)</f>
        <v>248.34</v>
      </c>
      <c r="H57" s="65">
        <f t="shared" si="2"/>
        <v>37.250999999999998</v>
      </c>
      <c r="I57" t="str">
        <f>_xlfn.XLOOKUP(E57,[1]Preisliste!$A$11:$A$156,[1]Preisliste!$C$11:$C$156)</f>
        <v>Graben herstellen und wiederverfüllen</v>
      </c>
      <c r="J57">
        <f t="shared" si="3"/>
        <v>0.15</v>
      </c>
      <c r="M57" s="1"/>
      <c r="N57" s="11"/>
      <c r="O57" s="11"/>
      <c r="P57" s="11"/>
    </row>
    <row r="58" spans="1:16" x14ac:dyDescent="0.3">
      <c r="A58" t="s">
        <v>208</v>
      </c>
      <c r="B58" s="5"/>
      <c r="C58" s="66">
        <f>IF(C5=0,0,(C2/100)*(C4/100)*20/100)</f>
        <v>0.05</v>
      </c>
      <c r="D58" s="4" t="s">
        <v>207</v>
      </c>
      <c r="E58" s="63">
        <v>122021900000</v>
      </c>
      <c r="F58" t="str">
        <f>_xlfn.XLOOKUP(E58,[1]Preisliste!$A$11:$A$156,[1]Preisliste!$B$11:$B$156)</f>
        <v>1.3.10</v>
      </c>
      <c r="G58" s="64">
        <f>_xlfn.XLOOKUP(E58,[1]Preisliste!$A$11:$A$156,[1]Preisliste!$E$11:$E$156)</f>
        <v>70.48</v>
      </c>
      <c r="H58" s="65">
        <f t="shared" si="2"/>
        <v>3.5240000000000005</v>
      </c>
      <c r="I58" t="str">
        <f>_xlfn.XLOOKUP(E58,[1]Preisliste!$A$11:$A$156,[1]Preisliste!$C$11:$C$156)</f>
        <v>Sandbett für Elektroleitung</v>
      </c>
      <c r="J58">
        <f t="shared" si="3"/>
        <v>0.05</v>
      </c>
      <c r="M58" s="11" t="s">
        <v>194</v>
      </c>
      <c r="N58" s="11"/>
      <c r="O58" s="11" t="s">
        <v>195</v>
      </c>
      <c r="P58" s="11"/>
    </row>
    <row r="59" spans="1:16" x14ac:dyDescent="0.3">
      <c r="A59" t="s">
        <v>209</v>
      </c>
      <c r="B59" s="5" t="s">
        <v>206</v>
      </c>
      <c r="C59" s="62">
        <f>C56</f>
        <v>0</v>
      </c>
      <c r="D59" s="4" t="s">
        <v>207</v>
      </c>
      <c r="E59" s="63">
        <v>122022100000</v>
      </c>
      <c r="F59" t="str">
        <f>_xlfn.XLOOKUP(E59,[1]Preisliste!$A$11:$A$156,[1]Preisliste!$B$11:$B$156)</f>
        <v>1.3.11</v>
      </c>
      <c r="G59" s="64">
        <f>_xlfn.XLOOKUP(E59,[1]Preisliste!$A$11:$A$156,[1]Preisliste!$E$11:$E$156)</f>
        <v>80.55</v>
      </c>
      <c r="H59" s="65">
        <f t="shared" si="2"/>
        <v>0</v>
      </c>
      <c r="I59" t="str">
        <f>_xlfn.XLOOKUP(E59,[1]Preisliste!$A$11:$A$156,[1]Preisliste!$C$11:$C$156)</f>
        <v>vorhandene Tragschicht wieder einbauen</v>
      </c>
      <c r="J59">
        <f t="shared" si="3"/>
        <v>0</v>
      </c>
      <c r="M59" s="11">
        <f>M50</f>
        <v>280</v>
      </c>
      <c r="N59" s="11" t="s">
        <v>121</v>
      </c>
      <c r="O59" s="11">
        <f>O41</f>
        <v>80</v>
      </c>
      <c r="P59" s="11"/>
    </row>
    <row r="60" spans="1:16" x14ac:dyDescent="0.3">
      <c r="A60" t="s">
        <v>210</v>
      </c>
      <c r="B60" s="5"/>
      <c r="C60" s="66"/>
      <c r="D60" s="4" t="s">
        <v>40</v>
      </c>
      <c r="E60" s="63">
        <v>122020700000</v>
      </c>
      <c r="F60" t="str">
        <f>_xlfn.XLOOKUP(E60,[1]Preisliste!$A$11:$A$156,[1]Preisliste!$B$11:$B$156)</f>
        <v>1.3.4</v>
      </c>
      <c r="G60" s="64">
        <f>_xlfn.XLOOKUP(E60,[1]Preisliste!$A$11:$A$156,[1]Preisliste!$E$11:$E$156)</f>
        <v>75.5</v>
      </c>
      <c r="H60" s="65">
        <f t="shared" si="2"/>
        <v>0</v>
      </c>
      <c r="I60" t="str">
        <f>_xlfn.XLOOKUP(E60,[1]Preisliste!$A$11:$A$156,[1]Preisliste!$C$11:$C$156)</f>
        <v>Betonkantensteine aufbrechen und wiederherstellen</v>
      </c>
      <c r="J60">
        <f t="shared" si="3"/>
        <v>0</v>
      </c>
      <c r="M60" s="11">
        <f>N24</f>
        <v>60</v>
      </c>
      <c r="N60" s="11"/>
      <c r="O60" s="11">
        <f>M59+M60</f>
        <v>340</v>
      </c>
      <c r="P60" s="11" t="s">
        <v>171</v>
      </c>
    </row>
    <row r="61" spans="1:16" x14ac:dyDescent="0.3">
      <c r="A61" t="s">
        <v>211</v>
      </c>
      <c r="B61" s="5"/>
      <c r="C61" s="66"/>
      <c r="D61" s="4" t="s">
        <v>40</v>
      </c>
      <c r="E61" s="63">
        <v>122020900000</v>
      </c>
      <c r="F61" t="str">
        <f>_xlfn.XLOOKUP(E61,[1]Preisliste!$A$11:$A$156,[1]Preisliste!$B$11:$B$156)</f>
        <v>1.3.5</v>
      </c>
      <c r="G61" s="64">
        <f>_xlfn.XLOOKUP(E61,[1]Preisliste!$A$11:$A$156,[1]Preisliste!$E$11:$E$156)</f>
        <v>82.21</v>
      </c>
      <c r="H61" s="65">
        <f t="shared" si="2"/>
        <v>0</v>
      </c>
      <c r="I61" t="str">
        <f>_xlfn.XLOOKUP(E61,[1]Preisliste!$A$11:$A$156,[1]Preisliste!$C$11:$C$156)</f>
        <v>Betonbordsteine aufbrechen und wiederherstellen</v>
      </c>
      <c r="J61">
        <f t="shared" si="3"/>
        <v>0</v>
      </c>
      <c r="M61" s="11"/>
      <c r="N61" s="11"/>
      <c r="O61" s="11"/>
      <c r="P61" s="11"/>
    </row>
    <row r="62" spans="1:16" x14ac:dyDescent="0.3">
      <c r="A62" t="s">
        <v>212</v>
      </c>
      <c r="C62" s="62"/>
      <c r="D62" s="4" t="s">
        <v>40</v>
      </c>
      <c r="E62" s="63">
        <v>122020500000</v>
      </c>
      <c r="F62" t="str">
        <f>_xlfn.XLOOKUP(E62,[1]Preisliste!$A$11:$A$156,[1]Preisliste!$B$11:$B$156)</f>
        <v>1.3.3</v>
      </c>
      <c r="G62" s="64">
        <f>_xlfn.XLOOKUP(E62,[1]Preisliste!$A$11:$A$156,[1]Preisliste!$E$11:$E$156)</f>
        <v>26.85</v>
      </c>
      <c r="H62" s="65">
        <f t="shared" si="2"/>
        <v>0</v>
      </c>
      <c r="I62" t="str">
        <f>_xlfn.XLOOKUP(E62,[1]Preisliste!$A$11:$A$156,[1]Preisliste!$C$11:$C$156)</f>
        <v>Erschwernis für Abbrucharbeiten an Gebäuden und Einfriedungen</v>
      </c>
      <c r="J62">
        <f t="shared" si="3"/>
        <v>0</v>
      </c>
      <c r="M62" s="11"/>
      <c r="N62" s="11"/>
      <c r="O62" s="11"/>
      <c r="P62" s="11"/>
    </row>
    <row r="63" spans="1:16" x14ac:dyDescent="0.3">
      <c r="A63" t="s">
        <v>202</v>
      </c>
      <c r="B63" s="5" t="s">
        <v>203</v>
      </c>
      <c r="C63" s="62">
        <f>IF(AND(C5&lt;&gt;0,BJ32=2),$G$2*$G$4/10000,0)</f>
        <v>0.64</v>
      </c>
      <c r="D63" s="4" t="s">
        <v>204</v>
      </c>
      <c r="E63" s="63">
        <v>122020100000</v>
      </c>
      <c r="F63" t="str">
        <f>_xlfn.XLOOKUP(E63,[1]Preisliste!$A$11:$A$156,[1]Preisliste!$B$11:$B$156)</f>
        <v>1.3.1</v>
      </c>
      <c r="G63" s="64">
        <f>_xlfn.XLOOKUP(E63,[1]Preisliste!$A$11:$A$156,[1]Preisliste!$E$11:$E$156)</f>
        <v>5.86</v>
      </c>
      <c r="H63" s="65">
        <f t="shared" si="2"/>
        <v>3.7504000000000004</v>
      </c>
      <c r="I63" t="str">
        <f>_xlfn.XLOOKUP(E63,[1]Preisliste!$A$11:$A$156,[1]Preisliste!$C$11:$C$156)</f>
        <v>Bituminösen Oberbau senkrecht schneiden</v>
      </c>
      <c r="J63">
        <f t="shared" si="3"/>
        <v>0.64</v>
      </c>
      <c r="M63" s="11"/>
      <c r="N63" s="11"/>
      <c r="O63" s="11"/>
      <c r="P63" s="11"/>
    </row>
    <row r="64" spans="1:16" x14ac:dyDescent="0.3">
      <c r="A64" t="s">
        <v>202</v>
      </c>
      <c r="B64" s="5" t="s">
        <v>206</v>
      </c>
      <c r="C64" s="66">
        <f>IF(AND(C5&lt;&gt;0,BJ32=2),C63*(I7/100),0)</f>
        <v>0.21120000000000003</v>
      </c>
      <c r="D64" s="4" t="s">
        <v>207</v>
      </c>
      <c r="E64" s="63">
        <v>122020300000</v>
      </c>
      <c r="F64" t="str">
        <f>_xlfn.XLOOKUP(E64,[1]Preisliste!$A$11:$A$156,[1]Preisliste!$B$11:$B$156)</f>
        <v>1.3.2</v>
      </c>
      <c r="G64" s="64">
        <f>_xlfn.XLOOKUP(E64,[1]Preisliste!$A$11:$A$156,[1]Preisliste!$E$11:$E$156)</f>
        <v>23.84</v>
      </c>
      <c r="H64" s="65">
        <f t="shared" si="2"/>
        <v>5.0350080000000004</v>
      </c>
      <c r="I64" t="str">
        <f>_xlfn.XLOOKUP(E64,[1]Preisliste!$A$11:$A$156,[1]Preisliste!$C$11:$C$156)</f>
        <v>Bituminöse Befestigung bis 12 cm aufbrechen</v>
      </c>
      <c r="J64">
        <f t="shared" si="3"/>
        <v>0.21</v>
      </c>
      <c r="M64" s="11"/>
      <c r="N64" s="11"/>
      <c r="O64" s="11">
        <v>120</v>
      </c>
      <c r="P64" s="11"/>
    </row>
    <row r="65" spans="1:19" x14ac:dyDescent="0.3">
      <c r="A65" t="s">
        <v>213</v>
      </c>
      <c r="C65" s="66">
        <f>IF(AND(C5&lt;&gt;0,BJ32=2),Y3*Y5,0)</f>
        <v>0.64000000000000012</v>
      </c>
      <c r="D65" s="4" t="s">
        <v>204</v>
      </c>
      <c r="E65" s="63">
        <v>122022300000</v>
      </c>
      <c r="F65" t="str">
        <f>_xlfn.XLOOKUP(E65,[1]Preisliste!$A$11:$A$156,[1]Preisliste!$B$11:$B$156)</f>
        <v>1.3.12</v>
      </c>
      <c r="G65" s="64">
        <f>_xlfn.XLOOKUP(E65,[1]Preisliste!$A$11:$A$156,[1]Preisliste!$E$11:$E$156)</f>
        <v>55.37</v>
      </c>
      <c r="H65" s="65">
        <f t="shared" si="2"/>
        <v>35.436800000000005</v>
      </c>
      <c r="I65" t="str">
        <f>_xlfn.XLOOKUP(E65,[1]Preisliste!$A$11:$A$156,[1]Preisliste!$C$11:$C$156)</f>
        <v>Asphalttragschicht aus AC 22 TN</v>
      </c>
      <c r="J65">
        <f t="shared" si="3"/>
        <v>0.64</v>
      </c>
      <c r="M65" s="11"/>
      <c r="N65" s="11"/>
      <c r="O65" s="11">
        <f>M59+(M60/2)-20</f>
        <v>290</v>
      </c>
      <c r="P65" s="11"/>
    </row>
    <row r="66" spans="1:19" x14ac:dyDescent="0.3">
      <c r="A66" t="s">
        <v>214</v>
      </c>
      <c r="C66" s="66">
        <f>C65</f>
        <v>0.64000000000000012</v>
      </c>
      <c r="D66" s="4" t="s">
        <v>204</v>
      </c>
      <c r="E66" s="63">
        <v>122022500000</v>
      </c>
      <c r="F66" t="str">
        <f>_xlfn.XLOOKUP(E66,[1]Preisliste!$A$11:$A$156,[1]Preisliste!$B$11:$B$156)</f>
        <v>1.3.13</v>
      </c>
      <c r="G66" s="64">
        <f>_xlfn.XLOOKUP(E66,[1]Preisliste!$A$11:$A$156,[1]Preisliste!$E$11:$E$156)</f>
        <v>20.14</v>
      </c>
      <c r="H66" s="65">
        <f t="shared" si="2"/>
        <v>12.889600000000003</v>
      </c>
      <c r="I66" t="str">
        <f>_xlfn.XLOOKUP(E66,[1]Preisliste!$A$11:$A$156,[1]Preisliste!$C$11:$C$156)</f>
        <v>Bitumenemulsion aufsprühen</v>
      </c>
      <c r="J66">
        <f t="shared" si="3"/>
        <v>0.64</v>
      </c>
      <c r="M66" s="1"/>
    </row>
    <row r="67" spans="1:19" x14ac:dyDescent="0.3">
      <c r="A67" t="s">
        <v>215</v>
      </c>
      <c r="C67" s="66">
        <f>IF(AND(C5&lt;&gt;0,BJ32=2),(2*Y3)+(2*Y5),0)</f>
        <v>3.2</v>
      </c>
      <c r="D67" s="4" t="s">
        <v>40</v>
      </c>
      <c r="E67" s="63">
        <v>122022700000</v>
      </c>
      <c r="F67" t="str">
        <f>_xlfn.XLOOKUP(E67,[1]Preisliste!$A$11:$A$156,[1]Preisliste!$B$11:$B$156)</f>
        <v>1.3.14</v>
      </c>
      <c r="G67" s="64">
        <f>_xlfn.XLOOKUP(E67,[1]Preisliste!$A$11:$A$156,[1]Preisliste!$E$11:$E$156)</f>
        <v>20.14</v>
      </c>
      <c r="H67" s="65">
        <f t="shared" si="2"/>
        <v>64.448000000000008</v>
      </c>
      <c r="I67" t="str">
        <f>_xlfn.XLOOKUP(E67,[1]Preisliste!$A$11:$A$156,[1]Preisliste!$C$11:$C$156)</f>
        <v>Fugen in der Dicke der bituminösen Decke</v>
      </c>
      <c r="J67" s="57">
        <f t="shared" si="3"/>
        <v>3.2</v>
      </c>
      <c r="K67" s="11" t="s">
        <v>185</v>
      </c>
      <c r="O67">
        <f>N5-40</f>
        <v>160</v>
      </c>
    </row>
    <row r="68" spans="1:19" x14ac:dyDescent="0.3">
      <c r="A68" t="s">
        <v>216</v>
      </c>
      <c r="C68" s="66">
        <f>C66</f>
        <v>0.64000000000000012</v>
      </c>
      <c r="D68" s="4" t="s">
        <v>204</v>
      </c>
      <c r="E68" s="63">
        <v>122022900000</v>
      </c>
      <c r="F68" t="str">
        <f>_xlfn.XLOOKUP(E68,[1]Preisliste!$A$11:$A$156,[1]Preisliste!$B$11:$B$156)</f>
        <v>1.3.15</v>
      </c>
      <c r="G68" s="64">
        <f>_xlfn.XLOOKUP(E68,[1]Preisliste!$A$11:$A$156,[1]Preisliste!$E$11:$E$156)</f>
        <v>55.36</v>
      </c>
      <c r="H68" s="65">
        <f t="shared" si="2"/>
        <v>35.430400000000006</v>
      </c>
      <c r="I68" t="str">
        <f>_xlfn.XLOOKUP(E68,[1]Preisliste!$A$11:$A$156,[1]Preisliste!$C$11:$C$156)</f>
        <v>Asphaltdeckschicht aus AC 8 DN</v>
      </c>
      <c r="J68" s="57">
        <f t="shared" si="3"/>
        <v>0.64</v>
      </c>
      <c r="K68" s="11" t="s">
        <v>46</v>
      </c>
      <c r="O68">
        <f>O4</f>
        <v>185</v>
      </c>
      <c r="Q68">
        <f>O69-O68</f>
        <v>65</v>
      </c>
      <c r="R68">
        <f>Q68/2</f>
        <v>32.5</v>
      </c>
    </row>
    <row r="69" spans="1:19" x14ac:dyDescent="0.3">
      <c r="G69" s="64"/>
      <c r="H69" s="65"/>
      <c r="J69" s="57"/>
      <c r="K69" s="11" t="s">
        <v>217</v>
      </c>
      <c r="O69">
        <f>N4+N7</f>
        <v>250</v>
      </c>
      <c r="S69">
        <f>R68+O68</f>
        <v>217.5</v>
      </c>
    </row>
    <row r="70" spans="1:19" x14ac:dyDescent="0.3">
      <c r="G70" s="64"/>
      <c r="H70" s="65"/>
      <c r="J70" s="57"/>
      <c r="K70" s="1" t="s">
        <v>218</v>
      </c>
      <c r="L70" s="1"/>
      <c r="M70" s="1"/>
    </row>
    <row r="71" spans="1:19" x14ac:dyDescent="0.3">
      <c r="G71" s="64"/>
      <c r="H71" s="65"/>
      <c r="J71" s="57"/>
      <c r="K71" t="s">
        <v>189</v>
      </c>
      <c r="O71">
        <f>O68+((O69-O68)/2)</f>
        <v>217.5</v>
      </c>
    </row>
    <row r="72" spans="1:19" x14ac:dyDescent="0.3">
      <c r="A72" s="67" t="s">
        <v>219</v>
      </c>
      <c r="G72" s="64"/>
      <c r="H72" s="65"/>
      <c r="J72" s="57"/>
      <c r="K72" t="s">
        <v>181</v>
      </c>
      <c r="O72">
        <f>O80-15</f>
        <v>145</v>
      </c>
    </row>
    <row r="73" spans="1:19" x14ac:dyDescent="0.3">
      <c r="C73" s="5">
        <f>IF(AND($C$5=3.5,$BP$10=1),1,0)</f>
        <v>1</v>
      </c>
      <c r="D73" s="4" t="s">
        <v>220</v>
      </c>
      <c r="E73" s="63">
        <v>122040100000</v>
      </c>
      <c r="F73" t="str">
        <f>_xlfn.XLOOKUP(E73,[1]Preisliste!$A$11:$A$156,[1]Preisliste!$B$11:$B$156)</f>
        <v>1.5.1</v>
      </c>
      <c r="G73" s="64">
        <f>_xlfn.XLOOKUP(E73,[1]Preisliste!$A$11:$A$156,[1]Preisliste!$E$11:$E$156)</f>
        <v>617.04999999999995</v>
      </c>
      <c r="H73" s="65">
        <f t="shared" si="2"/>
        <v>617.04999999999995</v>
      </c>
      <c r="I73" t="str">
        <f>_xlfn.XLOOKUP(E73,[1]Preisliste!$A$11:$A$156,[1]Preisliste!$C$11:$C$156)</f>
        <v>Aufsatzmaste LPH 3,5 m liefern und betriebsfertig aufstellen</v>
      </c>
      <c r="J73" s="57">
        <f t="shared" ref="J73:J136" si="4">ROUND(C73,2)</f>
        <v>1</v>
      </c>
      <c r="K73" s="11" t="s">
        <v>140</v>
      </c>
      <c r="O73">
        <f>R7</f>
        <v>800</v>
      </c>
    </row>
    <row r="74" spans="1:19" x14ac:dyDescent="0.3">
      <c r="C74" s="5">
        <f>IF(AND($C$5=5,$BP$10=1),1,0)</f>
        <v>0</v>
      </c>
      <c r="D74" s="4" t="s">
        <v>220</v>
      </c>
      <c r="E74" s="63">
        <v>122040300000</v>
      </c>
      <c r="F74" t="str">
        <f>_xlfn.XLOOKUP(E74,[1]Preisliste!$A$11:$A$156,[1]Preisliste!$B$11:$B$156)</f>
        <v>1.5.2</v>
      </c>
      <c r="G74" s="64">
        <f>_xlfn.XLOOKUP(E74,[1]Preisliste!$A$11:$A$156,[1]Preisliste!$E$11:$E$156)</f>
        <v>660.92</v>
      </c>
      <c r="H74" s="65">
        <f t="shared" si="2"/>
        <v>0</v>
      </c>
      <c r="I74" t="str">
        <f>_xlfn.XLOOKUP(E74,[1]Preisliste!$A$11:$A$156,[1]Preisliste!$C$11:$C$156)</f>
        <v>Aufsatzmaste LPH 5,0 m liefern und betriebsfertig aufstellen</v>
      </c>
      <c r="J74" s="57">
        <f t="shared" si="4"/>
        <v>0</v>
      </c>
      <c r="K74" s="1" t="s">
        <v>221</v>
      </c>
      <c r="L74" s="1"/>
      <c r="M74" s="1"/>
      <c r="N74" s="68"/>
      <c r="O74" s="68"/>
      <c r="P74" s="68"/>
    </row>
    <row r="75" spans="1:19" x14ac:dyDescent="0.3">
      <c r="C75" s="5">
        <f>IF(AND($C$5=6,$BP$10=1),1,0)</f>
        <v>0</v>
      </c>
      <c r="D75" s="4" t="s">
        <v>220</v>
      </c>
      <c r="E75" s="63">
        <v>122040500000</v>
      </c>
      <c r="F75" t="str">
        <f>_xlfn.XLOOKUP(E75,[1]Preisliste!$A$11:$A$156,[1]Preisliste!$B$11:$B$156)</f>
        <v>1.5.3</v>
      </c>
      <c r="G75" s="64">
        <f>_xlfn.XLOOKUP(E75,[1]Preisliste!$A$11:$A$156,[1]Preisliste!$E$11:$E$156)</f>
        <v>758.81</v>
      </c>
      <c r="H75" s="65">
        <f t="shared" si="2"/>
        <v>0</v>
      </c>
      <c r="I75" t="str">
        <f>_xlfn.XLOOKUP(E75,[1]Preisliste!$A$11:$A$156,[1]Preisliste!$C$11:$C$156)</f>
        <v>Aufsatzmaste LPH 6,0 m liefern und betriebsfertig aufstellen</v>
      </c>
      <c r="J75" s="57">
        <f t="shared" si="4"/>
        <v>0</v>
      </c>
      <c r="K75" s="68" t="s">
        <v>185</v>
      </c>
      <c r="L75" s="68"/>
      <c r="M75" s="68"/>
      <c r="N75" s="68"/>
      <c r="O75" s="68">
        <f>O67+15</f>
        <v>175</v>
      </c>
      <c r="P75" s="68"/>
    </row>
    <row r="76" spans="1:19" x14ac:dyDescent="0.3">
      <c r="C76" s="5">
        <f>IF(AND($C$5=8,$BP$10=1),1,0)</f>
        <v>0</v>
      </c>
      <c r="D76" s="4" t="s">
        <v>220</v>
      </c>
      <c r="E76" s="63">
        <v>122040700000</v>
      </c>
      <c r="F76" t="str">
        <f>_xlfn.XLOOKUP(E76,[1]Preisliste!$A$11:$A$156,[1]Preisliste!$B$11:$B$156)</f>
        <v>1.5.4</v>
      </c>
      <c r="G76" s="64">
        <f>_xlfn.XLOOKUP(E76,[1]Preisliste!$A$11:$A$156,[1]Preisliste!$E$11:$E$156)</f>
        <v>1066.1600000000001</v>
      </c>
      <c r="H76" s="65">
        <f t="shared" si="2"/>
        <v>0</v>
      </c>
      <c r="I76" t="str">
        <f>_xlfn.XLOOKUP(E76,[1]Preisliste!$A$11:$A$156,[1]Preisliste!$C$11:$C$156)</f>
        <v>Aufsatzmaste LPH 8,0 m liefern und betriebsfertig aufstellen</v>
      </c>
      <c r="J76" s="57">
        <f t="shared" si="4"/>
        <v>0</v>
      </c>
      <c r="K76" s="68" t="s">
        <v>46</v>
      </c>
      <c r="L76" s="68"/>
      <c r="M76" s="68"/>
      <c r="N76" s="68"/>
      <c r="O76" s="68">
        <f>O4</f>
        <v>185</v>
      </c>
      <c r="P76" s="68"/>
    </row>
    <row r="77" spans="1:19" x14ac:dyDescent="0.3">
      <c r="C77" s="5">
        <f>IF(AND($C$5=10,$BP$10=1),1,0)</f>
        <v>0</v>
      </c>
      <c r="D77" s="4" t="s">
        <v>220</v>
      </c>
      <c r="E77" s="63">
        <v>122040900000</v>
      </c>
      <c r="F77" t="str">
        <f>_xlfn.XLOOKUP(E77,[1]Preisliste!$A$11:$A$156,[1]Preisliste!$B$11:$B$156)</f>
        <v>1.5.5</v>
      </c>
      <c r="G77" s="64">
        <f>_xlfn.XLOOKUP(E77,[1]Preisliste!$A$11:$A$156,[1]Preisliste!$E$11:$E$156)</f>
        <v>1212.3499999999999</v>
      </c>
      <c r="H77" s="65">
        <f t="shared" si="2"/>
        <v>0</v>
      </c>
      <c r="I77" t="str">
        <f>_xlfn.XLOOKUP(E77,[1]Preisliste!$A$11:$A$156,[1]Preisliste!$C$11:$C$156)</f>
        <v>Aufsatzmaste LPH 10,0 m liefern und betriebsfertig aufstellen</v>
      </c>
      <c r="J77" s="57">
        <f t="shared" si="4"/>
        <v>0</v>
      </c>
      <c r="K77" s="68" t="s">
        <v>217</v>
      </c>
      <c r="L77" s="68"/>
      <c r="M77" s="68"/>
      <c r="N77" s="68"/>
      <c r="O77" s="68">
        <f>O76+O7</f>
        <v>265</v>
      </c>
      <c r="P77" s="68"/>
    </row>
    <row r="78" spans="1:19" x14ac:dyDescent="0.3">
      <c r="C78" s="5"/>
      <c r="D78" s="4" t="s">
        <v>220</v>
      </c>
      <c r="E78" s="63">
        <v>122040110000</v>
      </c>
      <c r="F78" t="str">
        <f>_xlfn.XLOOKUP(E78,[1]Preisliste!$A$11:$A$156,[1]Preisliste!$B$11:$B$156)</f>
        <v>1.5.6</v>
      </c>
      <c r="G78" s="64">
        <f>_xlfn.XLOOKUP(E78,[1]Preisliste!$A$11:$A$156,[1]Preisliste!$E$11:$E$156)</f>
        <v>239.44</v>
      </c>
      <c r="H78" s="65">
        <f t="shared" si="2"/>
        <v>0</v>
      </c>
      <c r="I78" t="str">
        <f>_xlfn.XLOOKUP(E78,[1]Preisliste!$A$11:$A$156,[1]Preisliste!$C$11:$C$156)</f>
        <v>Mast richten</v>
      </c>
      <c r="J78" s="57">
        <f t="shared" si="4"/>
        <v>0</v>
      </c>
      <c r="K78" s="1" t="s">
        <v>218</v>
      </c>
      <c r="L78" s="1"/>
      <c r="M78" s="1"/>
      <c r="N78" s="68"/>
      <c r="O78" s="68"/>
      <c r="P78" s="68"/>
    </row>
    <row r="79" spans="1:19" x14ac:dyDescent="0.3">
      <c r="C79" s="5"/>
      <c r="D79" s="4" t="s">
        <v>220</v>
      </c>
      <c r="E79" s="63">
        <v>122120100000</v>
      </c>
      <c r="F79">
        <f>_xlfn.XLOOKUP(E79,[1]Preisliste!$A$11:$A$156,[1]Preisliste!$B$11:$B$156)</f>
        <v>0</v>
      </c>
      <c r="G79" s="64">
        <f>_xlfn.XLOOKUP(E79,[1]Preisliste!$A$11:$A$156,[1]Preisliste!$E$11:$E$156)</f>
        <v>21.43</v>
      </c>
      <c r="H79" s="65">
        <f t="shared" si="2"/>
        <v>0</v>
      </c>
      <c r="I79" t="str">
        <f>_xlfn.XLOOKUP(E79,[1]Preisliste!$A$11:$A$156,[1]Preisliste!$C$11:$C$156)</f>
        <v>Mast kürzen</v>
      </c>
      <c r="J79" s="68">
        <f t="shared" si="4"/>
        <v>0</v>
      </c>
      <c r="K79" s="68" t="s">
        <v>189</v>
      </c>
      <c r="L79" s="68"/>
      <c r="M79" s="68"/>
      <c r="N79" s="68"/>
      <c r="O79" s="68">
        <f>O76+((O77-O76)/2)</f>
        <v>225</v>
      </c>
      <c r="P79" s="68"/>
    </row>
    <row r="80" spans="1:19" x14ac:dyDescent="0.3">
      <c r="C80" s="5">
        <f>IF(AND($C$5=3,5,$BP$10=2),1,0)</f>
        <v>0</v>
      </c>
      <c r="D80" s="4" t="s">
        <v>220</v>
      </c>
      <c r="E80" s="63">
        <v>122120900000</v>
      </c>
      <c r="F80">
        <f>_xlfn.XLOOKUP(E80,[1]Preisliste!$A$11:$A$156,[1]Preisliste!$B$11:$B$156)</f>
        <v>0</v>
      </c>
      <c r="G80" s="64">
        <f>_xlfn.XLOOKUP(E80,[1]Preisliste!$A$11:$A$156,[1]Preisliste!$E$11:$E$156)</f>
        <v>467.03</v>
      </c>
      <c r="H80" s="65">
        <f t="shared" si="2"/>
        <v>0</v>
      </c>
      <c r="I80" t="str">
        <f>_xlfn.XLOOKUP(E80,[1]Preisliste!$A$11:$A$156,[1]Preisliste!$C$11:$C$156)</f>
        <v>Mast LPH 3,5m stellen o. Material</v>
      </c>
      <c r="J80" s="68">
        <f t="shared" si="4"/>
        <v>0</v>
      </c>
      <c r="K80" s="68" t="s">
        <v>181</v>
      </c>
      <c r="L80" s="68"/>
      <c r="M80" s="68"/>
      <c r="N80" s="68"/>
      <c r="O80" s="68">
        <f>O75-15</f>
        <v>160</v>
      </c>
      <c r="P80" s="68"/>
    </row>
    <row r="81" spans="1:20" x14ac:dyDescent="0.3">
      <c r="C81" s="5">
        <f>IF(AND($C$5=5,$BP$10=2),1,0)</f>
        <v>0</v>
      </c>
      <c r="D81" s="4" t="s">
        <v>220</v>
      </c>
      <c r="E81" s="63">
        <v>122121100000</v>
      </c>
      <c r="F81">
        <f>_xlfn.XLOOKUP(E81,[1]Preisliste!$A$11:$A$156,[1]Preisliste!$B$11:$B$156)</f>
        <v>0</v>
      </c>
      <c r="G81" s="64">
        <f>_xlfn.XLOOKUP(E81,[1]Preisliste!$A$11:$A$156,[1]Preisliste!$E$11:$E$156)</f>
        <v>493.59</v>
      </c>
      <c r="H81" s="65">
        <f t="shared" si="2"/>
        <v>0</v>
      </c>
      <c r="I81" t="str">
        <f>_xlfn.XLOOKUP(E81,[1]Preisliste!$A$11:$A$156,[1]Preisliste!$C$11:$C$156)</f>
        <v>Mast LPH 5,0m stellen o. Material</v>
      </c>
      <c r="J81" s="68">
        <f t="shared" si="4"/>
        <v>0</v>
      </c>
      <c r="K81" s="68" t="s">
        <v>140</v>
      </c>
      <c r="L81" s="68"/>
      <c r="M81" s="68"/>
      <c r="N81" s="68"/>
      <c r="O81" s="68">
        <f>M7</f>
        <v>500</v>
      </c>
      <c r="P81" s="68"/>
    </row>
    <row r="82" spans="1:20" x14ac:dyDescent="0.3">
      <c r="C82" s="5">
        <f>IF(AND($C$5=6,$BP$10=2),1,0)</f>
        <v>0</v>
      </c>
      <c r="D82" s="4" t="s">
        <v>220</v>
      </c>
      <c r="E82" s="63">
        <v>122121300000</v>
      </c>
      <c r="F82">
        <f>_xlfn.XLOOKUP(E82,[1]Preisliste!$A$11:$A$156,[1]Preisliste!$B$11:$B$156)</f>
        <v>0</v>
      </c>
      <c r="G82" s="64">
        <f>_xlfn.XLOOKUP(E82,[1]Preisliste!$A$11:$A$156,[1]Preisliste!$E$11:$E$156)</f>
        <v>590.42999999999995</v>
      </c>
      <c r="H82" s="65">
        <f t="shared" si="2"/>
        <v>0</v>
      </c>
      <c r="I82" t="str">
        <f>_xlfn.XLOOKUP(E82,[1]Preisliste!$A$11:$A$156,[1]Preisliste!$C$11:$C$156)</f>
        <v>Mast LPH 6,0m stellen o. Material</v>
      </c>
      <c r="J82">
        <f t="shared" si="4"/>
        <v>0</v>
      </c>
    </row>
    <row r="83" spans="1:20" x14ac:dyDescent="0.3">
      <c r="A83" s="69"/>
      <c r="B83" s="70"/>
      <c r="C83" s="5">
        <f>IF(AND($C$5=8,$BP$10=2),1,0)</f>
        <v>0</v>
      </c>
      <c r="D83" s="4" t="s">
        <v>220</v>
      </c>
      <c r="E83" s="63">
        <v>122121500000</v>
      </c>
      <c r="F83">
        <f>_xlfn.XLOOKUP(E83,[1]Preisliste!$A$11:$A$156,[1]Preisliste!$B$11:$B$156)</f>
        <v>0</v>
      </c>
      <c r="G83" s="64">
        <f>_xlfn.XLOOKUP(E83,[1]Preisliste!$A$11:$A$156,[1]Preisliste!$E$11:$E$156)</f>
        <v>834.1</v>
      </c>
      <c r="H83" s="65">
        <f t="shared" si="2"/>
        <v>0</v>
      </c>
      <c r="I83" t="str">
        <f>_xlfn.XLOOKUP(E83,[1]Preisliste!$A$11:$A$156,[1]Preisliste!$C$11:$C$156)</f>
        <v>Mast LPH 8,0m stellen o. Material</v>
      </c>
      <c r="J83">
        <f t="shared" si="4"/>
        <v>0</v>
      </c>
    </row>
    <row r="84" spans="1:20" x14ac:dyDescent="0.3">
      <c r="A84" s="67" t="s">
        <v>222</v>
      </c>
      <c r="B84" s="70"/>
      <c r="C84" s="5"/>
      <c r="D84" s="57"/>
      <c r="E84" s="57"/>
      <c r="G84" s="64"/>
      <c r="H84" s="65"/>
      <c r="J84">
        <f t="shared" si="4"/>
        <v>0</v>
      </c>
    </row>
    <row r="85" spans="1:20" x14ac:dyDescent="0.3">
      <c r="A85" s="69"/>
      <c r="B85" s="70"/>
      <c r="C85" s="57">
        <f>IF(BK13="x",$BU$15,0)</f>
        <v>0</v>
      </c>
      <c r="D85" s="4" t="s">
        <v>40</v>
      </c>
      <c r="E85" s="63">
        <v>122120400000</v>
      </c>
      <c r="F85">
        <f>_xlfn.XLOOKUP(E85,[1]Preisliste!$A$11:$A$156,[1]Preisliste!$B$11:$B$156)</f>
        <v>0</v>
      </c>
      <c r="G85" s="64">
        <f>_xlfn.XLOOKUP(E85,[1]Preisliste!$A$11:$A$156,[1]Preisliste!$E$11:$E$156)</f>
        <v>1.94</v>
      </c>
      <c r="H85" s="65">
        <f t="shared" si="2"/>
        <v>0</v>
      </c>
      <c r="I85" t="str">
        <f>_xlfn.XLOOKUP(E85,[1]Preisliste!$A$11:$A$156,[1]Preisliste!$C$11:$C$156)</f>
        <v>Zuleitungskabel liefern</v>
      </c>
      <c r="J85">
        <f t="shared" si="4"/>
        <v>0</v>
      </c>
    </row>
    <row r="86" spans="1:20" x14ac:dyDescent="0.3">
      <c r="A86" s="69"/>
      <c r="B86" s="70"/>
      <c r="C86" s="57">
        <f>IF(BK14&gt;0,$BK$14,0)</f>
        <v>0</v>
      </c>
      <c r="D86" s="4" t="s">
        <v>40</v>
      </c>
      <c r="E86" s="63">
        <v>122120500000</v>
      </c>
      <c r="F86">
        <f>_xlfn.XLOOKUP(E86,[1]Preisliste!$A$11:$A$156,[1]Preisliste!$B$11:$B$156)</f>
        <v>0</v>
      </c>
      <c r="G86" s="64">
        <f>_xlfn.XLOOKUP(E86,[1]Preisliste!$A$11:$A$156,[1]Preisliste!$E$11:$E$156)</f>
        <v>9.39</v>
      </c>
      <c r="H86" s="65">
        <f t="shared" si="2"/>
        <v>0</v>
      </c>
      <c r="I86" t="str">
        <f>_xlfn.XLOOKUP(E86,[1]Preisliste!$A$11:$A$156,[1]Preisliste!$C$11:$C$156)</f>
        <v>Zuleitung ab- und wieder anklemmen</v>
      </c>
      <c r="J86">
        <f t="shared" si="4"/>
        <v>0</v>
      </c>
      <c r="O86">
        <v>800</v>
      </c>
      <c r="R86">
        <v>0</v>
      </c>
      <c r="T86" t="s">
        <v>223</v>
      </c>
    </row>
    <row r="87" spans="1:20" x14ac:dyDescent="0.3">
      <c r="A87" s="69"/>
      <c r="B87" s="70"/>
      <c r="C87">
        <f>IF($BP$15=1,$BU$15,0)</f>
        <v>0</v>
      </c>
      <c r="D87" s="4" t="s">
        <v>40</v>
      </c>
      <c r="E87" s="63">
        <v>122030100000</v>
      </c>
      <c r="F87" t="str">
        <f>_xlfn.XLOOKUP(E87,[1]Preisliste!$A$11:$A$156,[1]Preisliste!$B$11:$B$156)</f>
        <v>1.4.1</v>
      </c>
      <c r="G87" s="64">
        <f>_xlfn.XLOOKUP(E87,[1]Preisliste!$A$11:$A$156,[1]Preisliste!$E$11:$E$156)</f>
        <v>8.64</v>
      </c>
      <c r="H87" s="65">
        <f t="shared" si="2"/>
        <v>0</v>
      </c>
      <c r="I87" t="str">
        <f>_xlfn.XLOOKUP(E87,[1]Preisliste!$A$11:$A$156,[1]Preisliste!$C$11:$C$156)</f>
        <v>Erdkabel NYY-J 5 x 10 mm² RE liefern und verlegen</v>
      </c>
      <c r="J87">
        <f t="shared" si="4"/>
        <v>0</v>
      </c>
      <c r="O87">
        <v>137</v>
      </c>
      <c r="P87">
        <v>100</v>
      </c>
      <c r="R87">
        <f>R86-137</f>
        <v>-137</v>
      </c>
      <c r="S87">
        <f>R87+P87</f>
        <v>-37</v>
      </c>
      <c r="T87" t="s">
        <v>224</v>
      </c>
    </row>
    <row r="88" spans="1:20" x14ac:dyDescent="0.3">
      <c r="A88" s="69"/>
      <c r="B88" s="70"/>
      <c r="C88">
        <f>IF($BP$15=2,$BU$15,0)</f>
        <v>0</v>
      </c>
      <c r="D88" s="4" t="s">
        <v>40</v>
      </c>
      <c r="E88" s="63">
        <v>122030200000</v>
      </c>
      <c r="F88" t="str">
        <f>_xlfn.XLOOKUP(E88,[1]Preisliste!$A$11:$A$156,[1]Preisliste!$B$11:$B$156)</f>
        <v>1.4.2</v>
      </c>
      <c r="G88" s="64">
        <f>_xlfn.XLOOKUP(E88,[1]Preisliste!$A$11:$A$156,[1]Preisliste!$E$11:$E$156)</f>
        <v>12.15</v>
      </c>
      <c r="H88" s="65">
        <f t="shared" si="2"/>
        <v>0</v>
      </c>
      <c r="I88" t="str">
        <f>_xlfn.XLOOKUP(E88,[1]Preisliste!$A$11:$A$156,[1]Preisliste!$C$11:$C$156)</f>
        <v>Erdkabel NYY-J 5 x 16 mm² RE liefern und verlegen</v>
      </c>
      <c r="J88">
        <f t="shared" si="4"/>
        <v>0</v>
      </c>
      <c r="O88">
        <f>O86-O87</f>
        <v>663</v>
      </c>
      <c r="P88">
        <v>230</v>
      </c>
      <c r="S88">
        <f>S92-S87</f>
        <v>-763</v>
      </c>
      <c r="T88" t="s">
        <v>225</v>
      </c>
    </row>
    <row r="89" spans="1:20" x14ac:dyDescent="0.3">
      <c r="A89" s="69"/>
      <c r="B89" s="70"/>
      <c r="C89">
        <f>IF($BP$15=3,$BU$15,0)</f>
        <v>0</v>
      </c>
      <c r="D89" s="4" t="s">
        <v>40</v>
      </c>
      <c r="E89" s="63">
        <v>310603110003</v>
      </c>
      <c r="F89" t="str">
        <f>_xlfn.XLOOKUP(E89,[1]Preisliste!$A$11:$A$156,[1]Preisliste!$B$11:$B$156)</f>
        <v>1.4.3</v>
      </c>
      <c r="G89" s="64">
        <f>_xlfn.XLOOKUP(E89,[1]Preisliste!$A$11:$A$156,[1]Preisliste!$E$11:$E$156)</f>
        <v>11.5</v>
      </c>
      <c r="H89" s="65">
        <f t="shared" si="2"/>
        <v>0</v>
      </c>
      <c r="I89" t="str">
        <f>_xlfn.XLOOKUP(E89,[1]Preisliste!$A$11:$A$156,[1]Preisliste!$C$11:$C$156)</f>
        <v>Erdkabel NYY-J 5 x 10 mm² RE in vorhandenem Leerrohr</v>
      </c>
      <c r="J89">
        <f t="shared" si="4"/>
        <v>0</v>
      </c>
      <c r="O89">
        <v>-415</v>
      </c>
      <c r="P89">
        <v>230</v>
      </c>
      <c r="Q89">
        <f>O89+P89</f>
        <v>-185</v>
      </c>
      <c r="R89">
        <v>-615</v>
      </c>
      <c r="S89">
        <f>R89+P88</f>
        <v>-385</v>
      </c>
    </row>
    <row r="90" spans="1:20" x14ac:dyDescent="0.3">
      <c r="A90" s="69"/>
      <c r="B90" s="70"/>
      <c r="C90">
        <f>IF($BP$15=4,$BU$15,0)</f>
        <v>0</v>
      </c>
      <c r="D90" s="4" t="s">
        <v>40</v>
      </c>
      <c r="E90" s="63">
        <v>122123200000</v>
      </c>
      <c r="F90">
        <f>_xlfn.XLOOKUP(E90,[1]Preisliste!$A$11:$A$156,[1]Preisliste!$B$11:$B$156)</f>
        <v>0</v>
      </c>
      <c r="G90" s="64">
        <f>_xlfn.XLOOKUP(E90,[1]Preisliste!$A$11:$A$156,[1]Preisliste!$E$11:$E$156)</f>
        <v>11.59</v>
      </c>
      <c r="H90" s="65">
        <f t="shared" si="2"/>
        <v>0</v>
      </c>
      <c r="I90" t="str">
        <f>_xlfn.XLOOKUP(E90,[1]Preisliste!$A$11:$A$156,[1]Preisliste!$C$11:$C$156)</f>
        <v>NFA2X 4x35² liefern/montieren</v>
      </c>
      <c r="J90">
        <f t="shared" si="4"/>
        <v>0</v>
      </c>
      <c r="R90">
        <f>R92-R89</f>
        <v>-185</v>
      </c>
    </row>
    <row r="91" spans="1:20" x14ac:dyDescent="0.3">
      <c r="A91" s="69"/>
      <c r="B91" s="70"/>
      <c r="C91" s="57">
        <f t="shared" ref="C91:C96" si="5">BK19</f>
        <v>0</v>
      </c>
      <c r="D91" s="4" t="s">
        <v>40</v>
      </c>
      <c r="E91" s="63">
        <v>122030500000</v>
      </c>
      <c r="F91">
        <f>_xlfn.XLOOKUP(E91,[1]Preisliste!$A$11:$A$156,[1]Preisliste!$B$11:$B$156)</f>
        <v>0</v>
      </c>
      <c r="G91" s="64">
        <f>_xlfn.XLOOKUP(E91,[1]Preisliste!$A$11:$A$156,[1]Preisliste!$E$11:$E$156)</f>
        <v>11.05</v>
      </c>
      <c r="H91" s="65">
        <f t="shared" si="2"/>
        <v>0</v>
      </c>
      <c r="I91" t="str">
        <f>_xlfn.XLOOKUP(E91,[1]Preisliste!$A$11:$A$156,[1]Preisliste!$C$11:$C$156)</f>
        <v>Kabel liefern/in Rohr einziehen</v>
      </c>
      <c r="J91">
        <f t="shared" si="4"/>
        <v>0</v>
      </c>
    </row>
    <row r="92" spans="1:20" x14ac:dyDescent="0.3">
      <c r="A92" s="69"/>
      <c r="B92" s="70"/>
      <c r="C92" s="57">
        <f t="shared" si="5"/>
        <v>0</v>
      </c>
      <c r="D92" s="4" t="s">
        <v>226</v>
      </c>
      <c r="E92" s="63">
        <v>122030700000</v>
      </c>
      <c r="F92" t="str">
        <f>_xlfn.XLOOKUP(E92,[1]Preisliste!$A$11:$A$156,[1]Preisliste!$B$11:$B$156)</f>
        <v>1.4.4</v>
      </c>
      <c r="G92" s="64">
        <f>_xlfn.XLOOKUP(E92,[1]Preisliste!$A$11:$A$156,[1]Preisliste!$E$11:$E$156)</f>
        <v>56.14</v>
      </c>
      <c r="H92" s="65">
        <f t="shared" si="2"/>
        <v>0</v>
      </c>
      <c r="I92" t="str">
        <f>_xlfn.XLOOKUP(E92,[1]Preisliste!$A$11:$A$156,[1]Preisliste!$C$11:$C$156)</f>
        <v>Verbindungsmuffe bis 5 x 16 mm² ohne AuS</v>
      </c>
      <c r="J92">
        <f t="shared" si="4"/>
        <v>0</v>
      </c>
      <c r="R92">
        <v>-800</v>
      </c>
      <c r="S92">
        <v>-800</v>
      </c>
      <c r="T92" t="s">
        <v>227</v>
      </c>
    </row>
    <row r="93" spans="1:20" x14ac:dyDescent="0.3">
      <c r="A93" s="69"/>
      <c r="B93" s="70"/>
      <c r="C93" s="57">
        <f t="shared" si="5"/>
        <v>0</v>
      </c>
      <c r="D93" s="4" t="s">
        <v>226</v>
      </c>
      <c r="E93" s="63">
        <v>122030900000</v>
      </c>
      <c r="F93" t="str">
        <f>_xlfn.XLOOKUP(E93,[1]Preisliste!$A$11:$A$156,[1]Preisliste!$B$11:$B$156)</f>
        <v>1.4.5</v>
      </c>
      <c r="G93" s="64">
        <f>_xlfn.XLOOKUP(E93,[1]Preisliste!$A$11:$A$156,[1]Preisliste!$E$11:$E$156)</f>
        <v>118.14</v>
      </c>
      <c r="H93" s="65">
        <f t="shared" si="2"/>
        <v>0</v>
      </c>
      <c r="I93" t="str">
        <f>_xlfn.XLOOKUP(E93,[1]Preisliste!$A$11:$A$156,[1]Preisliste!$C$11:$C$156)</f>
        <v>Abzweigmuffe ohne AuS</v>
      </c>
      <c r="J93">
        <f t="shared" si="4"/>
        <v>0</v>
      </c>
    </row>
    <row r="94" spans="1:20" x14ac:dyDescent="0.3">
      <c r="A94" s="69"/>
      <c r="B94" s="70"/>
      <c r="C94" s="57">
        <f t="shared" si="5"/>
        <v>0</v>
      </c>
      <c r="D94" s="4" t="s">
        <v>226</v>
      </c>
      <c r="E94" s="63">
        <v>122031100000</v>
      </c>
      <c r="F94" t="str">
        <f>_xlfn.XLOOKUP(E94,[1]Preisliste!$A$11:$A$156,[1]Preisliste!$B$11:$B$156)</f>
        <v>1.4.6</v>
      </c>
      <c r="G94" s="64">
        <f>_xlfn.XLOOKUP(E94,[1]Preisliste!$A$11:$A$156,[1]Preisliste!$E$11:$E$156)</f>
        <v>72.56</v>
      </c>
      <c r="H94" s="65">
        <f t="shared" si="2"/>
        <v>0</v>
      </c>
      <c r="I94" t="str">
        <f>_xlfn.XLOOKUP(E94,[1]Preisliste!$A$11:$A$156,[1]Preisliste!$C$11:$C$156)</f>
        <v>Kabelendverschluss herstellen ohne AuS</v>
      </c>
      <c r="J94">
        <f t="shared" si="4"/>
        <v>0</v>
      </c>
    </row>
    <row r="95" spans="1:20" x14ac:dyDescent="0.3">
      <c r="C95" s="57">
        <f t="shared" si="5"/>
        <v>0</v>
      </c>
      <c r="D95" s="4" t="s">
        <v>226</v>
      </c>
      <c r="E95" s="63">
        <v>122031300000</v>
      </c>
      <c r="F95" t="str">
        <f>_xlfn.XLOOKUP(E95,[1]Preisliste!$A$11:$A$156,[1]Preisliste!$B$11:$B$156)</f>
        <v>1.4.7</v>
      </c>
      <c r="G95" s="64">
        <f>_xlfn.XLOOKUP(E95,[1]Preisliste!$A$11:$A$156,[1]Preisliste!$E$11:$E$156)</f>
        <v>168.41</v>
      </c>
      <c r="H95" s="65">
        <f t="shared" si="2"/>
        <v>0</v>
      </c>
      <c r="I95" t="str">
        <f>_xlfn.XLOOKUP(E95,[1]Preisliste!$A$11:$A$156,[1]Preisliste!$C$11:$C$156)</f>
        <v>Rückbau Freileitungsanschluss für nicht benötigten LP</v>
      </c>
      <c r="J95">
        <f t="shared" si="4"/>
        <v>0</v>
      </c>
    </row>
    <row r="96" spans="1:20" x14ac:dyDescent="0.3">
      <c r="C96" s="57">
        <f t="shared" si="5"/>
        <v>0</v>
      </c>
      <c r="D96" s="4" t="s">
        <v>40</v>
      </c>
      <c r="E96" s="63">
        <v>122031500000</v>
      </c>
      <c r="F96" t="str">
        <f>_xlfn.XLOOKUP(E96,[1]Preisliste!$A$11:$A$156,[1]Preisliste!$B$11:$B$156)</f>
        <v>1.4.8</v>
      </c>
      <c r="G96" s="64">
        <f>_xlfn.XLOOKUP(E96,[1]Preisliste!$A$11:$A$156,[1]Preisliste!$E$11:$E$156)</f>
        <v>9.2100000000000009</v>
      </c>
      <c r="H96" s="65">
        <f t="shared" si="2"/>
        <v>0</v>
      </c>
      <c r="I96" t="str">
        <f>_xlfn.XLOOKUP(E96,[1]Preisliste!$A$11:$A$156,[1]Preisliste!$C$11:$C$156)</f>
        <v>Leerrohr 110 mm liefern u. verlegen</v>
      </c>
      <c r="J96">
        <f t="shared" si="4"/>
        <v>0</v>
      </c>
    </row>
    <row r="97" spans="1:10" x14ac:dyDescent="0.3">
      <c r="A97" s="67" t="s">
        <v>228</v>
      </c>
      <c r="G97" s="64"/>
      <c r="H97" s="65"/>
      <c r="J97">
        <f t="shared" si="4"/>
        <v>0</v>
      </c>
    </row>
    <row r="98" spans="1:10" x14ac:dyDescent="0.3">
      <c r="D98" s="4" t="s">
        <v>226</v>
      </c>
      <c r="E98" s="63">
        <v>122050100000</v>
      </c>
      <c r="F98" t="str">
        <f>_xlfn.XLOOKUP(E98,[1]Preisliste!$A$11:$A$156,[1]Preisliste!$B$11:$B$156)</f>
        <v>1.6.1</v>
      </c>
      <c r="G98" s="64">
        <f>_xlfn.XLOOKUP(E98,[1]Preisliste!$A$11:$A$156,[1]Preisliste!$E$11:$E$156)</f>
        <v>9.82</v>
      </c>
      <c r="H98" s="65">
        <f t="shared" si="2"/>
        <v>0</v>
      </c>
      <c r="I98" t="str">
        <f>_xlfn.XLOOKUP(E98,[1]Preisliste!$A$11:$A$156,[1]Preisliste!$C$11:$C$156)</f>
        <v>Masterdung für bestehende Masten</v>
      </c>
      <c r="J98">
        <f t="shared" si="4"/>
        <v>0</v>
      </c>
    </row>
    <row r="99" spans="1:10" x14ac:dyDescent="0.3">
      <c r="D99" s="4" t="s">
        <v>226</v>
      </c>
      <c r="E99" s="63">
        <v>122050300000</v>
      </c>
      <c r="F99" t="str">
        <f>_xlfn.XLOOKUP(E99,[1]Preisliste!$A$11:$A$156,[1]Preisliste!$B$11:$B$156)</f>
        <v>1.6.2</v>
      </c>
      <c r="G99" s="64">
        <f>_xlfn.XLOOKUP(E99,[1]Preisliste!$A$11:$A$156,[1]Preisliste!$E$11:$E$156)</f>
        <v>11.23</v>
      </c>
      <c r="H99" s="65">
        <f t="shared" si="2"/>
        <v>0</v>
      </c>
      <c r="I99" t="str">
        <f>_xlfn.XLOOKUP(E99,[1]Preisliste!$A$11:$A$156,[1]Preisliste!$C$11:$C$156)</f>
        <v>Mastnummernkennzeichnung erstellen</v>
      </c>
      <c r="J99">
        <f t="shared" si="4"/>
        <v>0</v>
      </c>
    </row>
    <row r="100" spans="1:10" x14ac:dyDescent="0.3">
      <c r="D100" s="4" t="s">
        <v>226</v>
      </c>
      <c r="E100" s="63">
        <v>122122700000</v>
      </c>
      <c r="F100">
        <f>_xlfn.XLOOKUP(E100,[1]Preisliste!$A$11:$A$156,[1]Preisliste!$B$11:$B$156)</f>
        <v>0</v>
      </c>
      <c r="G100" s="64">
        <f>_xlfn.XLOOKUP(E100,[1]Preisliste!$A$11:$A$156,[1]Preisliste!$E$11:$E$156)</f>
        <v>136.52000000000001</v>
      </c>
      <c r="H100" s="65">
        <f t="shared" si="2"/>
        <v>0</v>
      </c>
      <c r="I100" t="str">
        <f>_xlfn.XLOOKUP(E100,[1]Preisliste!$A$11:$A$156,[1]Preisliste!$C$11:$C$156)</f>
        <v>Montage Tiefenerder (V4A)</v>
      </c>
      <c r="J100">
        <f t="shared" si="4"/>
        <v>0</v>
      </c>
    </row>
    <row r="101" spans="1:10" x14ac:dyDescent="0.3">
      <c r="D101" s="4" t="s">
        <v>226</v>
      </c>
      <c r="E101" s="63">
        <v>122122800000</v>
      </c>
      <c r="F101">
        <f>_xlfn.XLOOKUP(E101,[1]Preisliste!$A$11:$A$156,[1]Preisliste!$B$11:$B$156)</f>
        <v>0</v>
      </c>
      <c r="G101" s="64">
        <f>_xlfn.XLOOKUP(E101,[1]Preisliste!$A$11:$A$156,[1]Preisliste!$E$11:$E$156)</f>
        <v>56.52</v>
      </c>
      <c r="H101" s="65">
        <f t="shared" si="2"/>
        <v>0</v>
      </c>
      <c r="I101" t="str">
        <f>_xlfn.XLOOKUP(E101,[1]Preisliste!$A$11:$A$156,[1]Preisliste!$C$11:$C$156)</f>
        <v>Zulage je weitere erdungsstange V4A 1,5</v>
      </c>
      <c r="J101">
        <f t="shared" si="4"/>
        <v>0</v>
      </c>
    </row>
    <row r="102" spans="1:10" x14ac:dyDescent="0.3">
      <c r="D102" s="4" t="s">
        <v>226</v>
      </c>
      <c r="E102" s="63">
        <v>122122900000</v>
      </c>
      <c r="F102">
        <f>_xlfn.XLOOKUP(E102,[1]Preisliste!$A$11:$A$156,[1]Preisliste!$B$11:$B$156)</f>
        <v>0</v>
      </c>
      <c r="G102" s="64">
        <f>_xlfn.XLOOKUP(E102,[1]Preisliste!$A$11:$A$156,[1]Preisliste!$E$11:$E$156)</f>
        <v>59.93</v>
      </c>
      <c r="H102" s="65">
        <f t="shared" si="2"/>
        <v>0</v>
      </c>
      <c r="I102" t="str">
        <f>_xlfn.XLOOKUP(E102,[1]Preisliste!$A$11:$A$156,[1]Preisliste!$C$11:$C$156)</f>
        <v>Erdungsmessung inkl. Protokoll</v>
      </c>
      <c r="J102">
        <f t="shared" si="4"/>
        <v>0</v>
      </c>
    </row>
    <row r="103" spans="1:10" x14ac:dyDescent="0.3">
      <c r="D103" s="4" t="s">
        <v>226</v>
      </c>
      <c r="E103" s="63">
        <v>122123000000</v>
      </c>
      <c r="F103">
        <f>_xlfn.XLOOKUP(E103,[1]Preisliste!$A$11:$A$156,[1]Preisliste!$B$11:$B$156)</f>
        <v>0</v>
      </c>
      <c r="G103" s="64">
        <f>_xlfn.XLOOKUP(E103,[1]Preisliste!$A$11:$A$156,[1]Preisliste!$E$11:$E$156)</f>
        <v>134.19999999999999</v>
      </c>
      <c r="H103" s="65">
        <f t="shared" si="2"/>
        <v>0</v>
      </c>
      <c r="I103" t="str">
        <f>_xlfn.XLOOKUP(E103,[1]Preisliste!$A$11:$A$156,[1]Preisliste!$C$11:$C$156)</f>
        <v>Pauschale Tiefbau für Tiefenerder</v>
      </c>
      <c r="J103">
        <f t="shared" si="4"/>
        <v>0</v>
      </c>
    </row>
    <row r="104" spans="1:10" x14ac:dyDescent="0.3">
      <c r="D104" s="4" t="s">
        <v>226</v>
      </c>
      <c r="E104" s="63">
        <v>122123100000</v>
      </c>
      <c r="F104">
        <f>_xlfn.XLOOKUP(E104,[1]Preisliste!$A$11:$A$156,[1]Preisliste!$B$11:$B$156)</f>
        <v>0</v>
      </c>
      <c r="G104" s="64">
        <f>_xlfn.XLOOKUP(E104,[1]Preisliste!$A$11:$A$156,[1]Preisliste!$E$11:$E$156)</f>
        <v>61.6</v>
      </c>
      <c r="H104" s="65">
        <f t="shared" si="2"/>
        <v>0</v>
      </c>
      <c r="I104" t="str">
        <f>_xlfn.XLOOKUP(E104,[1]Preisliste!$A$11:$A$156,[1]Preisliste!$C$11:$C$156)</f>
        <v>Pauschale An und Abfahrt Tiefenerder</v>
      </c>
      <c r="J104">
        <f t="shared" si="4"/>
        <v>0</v>
      </c>
    </row>
    <row r="105" spans="1:10" x14ac:dyDescent="0.3">
      <c r="D105" s="4" t="s">
        <v>226</v>
      </c>
      <c r="E105" s="63">
        <v>122050500000</v>
      </c>
      <c r="F105" t="str">
        <f>_xlfn.XLOOKUP(E105,[1]Preisliste!$A$11:$A$156,[1]Preisliste!$B$11:$B$156)</f>
        <v>1.6.3</v>
      </c>
      <c r="G105" s="64">
        <f>_xlfn.XLOOKUP(E105,[1]Preisliste!$A$11:$A$156,[1]Preisliste!$E$11:$E$156)</f>
        <v>337</v>
      </c>
      <c r="H105" s="65">
        <f t="shared" si="2"/>
        <v>0</v>
      </c>
      <c r="I105" t="str">
        <f>_xlfn.XLOOKUP(E105,[1]Preisliste!$A$11:$A$156,[1]Preisliste!$C$11:$C$156)</f>
        <v>Mastanschlusskasten mit Maststeckdose</v>
      </c>
      <c r="J105">
        <f t="shared" si="4"/>
        <v>0</v>
      </c>
    </row>
    <row r="106" spans="1:10" x14ac:dyDescent="0.3">
      <c r="A106" s="67" t="s">
        <v>229</v>
      </c>
      <c r="D106" s="4"/>
      <c r="E106" s="63"/>
      <c r="G106" s="64"/>
      <c r="H106" s="65"/>
      <c r="J106">
        <f t="shared" si="4"/>
        <v>0</v>
      </c>
    </row>
    <row r="107" spans="1:10" x14ac:dyDescent="0.3">
      <c r="C107" s="71">
        <f>IF($BP$20=1,1,0)</f>
        <v>0</v>
      </c>
      <c r="D107" s="4" t="s">
        <v>226</v>
      </c>
      <c r="E107" s="63">
        <v>122060100000</v>
      </c>
      <c r="F107" t="str">
        <f>_xlfn.XLOOKUP(E107,[1]Preisliste!$A$11:$A$156,[1]Preisliste!$B$11:$B$156)</f>
        <v>1.7.1</v>
      </c>
      <c r="G107" s="64">
        <f>_xlfn.XLOOKUP(E107,[1]Preisliste!$A$11:$A$156,[1]Preisliste!$E$11:$E$156)</f>
        <v>111.7</v>
      </c>
      <c r="H107" s="65">
        <f t="shared" si="2"/>
        <v>0</v>
      </c>
      <c r="I107" t="str">
        <f>_xlfn.XLOOKUP(E107,[1]Preisliste!$A$11:$A$156,[1]Preisliste!$C$11:$C$156)</f>
        <v>Aufsatzausleger 1-fach 1,5 m bis LPH 10 m</v>
      </c>
      <c r="J107">
        <f t="shared" si="4"/>
        <v>0</v>
      </c>
    </row>
    <row r="108" spans="1:10" x14ac:dyDescent="0.3">
      <c r="C108" s="71">
        <f>IF($BP$20=2,1,0)</f>
        <v>1</v>
      </c>
      <c r="D108" s="4" t="s">
        <v>226</v>
      </c>
      <c r="E108" s="63">
        <v>122060300000</v>
      </c>
      <c r="F108" t="str">
        <f>_xlfn.XLOOKUP(E108,[1]Preisliste!$A$11:$A$156,[1]Preisliste!$B$11:$B$156)</f>
        <v>1.7.2</v>
      </c>
      <c r="G108" s="64">
        <f>_xlfn.XLOOKUP(E108,[1]Preisliste!$A$11:$A$156,[1]Preisliste!$E$11:$E$156)</f>
        <v>137.85</v>
      </c>
      <c r="H108" s="65">
        <f t="shared" si="2"/>
        <v>137.85</v>
      </c>
      <c r="I108" t="str">
        <f>_xlfn.XLOOKUP(E108,[1]Preisliste!$A$11:$A$156,[1]Preisliste!$C$11:$C$156)</f>
        <v>Aufsatzausleger 2-fach 1,5 m bis LPH 10 m</v>
      </c>
      <c r="J108">
        <f t="shared" si="4"/>
        <v>1</v>
      </c>
    </row>
    <row r="109" spans="1:10" x14ac:dyDescent="0.3">
      <c r="C109" s="71">
        <f>IF($BP$20=3,1,0)</f>
        <v>0</v>
      </c>
      <c r="D109" s="4" t="s">
        <v>226</v>
      </c>
      <c r="E109" s="63">
        <v>122060500000</v>
      </c>
      <c r="F109" t="str">
        <f>_xlfn.XLOOKUP(E109,[1]Preisliste!$A$11:$A$156,[1]Preisliste!$B$11:$B$156)</f>
        <v>1.7.3</v>
      </c>
      <c r="G109" s="64">
        <f>_xlfn.XLOOKUP(E109,[1]Preisliste!$A$11:$A$156,[1]Preisliste!$E$11:$E$156)</f>
        <v>178.71</v>
      </c>
      <c r="H109" s="65">
        <f t="shared" si="2"/>
        <v>0</v>
      </c>
      <c r="I109" t="str">
        <f>_xlfn.XLOOKUP(E109,[1]Preisliste!$A$11:$A$156,[1]Preisliste!$C$11:$C$156)</f>
        <v>Aufsatzausleger 3-fach 1,0 m bis LPH 10 m</v>
      </c>
      <c r="J109">
        <f t="shared" si="4"/>
        <v>0</v>
      </c>
    </row>
    <row r="110" spans="1:10" x14ac:dyDescent="0.3">
      <c r="C110" s="71">
        <f>IF($BP$20=4,1,0)</f>
        <v>0</v>
      </c>
      <c r="D110" s="4" t="s">
        <v>226</v>
      </c>
      <c r="E110" s="63">
        <v>122060700000</v>
      </c>
      <c r="F110" t="str">
        <f>_xlfn.XLOOKUP(E110,[1]Preisliste!$A$11:$A$156,[1]Preisliste!$B$11:$B$156)</f>
        <v>1.7.4</v>
      </c>
      <c r="G110" s="64">
        <f>_xlfn.XLOOKUP(E110,[1]Preisliste!$A$11:$A$156,[1]Preisliste!$E$11:$E$156)</f>
        <v>198.46</v>
      </c>
      <c r="H110" s="65">
        <f t="shared" si="2"/>
        <v>0</v>
      </c>
      <c r="I110" t="str">
        <f>_xlfn.XLOOKUP(E110,[1]Preisliste!$A$11:$A$156,[1]Preisliste!$C$11:$C$156)</f>
        <v>Aufsatzausleger 3-fach 1,5 m bis LPH 10 m</v>
      </c>
      <c r="J110">
        <f t="shared" si="4"/>
        <v>0</v>
      </c>
    </row>
    <row r="111" spans="1:10" x14ac:dyDescent="0.3">
      <c r="D111" s="4" t="s">
        <v>226</v>
      </c>
      <c r="E111" s="63">
        <v>122060900000</v>
      </c>
      <c r="F111" t="str">
        <f>_xlfn.XLOOKUP(E111,[1]Preisliste!$A$11:$A$156,[1]Preisliste!$B$11:$B$156)</f>
        <v>1.7.5</v>
      </c>
      <c r="G111" s="64">
        <f>_xlfn.XLOOKUP(E111,[1]Preisliste!$A$11:$A$156,[1]Preisliste!$E$11:$E$156)</f>
        <v>299.95999999999998</v>
      </c>
      <c r="H111" s="65">
        <f t="shared" si="2"/>
        <v>0</v>
      </c>
      <c r="I111" t="str">
        <f>_xlfn.XLOOKUP(E111,[1]Preisliste!$A$11:$A$156,[1]Preisliste!$C$11:$C$156)</f>
        <v>Mastausleger für Freileitungsmast liefern u. montieren</v>
      </c>
      <c r="J111">
        <f>IF(SUM(J107:J110)=0,1,(SUM(J107:J110)))</f>
        <v>1</v>
      </c>
    </row>
    <row r="112" spans="1:10" x14ac:dyDescent="0.3">
      <c r="D112" s="4"/>
      <c r="E112" s="63"/>
      <c r="G112" s="64"/>
      <c r="H112" s="65"/>
      <c r="J112">
        <f t="shared" si="4"/>
        <v>0</v>
      </c>
    </row>
    <row r="113" spans="1:65" x14ac:dyDescent="0.3">
      <c r="D113" s="4" t="s">
        <v>226</v>
      </c>
      <c r="E113" s="63">
        <v>101030300000</v>
      </c>
      <c r="F113" t="str">
        <f>_xlfn.XLOOKUP(E113,[1]Preisliste!$A$11:$A$156,[1]Preisliste!$B$11:$B$156)</f>
        <v>1.8.1</v>
      </c>
      <c r="G113" s="64">
        <f>_xlfn.XLOOKUP(E113,[1]Preisliste!$A$11:$A$156,[1]Preisliste!$E$11:$E$156)</f>
        <v>0</v>
      </c>
      <c r="H113" s="65">
        <f t="shared" si="2"/>
        <v>0</v>
      </c>
      <c r="I113" t="str">
        <f>_xlfn.XLOOKUP(E113,[1]Preisliste!$A$11:$A$156,[1]Preisliste!$C$11:$C$156)</f>
        <v>Aluminiumgussmast 2,65m</v>
      </c>
      <c r="J113">
        <f t="shared" si="4"/>
        <v>0</v>
      </c>
    </row>
    <row r="114" spans="1:65" x14ac:dyDescent="0.3">
      <c r="D114" s="4" t="s">
        <v>226</v>
      </c>
      <c r="E114" s="63">
        <v>441420000001</v>
      </c>
      <c r="F114" t="str">
        <f>_xlfn.XLOOKUP(E114,[1]Preisliste!$A$11:$A$156,[1]Preisliste!$B$11:$B$156)</f>
        <v>1.8.2</v>
      </c>
      <c r="G114" s="64">
        <f>_xlfn.XLOOKUP(E114,[1]Preisliste!$A$11:$A$156,[1]Preisliste!$E$11:$E$156)</f>
        <v>0</v>
      </c>
      <c r="H114" s="65">
        <f t="shared" si="2"/>
        <v>0</v>
      </c>
      <c r="I114" t="str">
        <f>_xlfn.XLOOKUP(E114,[1]Preisliste!$A$11:$A$156,[1]Preisliste!$C$11:$C$156)</f>
        <v>Leiterstütze nach historischem Vorbild</v>
      </c>
      <c r="J114">
        <f t="shared" si="4"/>
        <v>0</v>
      </c>
    </row>
    <row r="115" spans="1:65" x14ac:dyDescent="0.3">
      <c r="D115" s="4" t="s">
        <v>226</v>
      </c>
      <c r="E115" s="63">
        <v>441421000001</v>
      </c>
      <c r="F115" t="str">
        <f>_xlfn.XLOOKUP(E115,[1]Preisliste!$A$11:$A$156,[1]Preisliste!$B$11:$B$156)</f>
        <v>1.8.3</v>
      </c>
      <c r="G115" s="64">
        <f>_xlfn.XLOOKUP(E115,[1]Preisliste!$A$11:$A$156,[1]Preisliste!$E$11:$E$156)</f>
        <v>0</v>
      </c>
      <c r="H115" s="65">
        <f t="shared" si="2"/>
        <v>0</v>
      </c>
      <c r="I115" t="str">
        <f>_xlfn.XLOOKUP(E115,[1]Preisliste!$A$11:$A$156,[1]Preisliste!$C$11:$C$156)</f>
        <v>Erdstücke</v>
      </c>
      <c r="J115">
        <f t="shared" si="4"/>
        <v>0</v>
      </c>
    </row>
    <row r="116" spans="1:65" x14ac:dyDescent="0.3">
      <c r="A116" s="67" t="s">
        <v>230</v>
      </c>
      <c r="D116" s="4"/>
      <c r="E116" s="63"/>
      <c r="G116" s="64"/>
      <c r="H116" s="65"/>
      <c r="J116">
        <f t="shared" si="4"/>
        <v>0</v>
      </c>
    </row>
    <row r="117" spans="1:65" x14ac:dyDescent="0.3">
      <c r="D117" s="4" t="s">
        <v>226</v>
      </c>
      <c r="E117" s="63">
        <v>122070100000</v>
      </c>
      <c r="F117" t="str">
        <f>_xlfn.XLOOKUP(E117,[1]Preisliste!$A$11:$A$156,[1]Preisliste!$B$11:$B$156)</f>
        <v>1.9.1</v>
      </c>
      <c r="G117" s="64">
        <f>_xlfn.XLOOKUP(E117,[1]Preisliste!$A$11:$A$156,[1]Preisliste!$E$11:$E$156)</f>
        <v>79.53</v>
      </c>
      <c r="H117" s="65">
        <f t="shared" si="2"/>
        <v>0</v>
      </c>
      <c r="I117" t="str">
        <f>_xlfn.XLOOKUP(E117,[1]Preisliste!$A$11:$A$156,[1]Preisliste!$C$11:$C$156)</f>
        <v>Kabelübergangskasten ohne AuS</v>
      </c>
      <c r="J117">
        <f t="shared" si="4"/>
        <v>0</v>
      </c>
    </row>
    <row r="118" spans="1:65" x14ac:dyDescent="0.3">
      <c r="A118" s="67" t="s">
        <v>231</v>
      </c>
      <c r="D118" s="4"/>
      <c r="E118" s="63"/>
      <c r="G118" s="64"/>
      <c r="H118" s="65"/>
      <c r="J118">
        <f t="shared" si="4"/>
        <v>0</v>
      </c>
    </row>
    <row r="119" spans="1:65" x14ac:dyDescent="0.3">
      <c r="C119">
        <f>IF($BP$25=1,1*J111,0)</f>
        <v>0</v>
      </c>
      <c r="D119" s="4" t="s">
        <v>226</v>
      </c>
      <c r="E119" s="63">
        <v>122080100000</v>
      </c>
      <c r="F119">
        <f>_xlfn.XLOOKUP(E119,[1]Preisliste!$A$11:$A$156,[1]Preisliste!$B$11:$B$156)</f>
        <v>0</v>
      </c>
      <c r="G119" s="64">
        <f>_xlfn.XLOOKUP(E119,[1]Preisliste!$A$11:$A$156,[1]Preisliste!$E$11:$E$156)</f>
        <v>37.78</v>
      </c>
      <c r="H119" s="65">
        <f t="shared" si="2"/>
        <v>0</v>
      </c>
      <c r="I119" t="str">
        <f>_xlfn.XLOOKUP(E119,[1]Preisliste!$A$11:$A$156,[1]Preisliste!$C$11:$C$156)</f>
        <v>Mont. Micro Luma</v>
      </c>
      <c r="J119">
        <f t="shared" si="4"/>
        <v>0</v>
      </c>
    </row>
    <row r="120" spans="1:65" x14ac:dyDescent="0.3">
      <c r="C120">
        <f>IF($BP$25=2,1*J111,0)</f>
        <v>0</v>
      </c>
      <c r="D120" s="4" t="s">
        <v>226</v>
      </c>
      <c r="E120" s="63">
        <v>122080300000</v>
      </c>
      <c r="F120">
        <f>_xlfn.XLOOKUP(E120,[1]Preisliste!$A$11:$A$156,[1]Preisliste!$B$11:$B$156)</f>
        <v>0</v>
      </c>
      <c r="G120" s="64">
        <f>_xlfn.XLOOKUP(E120,[1]Preisliste!$A$11:$A$156,[1]Preisliste!$E$11:$E$156)</f>
        <v>38.86</v>
      </c>
      <c r="H120" s="65">
        <f t="shared" ref="H120:H140" si="6">IF(C120="",0,C120*G120)</f>
        <v>0</v>
      </c>
      <c r="I120" t="str">
        <f>_xlfn.XLOOKUP(E120,[1]Preisliste!$A$11:$A$156,[1]Preisliste!$C$11:$C$156)</f>
        <v>Mont. Mini Luma</v>
      </c>
      <c r="J120">
        <f t="shared" si="4"/>
        <v>0</v>
      </c>
    </row>
    <row r="121" spans="1:65" x14ac:dyDescent="0.3">
      <c r="C121">
        <f>IF($BP$25=3,1*J111,0)</f>
        <v>1</v>
      </c>
      <c r="D121" s="4" t="s">
        <v>226</v>
      </c>
      <c r="E121" s="63">
        <v>122080500000</v>
      </c>
      <c r="F121">
        <f>_xlfn.XLOOKUP(E121,[1]Preisliste!$A$11:$A$156,[1]Preisliste!$B$11:$B$156)</f>
        <v>0</v>
      </c>
      <c r="G121" s="64">
        <f>_xlfn.XLOOKUP(E121,[1]Preisliste!$A$11:$A$156,[1]Preisliste!$E$11:$E$156)</f>
        <v>41.02</v>
      </c>
      <c r="H121" s="65">
        <f t="shared" si="6"/>
        <v>41.02</v>
      </c>
      <c r="I121" t="str">
        <f>_xlfn.XLOOKUP(E121,[1]Preisliste!$A$11:$A$156,[1]Preisliste!$C$11:$C$156)</f>
        <v>Mont. Luma</v>
      </c>
      <c r="J121">
        <f t="shared" si="4"/>
        <v>1</v>
      </c>
    </row>
    <row r="122" spans="1:65" x14ac:dyDescent="0.3">
      <c r="C122">
        <f>IF($BP$25=4,1*J111,0)</f>
        <v>0</v>
      </c>
      <c r="D122" s="4" t="s">
        <v>226</v>
      </c>
      <c r="E122" s="63">
        <v>122080700000</v>
      </c>
      <c r="F122">
        <f>_xlfn.XLOOKUP(E122,[1]Preisliste!$A$11:$A$156,[1]Preisliste!$B$11:$B$156)</f>
        <v>0</v>
      </c>
      <c r="G122" s="64">
        <f>_xlfn.XLOOKUP(E122,[1]Preisliste!$A$11:$A$156,[1]Preisliste!$E$11:$E$156)</f>
        <v>96.08</v>
      </c>
      <c r="H122" s="65">
        <f t="shared" si="6"/>
        <v>0</v>
      </c>
      <c r="I122" t="str">
        <f>_xlfn.XLOOKUP(E122,[1]Preisliste!$A$11:$A$156,[1]Preisliste!$C$11:$C$156)</f>
        <v>Mont. FGÜ Mini Luma</v>
      </c>
      <c r="J122">
        <f t="shared" si="4"/>
        <v>0</v>
      </c>
    </row>
    <row r="123" spans="1:65" x14ac:dyDescent="0.3">
      <c r="C123">
        <f>IF($BP$25=5,1*J111,0)</f>
        <v>0</v>
      </c>
      <c r="D123" s="4" t="s">
        <v>226</v>
      </c>
      <c r="E123" s="63">
        <v>122080900000</v>
      </c>
      <c r="F123">
        <f>_xlfn.XLOOKUP(E123,[1]Preisliste!$A$11:$A$156,[1]Preisliste!$B$11:$B$156)</f>
        <v>0</v>
      </c>
      <c r="G123" s="64">
        <f>_xlfn.XLOOKUP(E123,[1]Preisliste!$A$11:$A$156,[1]Preisliste!$E$11:$E$156)</f>
        <v>43.18</v>
      </c>
      <c r="H123" s="65">
        <f t="shared" si="6"/>
        <v>0</v>
      </c>
      <c r="I123" t="str">
        <f>_xlfn.XLOOKUP(E123,[1]Preisliste!$A$11:$A$156,[1]Preisliste!$C$11:$C$156)</f>
        <v>Mont. Trilux Publisca</v>
      </c>
      <c r="J123">
        <f t="shared" si="4"/>
        <v>0</v>
      </c>
    </row>
    <row r="124" spans="1:65" x14ac:dyDescent="0.3">
      <c r="C124">
        <f>IF($BP$25=6,1*J111,0)</f>
        <v>0</v>
      </c>
      <c r="D124" s="4" t="s">
        <v>226</v>
      </c>
      <c r="E124" s="63">
        <v>122081100000</v>
      </c>
      <c r="F124">
        <f>_xlfn.XLOOKUP(E124,[1]Preisliste!$A$11:$A$156,[1]Preisliste!$B$11:$B$156)</f>
        <v>0</v>
      </c>
      <c r="G124" s="64">
        <f>_xlfn.XLOOKUP(E124,[1]Preisliste!$A$11:$A$156,[1]Preisliste!$E$11:$E$156)</f>
        <v>45.34</v>
      </c>
      <c r="H124" s="65">
        <f t="shared" si="6"/>
        <v>0</v>
      </c>
      <c r="I124" t="str">
        <f>_xlfn.XLOOKUP(E124,[1]Preisliste!$A$11:$A$156,[1]Preisliste!$C$11:$C$156)</f>
        <v>Mont. Nordeon Vulkan V3458</v>
      </c>
      <c r="J124">
        <f t="shared" si="4"/>
        <v>0</v>
      </c>
    </row>
    <row r="125" spans="1:65" x14ac:dyDescent="0.3">
      <c r="C125">
        <f>IF($BP$25=7,1*J111,0)</f>
        <v>0</v>
      </c>
      <c r="D125" s="4" t="s">
        <v>226</v>
      </c>
      <c r="E125" s="63">
        <v>120813000000</v>
      </c>
      <c r="F125">
        <f>_xlfn.XLOOKUP(E125,[1]Preisliste!$A$11:$A$156,[1]Preisliste!$B$11:$B$156)</f>
        <v>0</v>
      </c>
      <c r="G125" s="64">
        <f>_xlfn.XLOOKUP(E125,[1]Preisliste!$A$11:$A$156,[1]Preisliste!$E$11:$E$156)</f>
        <v>100.44</v>
      </c>
      <c r="H125" s="65">
        <f t="shared" si="6"/>
        <v>0</v>
      </c>
      <c r="I125" t="str">
        <f>_xlfn.XLOOKUP(E125,[1]Preisliste!$A$11:$A$156,[1]Preisliste!$C$11:$C$156)</f>
        <v>Mont. Hahn-Licht</v>
      </c>
      <c r="J125">
        <f t="shared" si="4"/>
        <v>0</v>
      </c>
    </row>
    <row r="126" spans="1:65" x14ac:dyDescent="0.3">
      <c r="C126">
        <f>IF($BP$25=8,1*J111,0)</f>
        <v>0</v>
      </c>
      <c r="D126" s="4" t="s">
        <v>226</v>
      </c>
      <c r="E126" s="63">
        <v>122120700000</v>
      </c>
      <c r="F126">
        <f>_xlfn.XLOOKUP(E126,[1]Preisliste!$A$11:$A$156,[1]Preisliste!$B$11:$B$156)</f>
        <v>0</v>
      </c>
      <c r="G126" s="64">
        <f>_xlfn.XLOOKUP(E126,[1]Preisliste!$A$11:$A$156,[1]Preisliste!$E$11:$E$156)</f>
        <v>57.53</v>
      </c>
      <c r="H126" s="65">
        <f t="shared" si="6"/>
        <v>0</v>
      </c>
      <c r="I126" t="str">
        <f>_xlfn.XLOOKUP(E126,[1]Preisliste!$A$11:$A$156,[1]Preisliste!$C$11:$C$156)</f>
        <v>Leuchtenmontage o. Material</v>
      </c>
      <c r="J126">
        <f t="shared" si="4"/>
        <v>0</v>
      </c>
    </row>
    <row r="127" spans="1:65" ht="15.6" x14ac:dyDescent="0.3">
      <c r="C127">
        <f>IF($BP$25=9,1*J111,0)</f>
        <v>0</v>
      </c>
      <c r="D127" s="4" t="s">
        <v>226</v>
      </c>
      <c r="E127" s="63">
        <v>122121900000</v>
      </c>
      <c r="F127">
        <f>_xlfn.XLOOKUP(E127,[1]Preisliste!$A$11:$A$156,[1]Preisliste!$B$11:$B$156)</f>
        <v>0</v>
      </c>
      <c r="G127" s="64">
        <f>_xlfn.XLOOKUP(E127,[1]Preisliste!$A$11:$A$156,[1]Preisliste!$E$11:$E$156)</f>
        <v>51.86</v>
      </c>
      <c r="H127" s="65">
        <f t="shared" si="6"/>
        <v>0</v>
      </c>
      <c r="I127" t="str">
        <f>_xlfn.XLOOKUP(E127,[1]Preisliste!$A$11:$A$156,[1]Preisliste!$C$11:$C$156)</f>
        <v>Blendeneinbau Vulkan</v>
      </c>
      <c r="J127">
        <f t="shared" si="4"/>
        <v>0</v>
      </c>
      <c r="BM127" s="72" t="s">
        <v>232</v>
      </c>
    </row>
    <row r="128" spans="1:65" x14ac:dyDescent="0.3">
      <c r="C128">
        <f>IF($BP$25=10,1*J111,0)</f>
        <v>0</v>
      </c>
      <c r="D128" s="4" t="s">
        <v>226</v>
      </c>
      <c r="E128" s="63">
        <v>122122500000</v>
      </c>
      <c r="F128">
        <f>_xlfn.XLOOKUP(E128,[1]Preisliste!$A$11:$A$156,[1]Preisliste!$B$11:$B$156)</f>
        <v>0</v>
      </c>
      <c r="G128" s="64">
        <f>_xlfn.XLOOKUP(E128,[1]Preisliste!$A$11:$A$156,[1]Preisliste!$E$11:$E$156)</f>
        <v>51.86</v>
      </c>
      <c r="H128" s="65">
        <f t="shared" si="6"/>
        <v>0</v>
      </c>
      <c r="I128" t="str">
        <f>_xlfn.XLOOKUP(E128,[1]Preisliste!$A$11:$A$156,[1]Preisliste!$C$11:$C$156)</f>
        <v>Austausch Vulkan Leuchtendach</v>
      </c>
      <c r="J128">
        <f t="shared" si="4"/>
        <v>0</v>
      </c>
    </row>
    <row r="129" spans="3:13" x14ac:dyDescent="0.3">
      <c r="C129">
        <f>IF($BP$25=11,1*J111,0)</f>
        <v>0</v>
      </c>
      <c r="D129" s="4" t="s">
        <v>226</v>
      </c>
      <c r="E129" s="63">
        <v>122124200000</v>
      </c>
      <c r="F129">
        <f>_xlfn.XLOOKUP(E129,[1]Preisliste!$A$11:$A$156,[1]Preisliste!$B$11:$B$156)</f>
        <v>0</v>
      </c>
      <c r="G129" s="64">
        <f>_xlfn.XLOOKUP(E129,[1]Preisliste!$A$11:$A$156,[1]Preisliste!$E$11:$E$156)</f>
        <v>60.83</v>
      </c>
      <c r="H129" s="65">
        <f t="shared" si="6"/>
        <v>0</v>
      </c>
      <c r="I129" t="str">
        <f>_xlfn.XLOOKUP(E129,[1]Preisliste!$A$11:$A$156,[1]Preisliste!$C$11:$C$156)</f>
        <v>Isol. Klemme Leuchtenanschluss</v>
      </c>
      <c r="J129">
        <f t="shared" si="4"/>
        <v>0</v>
      </c>
    </row>
    <row r="130" spans="3:13" x14ac:dyDescent="0.3">
      <c r="C130">
        <f>IF($BP$25=12,1*J111,0)</f>
        <v>0</v>
      </c>
      <c r="D130" s="4" t="s">
        <v>226</v>
      </c>
      <c r="E130" s="63">
        <v>101030306000</v>
      </c>
      <c r="F130" t="str">
        <f>_xlfn.XLOOKUP(E130,[1]Preisliste!$A$11:$A$156,[1]Preisliste!$B$11:$B$156)</f>
        <v>1.10.1</v>
      </c>
      <c r="G130" s="64">
        <f>_xlfn.XLOOKUP(E130,[1]Preisliste!$A$11:$A$156,[1]Preisliste!$E$11:$E$156)</f>
        <v>37.78</v>
      </c>
      <c r="H130" s="65">
        <f t="shared" si="6"/>
        <v>0</v>
      </c>
      <c r="I130" t="str">
        <f>_xlfn.XLOOKUP(E130,[1]Preisliste!$A$11:$A$156,[1]Preisliste!$C$11:$C$156)</f>
        <v>Technische LED-Außenleuchte für Anliegerstraßen</v>
      </c>
      <c r="J130">
        <f t="shared" si="4"/>
        <v>0</v>
      </c>
    </row>
    <row r="131" spans="3:13" x14ac:dyDescent="0.3">
      <c r="C131">
        <f>IF($BP$25=13,1*J111,0)</f>
        <v>0</v>
      </c>
      <c r="D131" s="4" t="s">
        <v>226</v>
      </c>
      <c r="E131" s="63">
        <v>101030307000</v>
      </c>
      <c r="F131" t="str">
        <f>_xlfn.XLOOKUP(E131,[1]Preisliste!$A$11:$A$156,[1]Preisliste!$B$11:$B$156)</f>
        <v>1.10.2</v>
      </c>
      <c r="G131" s="64">
        <f>_xlfn.XLOOKUP(E131,[1]Preisliste!$A$11:$A$156,[1]Preisliste!$E$11:$E$156)</f>
        <v>38.86</v>
      </c>
      <c r="H131" s="65">
        <f t="shared" si="6"/>
        <v>0</v>
      </c>
      <c r="I131" t="str">
        <f>_xlfn.XLOOKUP(E131,[1]Preisliste!$A$11:$A$156,[1]Preisliste!$C$11:$C$156)</f>
        <v>Technische LED-Außenleuchte für Haupterschließungsstraßen</v>
      </c>
      <c r="J131">
        <f t="shared" si="4"/>
        <v>0</v>
      </c>
    </row>
    <row r="132" spans="3:13" x14ac:dyDescent="0.3">
      <c r="C132">
        <f>IF($BP$25=14,1*J111,0)</f>
        <v>0</v>
      </c>
      <c r="D132" s="4" t="s">
        <v>226</v>
      </c>
      <c r="E132" s="63">
        <v>101030400000</v>
      </c>
      <c r="F132" t="str">
        <f>_xlfn.XLOOKUP(E132,[1]Preisliste!$A$11:$A$156,[1]Preisliste!$B$11:$B$156)</f>
        <v>1.10.3</v>
      </c>
      <c r="G132" s="64">
        <f>_xlfn.XLOOKUP(E132,[1]Preisliste!$A$11:$A$156,[1]Preisliste!$E$11:$E$156)</f>
        <v>41.02</v>
      </c>
      <c r="H132" s="65">
        <f t="shared" si="6"/>
        <v>0</v>
      </c>
      <c r="I132" t="str">
        <f>_xlfn.XLOOKUP(E132,[1]Preisliste!$A$11:$A$156,[1]Preisliste!$C$11:$C$156)</f>
        <v>Technische LED-Außenleuchte für Hauptverkehrsstraßen</v>
      </c>
      <c r="J132">
        <f t="shared" si="4"/>
        <v>0</v>
      </c>
      <c r="M132">
        <v>29.8</v>
      </c>
    </row>
    <row r="133" spans="3:13" x14ac:dyDescent="0.3">
      <c r="C133">
        <f>IF($BP$25=15,1*J111,0)</f>
        <v>0</v>
      </c>
      <c r="D133" s="4" t="s">
        <v>226</v>
      </c>
      <c r="E133" s="63">
        <v>441430000001</v>
      </c>
      <c r="F133" t="str">
        <f>_xlfn.XLOOKUP(E133,[1]Preisliste!$A$11:$A$156,[1]Preisliste!$B$11:$B$156)</f>
        <v>1.10.4</v>
      </c>
      <c r="G133" s="64">
        <f>_xlfn.XLOOKUP(E133,[1]Preisliste!$A$11:$A$156,[1]Preisliste!$E$11:$E$156)</f>
        <v>96.08</v>
      </c>
      <c r="H133" s="65">
        <f t="shared" si="6"/>
        <v>0</v>
      </c>
      <c r="I133" t="str">
        <f>_xlfn.XLOOKUP(E133,[1]Preisliste!$A$11:$A$156,[1]Preisliste!$C$11:$C$156)</f>
        <v>Technische LED-Außenleuchte für FGÜ</v>
      </c>
      <c r="J133">
        <f t="shared" si="4"/>
        <v>0</v>
      </c>
      <c r="M133">
        <v>1193.6400000000001</v>
      </c>
    </row>
    <row r="134" spans="3:13" x14ac:dyDescent="0.3">
      <c r="C134">
        <f>IF($BP$25=16,1*J111,0)</f>
        <v>0</v>
      </c>
      <c r="D134" s="4" t="s">
        <v>226</v>
      </c>
      <c r="E134" s="63">
        <v>441431000001</v>
      </c>
      <c r="F134" t="str">
        <f>_xlfn.XLOOKUP(E134,[1]Preisliste!$A$11:$A$156,[1]Preisliste!$B$11:$B$156)</f>
        <v>1.10.5</v>
      </c>
      <c r="G134" s="64">
        <f>_xlfn.XLOOKUP(E134,[1]Preisliste!$A$11:$A$156,[1]Preisliste!$E$11:$E$156)</f>
        <v>43.18</v>
      </c>
      <c r="H134" s="65">
        <f t="shared" si="6"/>
        <v>0</v>
      </c>
      <c r="I134" t="str">
        <f>_xlfn.XLOOKUP(E134,[1]Preisliste!$A$11:$A$156,[1]Preisliste!$C$11:$C$156)</f>
        <v>Technisch-dekorative LED-Außenleuchte</v>
      </c>
      <c r="J134">
        <f t="shared" si="4"/>
        <v>0</v>
      </c>
      <c r="M134">
        <v>2861.72</v>
      </c>
    </row>
    <row r="135" spans="3:13" x14ac:dyDescent="0.3">
      <c r="C135">
        <f>IF($BP$25=17,1*J111,0)</f>
        <v>0</v>
      </c>
      <c r="D135" s="4" t="s">
        <v>226</v>
      </c>
      <c r="E135" s="63">
        <v>441432000001</v>
      </c>
      <c r="F135" t="str">
        <f>_xlfn.XLOOKUP(E135,[1]Preisliste!$A$11:$A$156,[1]Preisliste!$B$11:$B$156)</f>
        <v>1.10.6</v>
      </c>
      <c r="G135" s="64">
        <f>_xlfn.XLOOKUP(E135,[1]Preisliste!$A$11:$A$156,[1]Preisliste!$E$11:$E$156)</f>
        <v>45.34</v>
      </c>
      <c r="H135" s="65">
        <f t="shared" si="6"/>
        <v>0</v>
      </c>
      <c r="I135" t="str">
        <f>_xlfn.XLOOKUP(E135,[1]Preisliste!$A$11:$A$156,[1]Preisliste!$C$11:$C$156)</f>
        <v>Klassisch-dekorative LED-Außenleuchte</v>
      </c>
      <c r="J135">
        <f t="shared" si="4"/>
        <v>0</v>
      </c>
      <c r="M135">
        <f>SUM(M132:M134)</f>
        <v>4085.16</v>
      </c>
    </row>
    <row r="136" spans="3:13" x14ac:dyDescent="0.3">
      <c r="C136">
        <f>IF($BP$25=18,1*J111,0)</f>
        <v>0</v>
      </c>
      <c r="D136" s="4" t="s">
        <v>226</v>
      </c>
      <c r="E136" s="63">
        <v>441433000001</v>
      </c>
      <c r="F136" t="str">
        <f>_xlfn.XLOOKUP(E136,[1]Preisliste!$A$11:$A$156,[1]Preisliste!$B$11:$B$156)</f>
        <v>1.10.7</v>
      </c>
      <c r="G136" s="64">
        <f>_xlfn.XLOOKUP(E136,[1]Preisliste!$A$11:$A$156,[1]Preisliste!$E$11:$E$156)</f>
        <v>100.44</v>
      </c>
      <c r="H136" s="65">
        <f t="shared" si="6"/>
        <v>0</v>
      </c>
      <c r="I136" t="str">
        <f>_xlfn.XLOOKUP(E136,[1]Preisliste!$A$11:$A$156,[1]Preisliste!$C$11:$C$156)</f>
        <v>Historische Mastaufsatzleuchten "Ausführung Bergisch Gladbach"</v>
      </c>
      <c r="J136">
        <f t="shared" si="4"/>
        <v>0</v>
      </c>
    </row>
    <row r="137" spans="3:13" x14ac:dyDescent="0.3">
      <c r="C137">
        <f>IF($BP$25=19,1*J111,0)</f>
        <v>0</v>
      </c>
      <c r="D137" s="4" t="s">
        <v>226</v>
      </c>
      <c r="E137" s="63">
        <v>101030405000</v>
      </c>
      <c r="F137" t="str">
        <f>_xlfn.XLOOKUP(E137,[1]Preisliste!$A$11:$A$156,[1]Preisliste!$B$11:$B$156)</f>
        <v>1.10.8</v>
      </c>
      <c r="G137" s="64">
        <f>_xlfn.XLOOKUP(E137,[1]Preisliste!$A$11:$A$156,[1]Preisliste!$E$11:$E$156)</f>
        <v>0</v>
      </c>
      <c r="H137" s="65">
        <f t="shared" si="6"/>
        <v>0</v>
      </c>
      <c r="I137" t="str">
        <f>_xlfn.XLOOKUP(E137,[1]Preisliste!$A$11:$A$156,[1]Preisliste!$C$11:$C$156)</f>
        <v>LED-Kompakt-Strahler für Akzentbeleuchtung &gt; 4000 lm</v>
      </c>
      <c r="J137">
        <f t="shared" ref="J137:J140" si="7">ROUND(C137,2)</f>
        <v>0</v>
      </c>
    </row>
    <row r="138" spans="3:13" x14ac:dyDescent="0.3">
      <c r="C138">
        <f>IF($BP$25=20,1*J111,0)</f>
        <v>0</v>
      </c>
      <c r="D138" s="4" t="s">
        <v>226</v>
      </c>
      <c r="E138" s="63">
        <v>101030406000</v>
      </c>
      <c r="F138" t="str">
        <f>_xlfn.XLOOKUP(E138,[1]Preisliste!$A$11:$A$156,[1]Preisliste!$B$11:$B$156)</f>
        <v>1.10.9</v>
      </c>
      <c r="G138" s="64">
        <f>_xlfn.XLOOKUP(E138,[1]Preisliste!$A$11:$A$156,[1]Preisliste!$E$11:$E$156)</f>
        <v>0</v>
      </c>
      <c r="H138" s="65">
        <f t="shared" si="6"/>
        <v>0</v>
      </c>
      <c r="I138" t="str">
        <f>_xlfn.XLOOKUP(E138,[1]Preisliste!$A$11:$A$156,[1]Preisliste!$C$11:$C$156)</f>
        <v>LED-Kompakt-Strahler für Akzentbeleuchtung &gt; 3000 lm</v>
      </c>
      <c r="J138">
        <f t="shared" si="7"/>
        <v>0</v>
      </c>
    </row>
    <row r="139" spans="3:13" x14ac:dyDescent="0.3">
      <c r="C139">
        <f>IF($BP$25=21,1*J111,0)</f>
        <v>0</v>
      </c>
      <c r="D139" s="4" t="s">
        <v>226</v>
      </c>
      <c r="E139" s="63">
        <v>101030407000</v>
      </c>
      <c r="F139" t="str">
        <f>_xlfn.XLOOKUP(E139,[1]Preisliste!$A$11:$A$156,[1]Preisliste!$B$11:$B$156)</f>
        <v>1.10.10</v>
      </c>
      <c r="G139" s="64">
        <f>_xlfn.XLOOKUP(E139,[1]Preisliste!$A$11:$A$156,[1]Preisliste!$E$11:$E$156)</f>
        <v>0</v>
      </c>
      <c r="H139" s="65">
        <f t="shared" si="6"/>
        <v>0</v>
      </c>
      <c r="I139" t="str">
        <f>_xlfn.XLOOKUP(E139,[1]Preisliste!$A$11:$A$156,[1]Preisliste!$C$11:$C$156)</f>
        <v>LED-Flutlichtstrahler für Anstrahlungen &gt; 6500 lm</v>
      </c>
      <c r="J139">
        <f t="shared" si="7"/>
        <v>0</v>
      </c>
    </row>
    <row r="140" spans="3:13" x14ac:dyDescent="0.3">
      <c r="C140">
        <f>IF($BP$25=22,1*J111,0)</f>
        <v>0</v>
      </c>
      <c r="D140" s="4" t="s">
        <v>226</v>
      </c>
      <c r="E140" s="63">
        <v>101030500000</v>
      </c>
      <c r="F140" t="str">
        <f>_xlfn.XLOOKUP(E140,[1]Preisliste!$A$11:$A$156,[1]Preisliste!$B$11:$B$156)</f>
        <v>1.10.11</v>
      </c>
      <c r="G140" s="64">
        <f>_xlfn.XLOOKUP(E140,[1]Preisliste!$A$11:$A$156,[1]Preisliste!$E$11:$E$156)</f>
        <v>0</v>
      </c>
      <c r="H140" s="65">
        <f t="shared" si="6"/>
        <v>0</v>
      </c>
      <c r="I140" t="str">
        <f>_xlfn.XLOOKUP(E140,[1]Preisliste!$A$11:$A$156,[1]Preisliste!$C$11:$C$156)</f>
        <v>LED-Flutlichtstrahler für Anstrahlungen &gt; 5500 lm</v>
      </c>
      <c r="J140">
        <f t="shared" si="7"/>
        <v>0</v>
      </c>
    </row>
    <row r="141" spans="3:13" x14ac:dyDescent="0.3">
      <c r="E141" s="63"/>
    </row>
    <row r="142" spans="3:13" x14ac:dyDescent="0.3">
      <c r="C142" t="str">
        <f>IF($BP$25=23,1,"")</f>
        <v/>
      </c>
      <c r="E142" s="63"/>
      <c r="H142" s="73" t="s">
        <v>233</v>
      </c>
    </row>
    <row r="143" spans="3:13" x14ac:dyDescent="0.3">
      <c r="C143" t="str">
        <f>IF($BP$25=24,1,"")</f>
        <v/>
      </c>
      <c r="E143" s="63"/>
      <c r="H143" s="74">
        <f>SUM(H55:H140)</f>
        <v>993.68520799999999</v>
      </c>
    </row>
  </sheetData>
  <mergeCells count="5">
    <mergeCell ref="AQ3:AU3"/>
    <mergeCell ref="AQ7:AU7"/>
    <mergeCell ref="AQ11:AU11"/>
    <mergeCell ref="AQ18:AV18"/>
    <mergeCell ref="C34:E34"/>
  </mergeCells>
  <conditionalFormatting sqref="C73">
    <cfRule type="expression" dxfId="9" priority="9">
      <formula>$D$30="x"</formula>
    </cfRule>
  </conditionalFormatting>
  <conditionalFormatting sqref="C74">
    <cfRule type="expression" dxfId="8" priority="10">
      <formula>$D$31="x"</formula>
    </cfRule>
  </conditionalFormatting>
  <conditionalFormatting sqref="C75">
    <cfRule type="expression" dxfId="7" priority="8">
      <formula>$D$32="x"</formula>
    </cfRule>
  </conditionalFormatting>
  <conditionalFormatting sqref="C76">
    <cfRule type="expression" dxfId="6" priority="7">
      <formula>$D$33="x"</formula>
    </cfRule>
  </conditionalFormatting>
  <conditionalFormatting sqref="C77">
    <cfRule type="expression" dxfId="5" priority="6">
      <formula>$D$34="x"</formula>
    </cfRule>
  </conditionalFormatting>
  <conditionalFormatting sqref="C80">
    <cfRule type="expression" dxfId="4" priority="3">
      <formula>$D$30="x"</formula>
    </cfRule>
  </conditionalFormatting>
  <conditionalFormatting sqref="C81">
    <cfRule type="expression" dxfId="3" priority="4">
      <formula>$D$31="x"</formula>
    </cfRule>
  </conditionalFormatting>
  <conditionalFormatting sqref="C82">
    <cfRule type="expression" dxfId="2" priority="2">
      <formula>$D$32="x"</formula>
    </cfRule>
  </conditionalFormatting>
  <conditionalFormatting sqref="C83">
    <cfRule type="expression" dxfId="1" priority="1">
      <formula>$D$33="x"</formula>
    </cfRule>
  </conditionalFormatting>
  <conditionalFormatting sqref="C84">
    <cfRule type="expression" dxfId="0" priority="5">
      <formula>$D$34="x"</formula>
    </cfRule>
  </conditionalFormatting>
  <dataValidations count="1">
    <dataValidation type="custom" allowBlank="1" showInputMessage="1" showErrorMessage="1" sqref="F33:H33" xr:uid="{E2BC4ED8-66A0-445E-AA4C-F402E56CFB99}">
      <formula1>COUNTA($F33:$H33)=1</formula1>
    </dataValidation>
  </dataValidations>
  <printOptions headings="1"/>
  <pageMargins left="0.7" right="0.7" top="0.78740157499999996" bottom="0.78740157499999996" header="0.3" footer="0.3"/>
  <pageSetup paperSize="8" scale="8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Makro12">
                <anchor moveWithCells="1" sizeWithCells="1">
                  <from>
                    <xdr:col>8</xdr:col>
                    <xdr:colOff>0</xdr:colOff>
                    <xdr:row>1</xdr:row>
                    <xdr:rowOff>114300</xdr:rowOff>
                  </from>
                  <to>
                    <xdr:col>8</xdr:col>
                    <xdr:colOff>3924300</xdr:colOff>
                    <xdr:row>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MastGrubeAsphaltV">
                <anchor moveWithCells="1" sizeWithCells="1">
                  <from>
                    <xdr:col>8</xdr:col>
                    <xdr:colOff>213360</xdr:colOff>
                    <xdr:row>7</xdr:row>
                    <xdr:rowOff>45720</xdr:rowOff>
                  </from>
                  <to>
                    <xdr:col>8</xdr:col>
                    <xdr:colOff>2240280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deletShapesInSelection">
                <anchor moveWithCells="1" sizeWithCells="1">
                  <from>
                    <xdr:col>8</xdr:col>
                    <xdr:colOff>2506980</xdr:colOff>
                    <xdr:row>7</xdr:row>
                    <xdr:rowOff>45720</xdr:rowOff>
                  </from>
                  <to>
                    <xdr:col>8</xdr:col>
                    <xdr:colOff>3581400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Button 4">
              <controlPr defaultSize="0" print="0" autoFill="0" autoPict="0" macro="[1]!MasteBestimmen3">
                <anchor moveWithCells="1" sizeWithCells="1">
                  <from>
                    <xdr:col>8</xdr:col>
                    <xdr:colOff>1981200</xdr:colOff>
                    <xdr:row>4</xdr:row>
                    <xdr:rowOff>22860</xdr:rowOff>
                  </from>
                  <to>
                    <xdr:col>8</xdr:col>
                    <xdr:colOff>3512820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8" name="Group Box 5">
              <controlPr defaultSize="0" autoFill="0" autoPict="0">
                <anchor moveWithCells="1">
                  <from>
                    <xdr:col>62</xdr:col>
                    <xdr:colOff>22860</xdr:colOff>
                    <xdr:row>14</xdr:row>
                    <xdr:rowOff>0</xdr:rowOff>
                  </from>
                  <to>
                    <xdr:col>67</xdr:col>
                    <xdr:colOff>609600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" name="Option Button 6">
              <controlPr defaultSize="0" autoFill="0" autoLine="0" autoPict="0">
                <anchor moveWithCells="1">
                  <from>
                    <xdr:col>62</xdr:col>
                    <xdr:colOff>45720</xdr:colOff>
                    <xdr:row>14</xdr:row>
                    <xdr:rowOff>15240</xdr:rowOff>
                  </from>
                  <to>
                    <xdr:col>67</xdr:col>
                    <xdr:colOff>304800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" name="Option Button 7">
              <controlPr defaultSize="0" autoFill="0" autoLine="0" autoPict="0">
                <anchor moveWithCells="1">
                  <from>
                    <xdr:col>62</xdr:col>
                    <xdr:colOff>45720</xdr:colOff>
                    <xdr:row>15</xdr:row>
                    <xdr:rowOff>15240</xdr:rowOff>
                  </from>
                  <to>
                    <xdr:col>67</xdr:col>
                    <xdr:colOff>304800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1" name="Option Button 8">
              <controlPr defaultSize="0" autoFill="0" autoLine="0" autoPict="0">
                <anchor moveWithCells="1">
                  <from>
                    <xdr:col>62</xdr:col>
                    <xdr:colOff>45720</xdr:colOff>
                    <xdr:row>16</xdr:row>
                    <xdr:rowOff>7620</xdr:rowOff>
                  </from>
                  <to>
                    <xdr:col>67</xdr:col>
                    <xdr:colOff>304800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2" name="Option Button 9">
              <controlPr defaultSize="0" autoFill="0" autoLine="0" autoPict="0">
                <anchor moveWithCells="1">
                  <from>
                    <xdr:col>62</xdr:col>
                    <xdr:colOff>45720</xdr:colOff>
                    <xdr:row>17</xdr:row>
                    <xdr:rowOff>0</xdr:rowOff>
                  </from>
                  <to>
                    <xdr:col>67</xdr:col>
                    <xdr:colOff>304800</xdr:colOff>
                    <xdr:row>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3" name="Option Button 10">
              <controlPr defaultSize="0" autoFill="0" autoLine="0" autoPict="0">
                <anchor moveWithCells="1">
                  <from>
                    <xdr:col>62</xdr:col>
                    <xdr:colOff>38100</xdr:colOff>
                    <xdr:row>24</xdr:row>
                    <xdr:rowOff>22860</xdr:rowOff>
                  </from>
                  <to>
                    <xdr:col>67</xdr:col>
                    <xdr:colOff>327660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4" name="Option Button 11">
              <controlPr defaultSize="0" autoFill="0" autoLine="0" autoPict="0">
                <anchor moveWithCells="1">
                  <from>
                    <xdr:col>62</xdr:col>
                    <xdr:colOff>38100</xdr:colOff>
                    <xdr:row>25</xdr:row>
                    <xdr:rowOff>22860</xdr:rowOff>
                  </from>
                  <to>
                    <xdr:col>67</xdr:col>
                    <xdr:colOff>327660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5" name="Option Button 12">
              <controlPr defaultSize="0" autoFill="0" autoLine="0" autoPict="0">
                <anchor moveWithCells="1">
                  <from>
                    <xdr:col>62</xdr:col>
                    <xdr:colOff>38100</xdr:colOff>
                    <xdr:row>26</xdr:row>
                    <xdr:rowOff>7620</xdr:rowOff>
                  </from>
                  <to>
                    <xdr:col>67</xdr:col>
                    <xdr:colOff>327660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6" name="Option Button 13">
              <controlPr defaultSize="0" autoFill="0" autoLine="0" autoPict="0">
                <anchor moveWithCells="1">
                  <from>
                    <xdr:col>62</xdr:col>
                    <xdr:colOff>38100</xdr:colOff>
                    <xdr:row>27</xdr:row>
                    <xdr:rowOff>0</xdr:rowOff>
                  </from>
                  <to>
                    <xdr:col>67</xdr:col>
                    <xdr:colOff>327660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7" name="Option Button 14">
              <controlPr defaultSize="0" autoFill="0" autoLine="0" autoPict="0">
                <anchor moveWithCells="1">
                  <from>
                    <xdr:col>62</xdr:col>
                    <xdr:colOff>38100</xdr:colOff>
                    <xdr:row>28</xdr:row>
                    <xdr:rowOff>0</xdr:rowOff>
                  </from>
                  <to>
                    <xdr:col>67</xdr:col>
                    <xdr:colOff>327660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8" name="Option Button 15">
              <controlPr defaultSize="0" autoFill="0" autoLine="0" autoPict="0">
                <anchor moveWithCells="1">
                  <from>
                    <xdr:col>62</xdr:col>
                    <xdr:colOff>38100</xdr:colOff>
                    <xdr:row>29</xdr:row>
                    <xdr:rowOff>0</xdr:rowOff>
                  </from>
                  <to>
                    <xdr:col>67</xdr:col>
                    <xdr:colOff>327660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9" name="Option Button 16">
              <controlPr defaultSize="0" autoFill="0" autoLine="0" autoPict="0">
                <anchor moveWithCells="1">
                  <from>
                    <xdr:col>62</xdr:col>
                    <xdr:colOff>38100</xdr:colOff>
                    <xdr:row>29</xdr:row>
                    <xdr:rowOff>182880</xdr:rowOff>
                  </from>
                  <to>
                    <xdr:col>67</xdr:col>
                    <xdr:colOff>327660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0" name="Option Button 17">
              <controlPr defaultSize="0" autoFill="0" autoLine="0" autoPict="0">
                <anchor moveWithCells="1">
                  <from>
                    <xdr:col>62</xdr:col>
                    <xdr:colOff>38100</xdr:colOff>
                    <xdr:row>30</xdr:row>
                    <xdr:rowOff>175260</xdr:rowOff>
                  </from>
                  <to>
                    <xdr:col>67</xdr:col>
                    <xdr:colOff>327660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1" name="Option Button 18">
              <controlPr defaultSize="0" autoFill="0" autoLine="0" autoPict="0">
                <anchor moveWithCells="1">
                  <from>
                    <xdr:col>62</xdr:col>
                    <xdr:colOff>38100</xdr:colOff>
                    <xdr:row>31</xdr:row>
                    <xdr:rowOff>175260</xdr:rowOff>
                  </from>
                  <to>
                    <xdr:col>67</xdr:col>
                    <xdr:colOff>327660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2" name="Option Button 19">
              <controlPr defaultSize="0" autoFill="0" autoLine="0" autoPict="0">
                <anchor moveWithCells="1">
                  <from>
                    <xdr:col>62</xdr:col>
                    <xdr:colOff>38100</xdr:colOff>
                    <xdr:row>32</xdr:row>
                    <xdr:rowOff>175260</xdr:rowOff>
                  </from>
                  <to>
                    <xdr:col>67</xdr:col>
                    <xdr:colOff>327660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3" name="Option Button 20">
              <controlPr defaultSize="0" autoFill="0" autoLine="0" autoPict="0">
                <anchor moveWithCells="1">
                  <from>
                    <xdr:col>62</xdr:col>
                    <xdr:colOff>38100</xdr:colOff>
                    <xdr:row>33</xdr:row>
                    <xdr:rowOff>160020</xdr:rowOff>
                  </from>
                  <to>
                    <xdr:col>67</xdr:col>
                    <xdr:colOff>327660</xdr:colOff>
                    <xdr:row>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4" name="Option Button 21">
              <controlPr defaultSize="0" autoFill="0" autoLine="0" autoPict="0">
                <anchor moveWithCells="1">
                  <from>
                    <xdr:col>62</xdr:col>
                    <xdr:colOff>38100</xdr:colOff>
                    <xdr:row>33</xdr:row>
                    <xdr:rowOff>342900</xdr:rowOff>
                  </from>
                  <to>
                    <xdr:col>67</xdr:col>
                    <xdr:colOff>327660</xdr:colOff>
                    <xdr:row>33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5" name="Option Button 22">
              <controlPr defaultSize="0" autoFill="0" autoLine="0" autoPict="0">
                <anchor moveWithCells="1">
                  <from>
                    <xdr:col>62</xdr:col>
                    <xdr:colOff>38100</xdr:colOff>
                    <xdr:row>33</xdr:row>
                    <xdr:rowOff>533400</xdr:rowOff>
                  </from>
                  <to>
                    <xdr:col>67</xdr:col>
                    <xdr:colOff>327660</xdr:colOff>
                    <xdr:row>33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6" name="Option Button 23">
              <controlPr defaultSize="0" autoFill="0" autoLine="0" autoPict="0">
                <anchor moveWithCells="1">
                  <from>
                    <xdr:col>62</xdr:col>
                    <xdr:colOff>38100</xdr:colOff>
                    <xdr:row>33</xdr:row>
                    <xdr:rowOff>723900</xdr:rowOff>
                  </from>
                  <to>
                    <xdr:col>67</xdr:col>
                    <xdr:colOff>327660</xdr:colOff>
                    <xdr:row>33</xdr:row>
                    <xdr:rowOff>899160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7" name="Option Button 24">
              <controlPr defaultSize="0" autoFill="0" autoLine="0" autoPict="0">
                <anchor moveWithCells="1">
                  <from>
                    <xdr:col>62</xdr:col>
                    <xdr:colOff>38100</xdr:colOff>
                    <xdr:row>33</xdr:row>
                    <xdr:rowOff>914400</xdr:rowOff>
                  </from>
                  <to>
                    <xdr:col>67</xdr:col>
                    <xdr:colOff>327660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8" name="Option Button 25">
              <controlPr defaultSize="0" autoFill="0" autoLine="0" autoPict="0">
                <anchor moveWithCells="1">
                  <from>
                    <xdr:col>62</xdr:col>
                    <xdr:colOff>38100</xdr:colOff>
                    <xdr:row>34</xdr:row>
                    <xdr:rowOff>160020</xdr:rowOff>
                  </from>
                  <to>
                    <xdr:col>67</xdr:col>
                    <xdr:colOff>327660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9" name="Option Button 26">
              <controlPr defaultSize="0" autoFill="0" autoLine="0" autoPict="0">
                <anchor moveWithCells="1">
                  <from>
                    <xdr:col>62</xdr:col>
                    <xdr:colOff>38100</xdr:colOff>
                    <xdr:row>35</xdr:row>
                    <xdr:rowOff>160020</xdr:rowOff>
                  </from>
                  <to>
                    <xdr:col>67</xdr:col>
                    <xdr:colOff>327660</xdr:colOff>
                    <xdr:row>36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0" name="Option Button 27">
              <controlPr defaultSize="0" autoFill="0" autoLine="0" autoPict="0">
                <anchor moveWithCells="1">
                  <from>
                    <xdr:col>62</xdr:col>
                    <xdr:colOff>38100</xdr:colOff>
                    <xdr:row>36</xdr:row>
                    <xdr:rowOff>152400</xdr:rowOff>
                  </from>
                  <to>
                    <xdr:col>67</xdr:col>
                    <xdr:colOff>327660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1" name="Option Button 28">
              <controlPr defaultSize="0" autoFill="0" autoLine="0" autoPict="0">
                <anchor moveWithCells="1">
                  <from>
                    <xdr:col>62</xdr:col>
                    <xdr:colOff>38100</xdr:colOff>
                    <xdr:row>37</xdr:row>
                    <xdr:rowOff>144780</xdr:rowOff>
                  </from>
                  <to>
                    <xdr:col>67</xdr:col>
                    <xdr:colOff>327660</xdr:colOff>
                    <xdr:row>38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Option Button 29">
              <controlPr defaultSize="0" autoFill="0" autoLine="0" autoPict="0">
                <anchor moveWithCells="1">
                  <from>
                    <xdr:col>62</xdr:col>
                    <xdr:colOff>38100</xdr:colOff>
                    <xdr:row>38</xdr:row>
                    <xdr:rowOff>144780</xdr:rowOff>
                  </from>
                  <to>
                    <xdr:col>67</xdr:col>
                    <xdr:colOff>327660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Option Button 30">
              <controlPr defaultSize="0" autoFill="0" autoLine="0" autoPict="0">
                <anchor moveWithCells="1">
                  <from>
                    <xdr:col>62</xdr:col>
                    <xdr:colOff>38100</xdr:colOff>
                    <xdr:row>39</xdr:row>
                    <xdr:rowOff>137160</xdr:rowOff>
                  </from>
                  <to>
                    <xdr:col>67</xdr:col>
                    <xdr:colOff>327660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Option Button 31">
              <controlPr defaultSize="0" autoFill="0" autoLine="0" autoPict="0">
                <anchor moveWithCells="1">
                  <from>
                    <xdr:col>62</xdr:col>
                    <xdr:colOff>38100</xdr:colOff>
                    <xdr:row>40</xdr:row>
                    <xdr:rowOff>121920</xdr:rowOff>
                  </from>
                  <to>
                    <xdr:col>67</xdr:col>
                    <xdr:colOff>327660</xdr:colOff>
                    <xdr:row>41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Group Box 32">
              <controlPr defaultSize="0" autoFill="0" autoPict="0" altText="Beleuchtung_x000a_">
                <anchor moveWithCells="1">
                  <from>
                    <xdr:col>62</xdr:col>
                    <xdr:colOff>30480</xdr:colOff>
                    <xdr:row>24</xdr:row>
                    <xdr:rowOff>7620</xdr:rowOff>
                  </from>
                  <to>
                    <xdr:col>67</xdr:col>
                    <xdr:colOff>327660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6" name="Group Box 33">
              <controlPr defaultSize="0" autoFill="0" autoPict="0">
                <anchor moveWithCells="1">
                  <from>
                    <xdr:col>62</xdr:col>
                    <xdr:colOff>7620</xdr:colOff>
                    <xdr:row>9</xdr:row>
                    <xdr:rowOff>0</xdr:rowOff>
                  </from>
                  <to>
                    <xdr:col>67</xdr:col>
                    <xdr:colOff>571500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7" name="Option Button 34">
              <controlPr defaultSize="0" autoFill="0" autoLine="0" autoPict="0">
                <anchor moveWithCells="1">
                  <from>
                    <xdr:col>62</xdr:col>
                    <xdr:colOff>0</xdr:colOff>
                    <xdr:row>8</xdr:row>
                    <xdr:rowOff>175260</xdr:rowOff>
                  </from>
                  <to>
                    <xdr:col>67</xdr:col>
                    <xdr:colOff>358140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8" name="Option Button 35">
              <controlPr defaultSize="0" autoFill="0" autoLine="0" autoPict="0">
                <anchor moveWithCells="1">
                  <from>
                    <xdr:col>62</xdr:col>
                    <xdr:colOff>7620</xdr:colOff>
                    <xdr:row>10</xdr:row>
                    <xdr:rowOff>22860</xdr:rowOff>
                  </from>
                  <to>
                    <xdr:col>67</xdr:col>
                    <xdr:colOff>365760</xdr:colOff>
                    <xdr:row>11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9" name="Group Box 36">
              <controlPr defaultSize="0" autoFill="0" autoPict="0">
                <anchor moveWithCells="1">
                  <from>
                    <xdr:col>8</xdr:col>
                    <xdr:colOff>60960</xdr:colOff>
                    <xdr:row>33</xdr:row>
                    <xdr:rowOff>91440</xdr:rowOff>
                  </from>
                  <to>
                    <xdr:col>8</xdr:col>
                    <xdr:colOff>2118360</xdr:colOff>
                    <xdr:row>33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0" name="Option Button 37">
              <controlPr defaultSize="0" autoFill="0" autoLine="0" autoPict="0">
                <anchor moveWithCells="1">
                  <from>
                    <xdr:col>8</xdr:col>
                    <xdr:colOff>152400</xdr:colOff>
                    <xdr:row>33</xdr:row>
                    <xdr:rowOff>160020</xdr:rowOff>
                  </from>
                  <to>
                    <xdr:col>8</xdr:col>
                    <xdr:colOff>693420</xdr:colOff>
                    <xdr:row>33</xdr:row>
                    <xdr:rowOff>624840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1" name="Option Button 38">
              <controlPr defaultSize="0" autoFill="0" autoLine="0" autoPict="0">
                <anchor moveWithCells="1">
                  <from>
                    <xdr:col>8</xdr:col>
                    <xdr:colOff>830580</xdr:colOff>
                    <xdr:row>33</xdr:row>
                    <xdr:rowOff>160020</xdr:rowOff>
                  </from>
                  <to>
                    <xdr:col>8</xdr:col>
                    <xdr:colOff>1371600</xdr:colOff>
                    <xdr:row>33</xdr:row>
                    <xdr:rowOff>624840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2" name="Option Button 39">
              <controlPr defaultSize="0" autoFill="0" autoLine="0" autoPict="0">
                <anchor moveWithCells="1">
                  <from>
                    <xdr:col>8</xdr:col>
                    <xdr:colOff>1470660</xdr:colOff>
                    <xdr:row>33</xdr:row>
                    <xdr:rowOff>160020</xdr:rowOff>
                  </from>
                  <to>
                    <xdr:col>8</xdr:col>
                    <xdr:colOff>2011680</xdr:colOff>
                    <xdr:row>33</xdr:row>
                    <xdr:rowOff>624840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3" name="Group Box 40">
              <controlPr defaultSize="0" autoFill="0" autoPict="0">
                <anchor moveWithCells="1">
                  <from>
                    <xdr:col>68</xdr:col>
                    <xdr:colOff>7620</xdr:colOff>
                    <xdr:row>18</xdr:row>
                    <xdr:rowOff>106680</xdr:rowOff>
                  </from>
                  <to>
                    <xdr:col>71</xdr:col>
                    <xdr:colOff>251460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4" name="Option Button 41">
              <controlPr defaultSize="0" autoFill="0" autoLine="0" autoPict="0">
                <anchor moveWithCells="1">
                  <from>
                    <xdr:col>68</xdr:col>
                    <xdr:colOff>38100</xdr:colOff>
                    <xdr:row>19</xdr:row>
                    <xdr:rowOff>0</xdr:rowOff>
                  </from>
                  <to>
                    <xdr:col>71</xdr:col>
                    <xdr:colOff>175260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5" name="Option Button 42">
              <controlPr defaultSize="0" autoFill="0" autoLine="0" autoPict="0">
                <anchor moveWithCells="1">
                  <from>
                    <xdr:col>68</xdr:col>
                    <xdr:colOff>38100</xdr:colOff>
                    <xdr:row>20</xdr:row>
                    <xdr:rowOff>22860</xdr:rowOff>
                  </from>
                  <to>
                    <xdr:col>71</xdr:col>
                    <xdr:colOff>175260</xdr:colOff>
                    <xdr:row>21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6" name="Option Button 43">
              <controlPr defaultSize="0" autoFill="0" autoLine="0" autoPict="0">
                <anchor moveWithCells="1">
                  <from>
                    <xdr:col>68</xdr:col>
                    <xdr:colOff>38100</xdr:colOff>
                    <xdr:row>21</xdr:row>
                    <xdr:rowOff>30480</xdr:rowOff>
                  </from>
                  <to>
                    <xdr:col>71</xdr:col>
                    <xdr:colOff>175260</xdr:colOff>
                    <xdr:row>22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7" name="Option Button 44">
              <controlPr defaultSize="0" autoFill="0" autoLine="0" autoPict="0">
                <anchor moveWithCells="1">
                  <from>
                    <xdr:col>68</xdr:col>
                    <xdr:colOff>38100</xdr:colOff>
                    <xdr:row>22</xdr:row>
                    <xdr:rowOff>30480</xdr:rowOff>
                  </from>
                  <to>
                    <xdr:col>71</xdr:col>
                    <xdr:colOff>175260</xdr:colOff>
                    <xdr:row>23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8" name="Button 45">
              <controlPr defaultSize="0" print="0" autoFill="0" autoPict="0" macro="[1]!MakroMultiZurück">
                <anchor moveWithCells="1" sizeWithCells="1">
                  <from>
                    <xdr:col>60</xdr:col>
                    <xdr:colOff>434340</xdr:colOff>
                    <xdr:row>4</xdr:row>
                    <xdr:rowOff>83820</xdr:rowOff>
                  </from>
                  <to>
                    <xdr:col>61</xdr:col>
                    <xdr:colOff>723900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Mast Grube Multi3,5B</vt:lpstr>
      <vt:lpstr>'Mast Grube Multi3,5B'!Druckbereich</vt:lpstr>
    </vt:vector>
  </TitlesOfParts>
  <Company>SPIE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Baranski, Udo</dc:creator>
  <cp:lastModifiedBy>Baranski, Udo</cp:lastModifiedBy>
  <dcterms:created xsi:type="dcterms:W3CDTF">2025-06-12T10:33:21Z</dcterms:created>
  <dcterms:modified xsi:type="dcterms:W3CDTF">2025-06-12T10:33:49Z</dcterms:modified>
</cp:coreProperties>
</file>