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8_{8AA10E4E-1AFA-4B67-99F9-5057A99473E3}" xr6:coauthVersionLast="47" xr6:coauthVersionMax="47" xr10:uidLastSave="{00000000-0000-0000-0000-000000000000}"/>
  <bookViews>
    <workbookView xWindow="-108" yWindow="-108" windowWidth="23256" windowHeight="12456" xr2:uid="{B137056A-8536-476D-AA6A-D05B893574E3}"/>
  </bookViews>
  <sheets>
    <sheet name="2026" sheetId="1" r:id="rId1"/>
    <sheet name="Feiertage" sheetId="2" r:id="rId2"/>
  </sheets>
  <externalReferences>
    <externalReference r:id="rId3"/>
  </externalReferences>
  <definedNames>
    <definedName name="_xlnm._FilterDatabase" localSheetId="0" hidden="1">'2026'!$A$4:$O$35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5" i="1"/>
  <c r="I5" i="1" a="1"/>
  <c r="I5" i="1" s="1"/>
  <c r="I20" i="1" a="1"/>
  <c r="I20" i="1" s="1"/>
  <c r="I21" i="1" a="1"/>
  <c r="I21" i="1" s="1"/>
  <c r="I22" i="1" a="1"/>
  <c r="I22" i="1" s="1"/>
  <c r="I23" i="1" a="1"/>
  <c r="I23" i="1"/>
  <c r="I24" i="1" a="1"/>
  <c r="I24" i="1" s="1"/>
  <c r="I25" i="1" a="1"/>
  <c r="I25" i="1" s="1"/>
  <c r="I26" i="1" a="1"/>
  <c r="I26" i="1" s="1"/>
  <c r="I27" i="1" a="1"/>
  <c r="I27" i="1"/>
  <c r="I28" i="1" a="1"/>
  <c r="I28" i="1" s="1"/>
  <c r="I29" i="1" a="1"/>
  <c r="I29" i="1" s="1"/>
  <c r="I30" i="1" a="1"/>
  <c r="I30" i="1" s="1"/>
  <c r="I31" i="1" a="1"/>
  <c r="I31" i="1"/>
  <c r="I32" i="1" a="1"/>
  <c r="I32" i="1" s="1"/>
  <c r="I33" i="1" a="1"/>
  <c r="I33" i="1" s="1"/>
  <c r="I34" i="1" a="1"/>
  <c r="I34" i="1" s="1"/>
  <c r="I35" i="1" a="1"/>
  <c r="I35" i="1" s="1"/>
  <c r="I18" i="1" a="1"/>
  <c r="I18" i="1" s="1"/>
  <c r="I19" i="1" a="1"/>
  <c r="I19" i="1" s="1"/>
  <c r="I11" i="1" a="1"/>
  <c r="I11" i="1" s="1"/>
  <c r="I12" i="1" a="1"/>
  <c r="I12" i="1" s="1"/>
  <c r="I13" i="1" a="1"/>
  <c r="I13" i="1" s="1"/>
  <c r="I14" i="1" a="1"/>
  <c r="I14" i="1"/>
  <c r="I15" i="1" a="1"/>
  <c r="I15" i="1" s="1"/>
  <c r="I16" i="1" a="1"/>
  <c r="I16" i="1" s="1"/>
  <c r="J16" i="1" s="1"/>
  <c r="I17" i="1" a="1"/>
  <c r="I17" i="1" s="1"/>
  <c r="J6" i="1"/>
  <c r="I7" i="1" a="1"/>
  <c r="I7" i="1" s="1"/>
  <c r="I8" i="1" a="1"/>
  <c r="I8" i="1" s="1"/>
  <c r="I9" i="1" a="1"/>
  <c r="I9" i="1" s="1"/>
  <c r="I10" i="1" a="1"/>
  <c r="I10" i="1" s="1"/>
  <c r="I6" i="1" a="1"/>
  <c r="I6" i="1" s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K6" i="1" a="1"/>
  <c r="K6" i="1" s="1"/>
  <c r="L6" i="1" s="1"/>
  <c r="A13" i="2"/>
  <c r="A5" i="2"/>
  <c r="A4" i="2"/>
  <c r="A1" i="2"/>
  <c r="K35" i="1" a="1"/>
  <c r="K35" i="1" s="1"/>
  <c r="L35" i="1" s="1"/>
  <c r="E35" i="1"/>
  <c r="K34" i="1" a="1"/>
  <c r="K34" i="1" s="1"/>
  <c r="L34" i="1" s="1"/>
  <c r="K33" i="1" a="1"/>
  <c r="K33" i="1" s="1"/>
  <c r="L33" i="1" s="1"/>
  <c r="K32" i="1" a="1"/>
  <c r="K32" i="1" s="1"/>
  <c r="L32" i="1" s="1"/>
  <c r="K31" i="1" a="1"/>
  <c r="K31" i="1" s="1"/>
  <c r="L31" i="1" s="1"/>
  <c r="K30" i="1" a="1"/>
  <c r="K30" i="1" s="1"/>
  <c r="L30" i="1" s="1"/>
  <c r="K29" i="1" a="1"/>
  <c r="K29" i="1" s="1"/>
  <c r="L29" i="1" s="1"/>
  <c r="E29" i="1"/>
  <c r="K28" i="1" a="1"/>
  <c r="K28" i="1" s="1"/>
  <c r="L28" i="1" s="1"/>
  <c r="E28" i="1"/>
  <c r="K27" i="1" a="1"/>
  <c r="K27" i="1" s="1"/>
  <c r="L27" i="1" s="1"/>
  <c r="K26" i="1" a="1"/>
  <c r="K26" i="1" s="1"/>
  <c r="L26" i="1" s="1"/>
  <c r="K25" i="1" a="1"/>
  <c r="K25" i="1" s="1"/>
  <c r="L25" i="1" s="1"/>
  <c r="K24" i="1" a="1"/>
  <c r="K24" i="1" s="1"/>
  <c r="L24" i="1" s="1"/>
  <c r="K23" i="1" a="1"/>
  <c r="K23" i="1" s="1"/>
  <c r="L23" i="1" s="1"/>
  <c r="E23" i="1"/>
  <c r="K22" i="1" a="1"/>
  <c r="K22" i="1" s="1"/>
  <c r="L22" i="1" s="1"/>
  <c r="E22" i="1"/>
  <c r="K21" i="1" a="1"/>
  <c r="K21" i="1" s="1"/>
  <c r="L21" i="1" s="1"/>
  <c r="E21" i="1"/>
  <c r="K20" i="1" a="1"/>
  <c r="K20" i="1" s="1"/>
  <c r="L20" i="1" s="1"/>
  <c r="E20" i="1"/>
  <c r="K19" i="1" a="1"/>
  <c r="K19" i="1" s="1"/>
  <c r="L19" i="1" s="1"/>
  <c r="K18" i="1" a="1"/>
  <c r="K18" i="1" s="1"/>
  <c r="L18" i="1" s="1"/>
  <c r="K17" i="1" a="1"/>
  <c r="K17" i="1" s="1"/>
  <c r="L17" i="1" s="1"/>
  <c r="E17" i="1"/>
  <c r="K16" i="1" a="1"/>
  <c r="K16" i="1" s="1"/>
  <c r="L16" i="1" s="1"/>
  <c r="E16" i="1"/>
  <c r="K15" i="1" a="1"/>
  <c r="K15" i="1" s="1"/>
  <c r="L15" i="1" s="1"/>
  <c r="E15" i="1"/>
  <c r="K14" i="1" a="1"/>
  <c r="K14" i="1" s="1"/>
  <c r="L14" i="1" s="1"/>
  <c r="E14" i="1"/>
  <c r="K13" i="1" a="1"/>
  <c r="K13" i="1" s="1"/>
  <c r="L13" i="1" s="1"/>
  <c r="K12" i="1" a="1"/>
  <c r="K12" i="1" s="1"/>
  <c r="L12" i="1" s="1"/>
  <c r="K11" i="1" a="1"/>
  <c r="K11" i="1" s="1"/>
  <c r="L11" i="1" s="1"/>
  <c r="K10" i="1" a="1"/>
  <c r="K10" i="1" s="1"/>
  <c r="L10" i="1" s="1"/>
  <c r="K9" i="1" a="1"/>
  <c r="K9" i="1" s="1"/>
  <c r="K8" i="1" a="1"/>
  <c r="K8" i="1" s="1"/>
  <c r="L8" i="1" s="1"/>
  <c r="E8" i="1"/>
  <c r="K7" i="1" a="1"/>
  <c r="K7" i="1" s="1"/>
  <c r="L7" i="1" s="1"/>
  <c r="E7" i="1"/>
  <c r="N5" i="1"/>
  <c r="K5" i="1" a="1"/>
  <c r="K5" i="1" s="1"/>
  <c r="L5" i="1" s="1"/>
  <c r="P5" i="1"/>
  <c r="P6" i="1"/>
  <c r="M6" i="1" l="1"/>
  <c r="L9" i="1"/>
  <c r="A18" i="2"/>
  <c r="A10" i="2"/>
  <c r="A17" i="2"/>
  <c r="A9" i="2"/>
  <c r="A16" i="2"/>
  <c r="A8" i="2"/>
  <c r="A15" i="2"/>
  <c r="A7" i="2"/>
  <c r="A6" i="2" s="1"/>
  <c r="A14" i="2"/>
  <c r="A11" i="2"/>
  <c r="A12" i="2"/>
  <c r="M7" i="1" l="1"/>
  <c r="M8" i="1" s="1"/>
  <c r="M9" i="1" s="1"/>
  <c r="N6" i="1"/>
  <c r="N7" i="1" l="1"/>
  <c r="N8" i="1"/>
  <c r="M10" i="1" l="1"/>
  <c r="N9" i="1"/>
  <c r="M11" i="1" l="1"/>
  <c r="N10" i="1"/>
  <c r="N11" i="1" l="1"/>
  <c r="M12" i="1"/>
  <c r="M13" i="1" l="1"/>
  <c r="N12" i="1"/>
  <c r="N13" i="1" l="1"/>
  <c r="M14" i="1"/>
  <c r="N14" i="1" l="1"/>
  <c r="M15" i="1"/>
  <c r="M16" i="1" l="1"/>
  <c r="N15" i="1"/>
  <c r="N16" i="1" l="1"/>
  <c r="M17" i="1"/>
  <c r="M18" i="1" l="1"/>
  <c r="N17" i="1"/>
  <c r="M19" i="1" l="1"/>
  <c r="N18" i="1"/>
  <c r="N19" i="1" l="1"/>
  <c r="M20" i="1"/>
  <c r="M21" i="1" l="1"/>
  <c r="N20" i="1"/>
  <c r="N21" i="1" l="1"/>
  <c r="M22" i="1"/>
  <c r="N22" i="1" l="1"/>
  <c r="M23" i="1"/>
  <c r="M24" i="1" l="1"/>
  <c r="N23" i="1"/>
  <c r="M25" i="1" l="1"/>
  <c r="N24" i="1"/>
  <c r="M26" i="1" l="1"/>
  <c r="N25" i="1"/>
  <c r="M27" i="1" l="1"/>
  <c r="N26" i="1"/>
  <c r="M28" i="1" l="1"/>
  <c r="N27" i="1"/>
  <c r="N28" i="1" l="1"/>
  <c r="M29" i="1"/>
  <c r="N29" i="1" l="1"/>
  <c r="M30" i="1"/>
  <c r="M31" i="1" l="1"/>
  <c r="N30" i="1"/>
  <c r="M32" i="1" l="1"/>
  <c r="N31" i="1"/>
  <c r="M33" i="1" l="1"/>
  <c r="N32" i="1"/>
  <c r="N33" i="1" l="1"/>
  <c r="M34" i="1"/>
  <c r="M35" i="1" l="1"/>
  <c r="N34" i="1"/>
  <c r="N3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<sst xmlns="http://schemas.openxmlformats.org/spreadsheetml/2006/main" count="47" uniqueCount="39">
  <si>
    <t>mobA</t>
  </si>
  <si>
    <t>Zeiten:</t>
  </si>
  <si>
    <t>Pausen:</t>
  </si>
  <si>
    <t>Pause1</t>
  </si>
  <si>
    <t>Pause2</t>
  </si>
  <si>
    <t>Dezimal</t>
  </si>
  <si>
    <t>Uhrzeit</t>
  </si>
  <si>
    <t>Kennzahlen:</t>
  </si>
  <si>
    <t>Datum</t>
  </si>
  <si>
    <t>Art</t>
  </si>
  <si>
    <t>Beginn</t>
  </si>
  <si>
    <t>Ende</t>
  </si>
  <si>
    <t>Gesamt</t>
  </si>
  <si>
    <t>+/-</t>
  </si>
  <si>
    <t>GZ</t>
  </si>
  <si>
    <t>Urlaub</t>
  </si>
  <si>
    <t>AZA</t>
  </si>
  <si>
    <t>krank</t>
  </si>
  <si>
    <t>Tag der Arbeit</t>
  </si>
  <si>
    <t>Feiertage</t>
  </si>
  <si>
    <t>Neujahr</t>
  </si>
  <si>
    <t>Karfreitag</t>
  </si>
  <si>
    <t>Ostersonntag</t>
  </si>
  <si>
    <t>Ostermontag</t>
  </si>
  <si>
    <t>Christi Himmelfahrt</t>
  </si>
  <si>
    <t>Pfingsmontag</t>
  </si>
  <si>
    <t>Tag der dt. Einhait</t>
  </si>
  <si>
    <t>Reformationstag</t>
  </si>
  <si>
    <t>Buß- und Bettag</t>
  </si>
  <si>
    <t>Weihnachten</t>
  </si>
  <si>
    <t>1. Weihnachtstag</t>
  </si>
  <si>
    <t>2. Weihnachtstag</t>
  </si>
  <si>
    <t>Silvester</t>
  </si>
  <si>
    <t xml:space="preserve">Formel in </t>
  </si>
  <si>
    <t>Spalte I</t>
  </si>
  <si>
    <t>Spalte J</t>
  </si>
  <si>
    <t>Pause(n)</t>
  </si>
  <si>
    <t>gesetzl. od.</t>
  </si>
  <si>
    <t>tats. Pause(n)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</si>
</sst>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[hh]:mm"/>
    <numFmt numFmtId="166" formatCode="ddd* dd/mm/yy"/>
    <numFmt numFmtId="167" formatCode="ddd* dd/mm/yyyy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 Black"/>
      <family val="2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rial Black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20" fontId="0" fillId="0" borderId="0" xfId="0" applyNumberFormat="1" applyAlignment="1">
      <alignment horizontal="center" vertical="center"/>
    </xf>
    <xf numFmtId="20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 indent="1"/>
    </xf>
    <xf numFmtId="0" fontId="1" fillId="0" borderId="0" xfId="0" applyFont="1" applyAlignment="1">
      <alignment horizontal="lef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0" borderId="1" xfId="0" applyFont="1" applyBorder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164" fontId="4" fillId="0" borderId="0" xfId="0" quotePrefix="1" applyNumberFormat="1" applyFont="1" applyAlignment="1">
      <alignment horizontal="center" vertical="center"/>
    </xf>
    <xf numFmtId="165" fontId="4" fillId="0" borderId="0" xfId="0" quotePrefix="1" applyNumberFormat="1" applyFont="1" applyAlignment="1">
      <alignment horizontal="center" vertical="center"/>
    </xf>
    <xf numFmtId="2" fontId="4" fillId="0" borderId="0" xfId="0" quotePrefix="1" applyNumberFormat="1" applyFont="1" applyAlignment="1">
      <alignment horizontal="center" vertical="center"/>
    </xf>
    <xf numFmtId="166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 indent="1"/>
    </xf>
    <xf numFmtId="20" fontId="4" fillId="0" borderId="2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20" fontId="4" fillId="0" borderId="3" xfId="0" applyNumberFormat="1" applyFont="1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/>
    <xf numFmtId="167" fontId="6" fillId="2" borderId="6" xfId="0" applyNumberFormat="1" applyFont="1" applyFill="1" applyBorder="1" applyAlignment="1">
      <alignment horizontal="centerContinuous"/>
    </xf>
    <xf numFmtId="167" fontId="6" fillId="2" borderId="7" xfId="0" applyNumberFormat="1" applyFont="1" applyFill="1" applyBorder="1" applyAlignment="1">
      <alignment horizontal="centerContinuous"/>
    </xf>
    <xf numFmtId="166" fontId="7" fillId="0" borderId="0" xfId="0" applyNumberFormat="1" applyFon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right" vertical="center" inden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20" fontId="8" fillId="0" borderId="8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left" vertical="center" indent="1"/>
    </xf>
  </cellXfs>
  <cellStyles count="1">
    <cellStyle name="Standard" xfId="0" builtinId="0"/>
  </cellStyles>
  <dxfs count="2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4" tint="0.59996337778862885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/>
        </patternFill>
      </fill>
    </dxf>
    <dxf>
      <fill>
        <patternFill>
          <bgColor theme="3" tint="0.89996032593768116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Ines\Ines_privat\Datensicherung\SAP+DPNA.xlsx" TargetMode="External"/><Relationship Id="rId1" Type="http://schemas.openxmlformats.org/officeDocument/2006/relationships/externalLinkPath" Target="file:///S:\Ines\Ines_privat\Datensicherung\SAP+DP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6"/>
      <sheetName val="2026alt"/>
      <sheetName val="Feiertage"/>
      <sheetName val="Hinweise SAP"/>
      <sheetName val="Januar26"/>
      <sheetName val="Dezember26"/>
    </sheetNames>
    <sheetDataSet>
      <sheetData sheetId="0"/>
      <sheetData sheetId="1">
        <row r="2">
          <cell r="A2">
            <v>2026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9CF41-AD67-49F4-AA6D-0B9634DD9547}">
  <dimension ref="A1:X35"/>
  <sheetViews>
    <sheetView tabSelected="1" zoomScale="130" zoomScaleNormal="130" workbookViewId="0">
      <selection activeCell="A2" sqref="A2"/>
    </sheetView>
  </sheetViews>
  <sheetFormatPr baseColWidth="10" defaultColWidth="7.77734375" defaultRowHeight="14.4" outlineLevelRow="1" outlineLevelCol="2" x14ac:dyDescent="0.3"/>
  <cols>
    <col min="1" max="1" width="12.33203125" style="12" customWidth="1"/>
    <col min="2" max="2" width="15.33203125" style="13" bestFit="1" customWidth="1"/>
    <col min="3" max="3" width="8.77734375" style="4" customWidth="1"/>
    <col min="4" max="7" width="8.77734375" style="3" customWidth="1" outlineLevel="1"/>
    <col min="8" max="8" width="8.77734375" style="4" customWidth="1"/>
    <col min="9" max="9" width="10.33203125" style="4" customWidth="1"/>
    <col min="10" max="11" width="8.77734375" style="3" customWidth="1"/>
    <col min="12" max="12" width="10.6640625" style="5" customWidth="1" outlineLevel="2"/>
    <col min="13" max="13" width="8.77734375" style="6" customWidth="1"/>
    <col min="14" max="14" width="8.77734375" style="7" customWidth="1" outlineLevel="1"/>
    <col min="15" max="15" width="15.77734375" style="8" customWidth="1"/>
    <col min="16" max="16" width="12.88671875" style="8" bestFit="1" customWidth="1"/>
    <col min="17" max="18" width="7.77734375" style="8"/>
    <col min="19" max="19" width="11.88671875" style="8" bestFit="1" customWidth="1"/>
    <col min="20" max="16384" width="7.77734375" style="8"/>
  </cols>
  <sheetData>
    <row r="1" spans="1:24" ht="21" x14ac:dyDescent="0.3">
      <c r="A1" s="1">
        <v>2026</v>
      </c>
      <c r="B1" s="2"/>
      <c r="C1" s="2"/>
      <c r="P1" s="9"/>
      <c r="S1" s="9" t="s">
        <v>1</v>
      </c>
      <c r="T1" s="10">
        <v>0.39583333333333331</v>
      </c>
      <c r="U1" s="10">
        <v>0.40625</v>
      </c>
      <c r="V1" s="10">
        <v>0.41666666666666669</v>
      </c>
      <c r="W1" s="10">
        <v>0.25</v>
      </c>
      <c r="X1" s="11">
        <v>0.375</v>
      </c>
    </row>
    <row r="2" spans="1:24" x14ac:dyDescent="0.3">
      <c r="I2" s="46" t="s">
        <v>37</v>
      </c>
      <c r="J2" s="10"/>
      <c r="L2" s="14"/>
      <c r="M2" s="15"/>
      <c r="N2" s="16"/>
      <c r="S2" s="9" t="s">
        <v>2</v>
      </c>
      <c r="T2" s="10">
        <v>2.0833333333333332E-2</v>
      </c>
      <c r="U2" s="10">
        <v>3.125E-2</v>
      </c>
    </row>
    <row r="3" spans="1:24" ht="15" thickBot="1" x14ac:dyDescent="0.35">
      <c r="D3" s="45" t="s">
        <v>3</v>
      </c>
      <c r="E3" s="45"/>
      <c r="F3" s="45" t="s">
        <v>4</v>
      </c>
      <c r="G3" s="45"/>
      <c r="I3" s="46" t="s">
        <v>38</v>
      </c>
      <c r="K3" s="3" t="s">
        <v>5</v>
      </c>
      <c r="L3" s="5" t="s">
        <v>6</v>
      </c>
      <c r="M3" s="5" t="s">
        <v>6</v>
      </c>
      <c r="N3" s="7" t="s">
        <v>5</v>
      </c>
      <c r="S3" s="9" t="s">
        <v>7</v>
      </c>
      <c r="T3" s="7">
        <v>2</v>
      </c>
    </row>
    <row r="4" spans="1:24" x14ac:dyDescent="0.3">
      <c r="A4" s="17" t="s">
        <v>8</v>
      </c>
      <c r="B4" s="18" t="s">
        <v>9</v>
      </c>
      <c r="C4" s="4" t="s">
        <v>10</v>
      </c>
      <c r="D4" s="8" t="s">
        <v>10</v>
      </c>
      <c r="E4" s="8" t="s">
        <v>11</v>
      </c>
      <c r="F4" s="8" t="s">
        <v>10</v>
      </c>
      <c r="G4" s="8" t="s">
        <v>11</v>
      </c>
      <c r="H4" s="4" t="s">
        <v>11</v>
      </c>
      <c r="I4" s="4" t="s">
        <v>36</v>
      </c>
      <c r="J4" s="19" t="s">
        <v>12</v>
      </c>
      <c r="K4" s="20" t="s">
        <v>13</v>
      </c>
      <c r="L4" s="21" t="s">
        <v>13</v>
      </c>
      <c r="M4" s="22" t="s">
        <v>14</v>
      </c>
      <c r="N4" s="23" t="s">
        <v>14</v>
      </c>
      <c r="O4" s="44" t="s">
        <v>33</v>
      </c>
    </row>
    <row r="5" spans="1:24" outlineLevel="1" x14ac:dyDescent="0.3">
      <c r="A5" s="24">
        <f>DATE(A1,1,1)</f>
        <v>46023</v>
      </c>
      <c r="B5" s="25"/>
      <c r="C5" s="26"/>
      <c r="D5" s="27"/>
      <c r="E5" s="27"/>
      <c r="F5" s="28"/>
      <c r="G5" s="28"/>
      <c r="H5" s="29"/>
      <c r="I5" s="47" cm="1">
        <f t="array" ref="I5">IF( IFERROR((E5-D5)+(G5-F5), 0) &gt; 0, IFERROR((E5-D5)+(G5-F5), 0), SUMPRODUCT( IFERROR( EXP( LN( ( (H5-C5) - {0,360,390,570,585} / 1440 ) ) ), 0) * {0,1,-1,1,-1} ))</f>
        <v>0</v>
      </c>
      <c r="J5" s="30">
        <f>(H5-C5) - I5</f>
        <v>0</v>
      </c>
      <c r="K5" s="31" cm="1">
        <f t="array" ref="K5">IFERROR(ROUND(_xlfn.IFS(B5="AZA",-8,C5="","",J5&gt;$V$1,$T$3,C5&gt;0,(J5*24)-8,C5=0,0),2),0)</f>
        <v>0</v>
      </c>
      <c r="L5" s="32">
        <f t="shared" ref="L5:L35" si="0">K5/24</f>
        <v>0</v>
      </c>
      <c r="M5" s="33">
        <v>8.3333333333333329E-2</v>
      </c>
      <c r="N5" s="34">
        <f>M5*24</f>
        <v>2</v>
      </c>
      <c r="O5" s="44" t="s">
        <v>34</v>
      </c>
      <c r="P5" s="8" t="str">
        <f ca="1">_xlfn.FORMULATEXT(J5)</f>
        <v>=(H5-C5) - I5</v>
      </c>
    </row>
    <row r="6" spans="1:24" outlineLevel="1" x14ac:dyDescent="0.3">
      <c r="A6" s="24">
        <f>A5+1</f>
        <v>46024</v>
      </c>
      <c r="B6" s="25"/>
      <c r="C6" s="26">
        <v>0.29166666666666669</v>
      </c>
      <c r="D6" s="27"/>
      <c r="E6" s="27"/>
      <c r="F6" s="28"/>
      <c r="G6" s="28"/>
      <c r="H6" s="29">
        <v>0.64583333333333337</v>
      </c>
      <c r="I6" s="47" cm="1">
        <f t="array" ref="I6">IF( IFERROR((E6-D6)+(G6-F6), 0) &gt; 0, IFERROR((E6-D6)+(G6-F6), 0), SUMPRODUCT( IFERROR( EXP( LN( ( (H6-C6) - {0,360,390,570,585} / 1440 ) ) ), 0) * {0,1,-1,1,-1} ))</f>
        <v>2.0833333333333329E-2</v>
      </c>
      <c r="J6" s="30">
        <f>(H6-C6) - I6</f>
        <v>0.33333333333333337</v>
      </c>
      <c r="K6" s="31" cm="1">
        <f t="array" ref="K6">IFERROR(ROUND(_xlfn.IFS(B6="AZA",-8,C6="","",J6&gt;$V$1,$T$3,C6&gt;0,(J6*24)-8,C6=0,0),2),0)</f>
        <v>0</v>
      </c>
      <c r="L6" s="32">
        <f t="shared" ref="L6" si="1">K6/24</f>
        <v>0</v>
      </c>
      <c r="M6" s="33">
        <f t="shared" ref="M6:M8" si="2">M5+K6/24</f>
        <v>8.3333333333333329E-2</v>
      </c>
      <c r="N6" s="34">
        <f>M6*24</f>
        <v>2</v>
      </c>
      <c r="O6" s="44" t="s">
        <v>35</v>
      </c>
      <c r="P6" s="8" t="str">
        <f ca="1">_xlfn.FORMULATEXT(K5)</f>
        <v>=WENNFEHLER(RUNDEN(WENNS(B5="AZA";-8;C5="";"";J5&gt;$V$1;$T$3;C5&gt;0;(J5*24)-8;C5=0;0);2);0)</v>
      </c>
    </row>
    <row r="7" spans="1:24" outlineLevel="1" x14ac:dyDescent="0.3">
      <c r="A7" s="24">
        <f>A6+1</f>
        <v>46025</v>
      </c>
      <c r="B7" s="25"/>
      <c r="C7" s="26"/>
      <c r="D7" s="27"/>
      <c r="E7" s="27" t="str">
        <f>IF(D7&gt;0,D7+$T$2,"")</f>
        <v/>
      </c>
      <c r="F7" s="28"/>
      <c r="G7" s="28"/>
      <c r="H7" s="29"/>
      <c r="I7" s="47" cm="1">
        <f t="array" ref="I7">IF( IFERROR((E7-D7)+(G7-F7), 0) &gt; 0, IFERROR((E7-D7)+(G7-F7), 0), SUMPRODUCT( IFERROR( EXP( LN( ( (H7-C7) - {0,360,390,570,585} / 1440 ) ) ), 0) * {0,1,-1,1,-1} ))</f>
        <v>0</v>
      </c>
      <c r="J7" s="30">
        <f t="shared" ref="J7:J35" si="3">(H7-C7) - I7</f>
        <v>0</v>
      </c>
      <c r="K7" s="31" cm="1">
        <f t="array" ref="K7">IFERROR(ROUND(_xlfn.IFS(B7="AZA",-8,C7="","",J7&gt;$V$1,$T$3,C7&gt;0,(J7*24)-8,C7=0,0),2),0)</f>
        <v>0</v>
      </c>
      <c r="L7" s="32">
        <f t="shared" si="0"/>
        <v>0</v>
      </c>
      <c r="M7" s="33">
        <f t="shared" si="2"/>
        <v>8.3333333333333329E-2</v>
      </c>
      <c r="N7" s="34">
        <f t="shared" ref="N7:N35" si="4">M7*24</f>
        <v>2</v>
      </c>
    </row>
    <row r="8" spans="1:24" outlineLevel="1" x14ac:dyDescent="0.3">
      <c r="A8" s="24">
        <f t="shared" ref="A8:A35" si="5">A7+1</f>
        <v>46026</v>
      </c>
      <c r="B8" s="25"/>
      <c r="C8" s="26"/>
      <c r="D8" s="27"/>
      <c r="E8" s="27" t="str">
        <f>IF(D8&gt;0,D8+$T$2,"")</f>
        <v/>
      </c>
      <c r="F8" s="28"/>
      <c r="G8" s="28"/>
      <c r="H8" s="29"/>
      <c r="I8" s="47" cm="1">
        <f t="array" ref="I8">IF( IFERROR((E8-D8)+(G8-F8), 0) &gt; 0, IFERROR((E8-D8)+(G8-F8), 0), SUMPRODUCT( IFERROR( EXP( LN( ( (H8-C8) - {0,360,390,570,585} / 1440 ) ) ), 0) * {0,1,-1,1,-1} ))</f>
        <v>0</v>
      </c>
      <c r="J8" s="30">
        <f t="shared" si="3"/>
        <v>0</v>
      </c>
      <c r="K8" s="31" cm="1">
        <f t="array" ref="K8">IFERROR(ROUND(_xlfn.IFS(B8="AZA",-8,C8="","",J8&gt;$V$1,$T$3,C8&gt;0,(J8*24)-8,C8=0,0),2),0)</f>
        <v>0</v>
      </c>
      <c r="L8" s="32">
        <f t="shared" si="0"/>
        <v>0</v>
      </c>
      <c r="M8" s="33">
        <f t="shared" si="2"/>
        <v>8.3333333333333329E-2</v>
      </c>
      <c r="N8" s="34">
        <f t="shared" si="4"/>
        <v>2</v>
      </c>
    </row>
    <row r="9" spans="1:24" outlineLevel="1" x14ac:dyDescent="0.3">
      <c r="A9" s="24">
        <f t="shared" si="5"/>
        <v>46027</v>
      </c>
      <c r="B9" s="25"/>
      <c r="C9" s="26">
        <v>0.25347222222222221</v>
      </c>
      <c r="D9" s="27"/>
      <c r="E9" s="27"/>
      <c r="F9" s="28"/>
      <c r="G9" s="28"/>
      <c r="H9" s="29">
        <v>0.64930555555555558</v>
      </c>
      <c r="I9" s="47" cm="1">
        <f t="array" ref="I9">IF( IFERROR((E9-D9)+(G9-F9), 0) &gt; 0, IFERROR((E9-D9)+(G9-F9), 0), SUMPRODUCT( IFERROR( EXP( LN( ( (H9-C9) - {0,360,390,570,585} / 1440 ) ) ), 0) * {0,1,-1,1,-1} ))</f>
        <v>2.0833333333333315E-2</v>
      </c>
      <c r="J9" s="30">
        <f t="shared" si="3"/>
        <v>0.37500000000000006</v>
      </c>
      <c r="K9" s="31" cm="1">
        <f t="array" ref="K9">IFERROR(ROUND(_xlfn.IFS(B9="AZA",-8,C9="","",J9&gt;$V$1,$T$3,C9&gt;0,(J9*24)-8,C9=0,0),2),0)</f>
        <v>1</v>
      </c>
      <c r="L9" s="32">
        <f t="shared" si="0"/>
        <v>4.1666666666666664E-2</v>
      </c>
      <c r="M9" s="33">
        <f t="shared" ref="M9:M35" si="6">M8+K9/24</f>
        <v>0.125</v>
      </c>
      <c r="N9" s="34">
        <f t="shared" si="4"/>
        <v>3</v>
      </c>
      <c r="P9" s="11"/>
    </row>
    <row r="10" spans="1:24" outlineLevel="1" x14ac:dyDescent="0.3">
      <c r="A10" s="24">
        <f t="shared" si="5"/>
        <v>46028</v>
      </c>
      <c r="B10" s="25"/>
      <c r="C10" s="26">
        <v>0.25</v>
      </c>
      <c r="D10" s="27">
        <v>0.47916666666666669</v>
      </c>
      <c r="E10" s="27">
        <v>0.52083333333333337</v>
      </c>
      <c r="F10" s="28"/>
      <c r="G10" s="28"/>
      <c r="H10" s="29">
        <v>0.625</v>
      </c>
      <c r="I10" s="47" cm="1">
        <f t="array" ref="I10">IF( IFERROR((E10-D10)+(G10-F10), 0) &gt; 0, IFERROR((E10-D10)+(G10-F10), 0), SUMPRODUCT( IFERROR( EXP( LN( ( (H10-C10) - {0,360,390,570,585} / 1440 ) ) ), 0) * {0,1,-1,1,-1} ))</f>
        <v>4.1666666666666685E-2</v>
      </c>
      <c r="J10" s="30">
        <f t="shared" si="3"/>
        <v>0.33333333333333331</v>
      </c>
      <c r="K10" s="31" cm="1">
        <f t="array" ref="K10">IFERROR(ROUND(_xlfn.IFS(B10="AZA",-8,C10="","",J10&gt;$V$1,$T$3,C10&gt;0,(J10*24)-8,C10=0,0),2),0)</f>
        <v>0</v>
      </c>
      <c r="L10" s="32">
        <f t="shared" si="0"/>
        <v>0</v>
      </c>
      <c r="M10" s="33">
        <f t="shared" si="6"/>
        <v>0.125</v>
      </c>
      <c r="N10" s="34">
        <f t="shared" si="4"/>
        <v>3</v>
      </c>
    </row>
    <row r="11" spans="1:24" outlineLevel="1" x14ac:dyDescent="0.3">
      <c r="A11" s="24">
        <f t="shared" si="5"/>
        <v>46029</v>
      </c>
      <c r="B11" s="25"/>
      <c r="C11" s="26">
        <v>0.37152777777777773</v>
      </c>
      <c r="D11" s="27"/>
      <c r="E11" s="27"/>
      <c r="F11" s="28"/>
      <c r="G11" s="28"/>
      <c r="H11" s="29">
        <v>0.68402777777777779</v>
      </c>
      <c r="I11" s="47" cm="1">
        <f t="array" ref="I11">IF( IFERROR((E11-D11)+(G11-F11), 0) &gt; 0, IFERROR((E11-D11)+(G11-F11), 0), SUMPRODUCT( IFERROR( EXP( LN( ( (H11-C11) - {0,360,390,570,585} / 1440 ) ) ), 0) * {0,1,-1,1,-1} ))</f>
        <v>2.0833333333333322E-2</v>
      </c>
      <c r="J11" s="30">
        <f t="shared" si="3"/>
        <v>0.29166666666666674</v>
      </c>
      <c r="K11" s="31" cm="1">
        <f t="array" ref="K11">IFERROR(ROUND(_xlfn.IFS(B11="AZA",-8,C11="","",J11&gt;$V$1,$T$3,C11&gt;0,(J11*24)-8,C11=0,0),2),0)</f>
        <v>-1</v>
      </c>
      <c r="L11" s="32">
        <f t="shared" si="0"/>
        <v>-4.1666666666666664E-2</v>
      </c>
      <c r="M11" s="33">
        <f t="shared" si="6"/>
        <v>8.3333333333333343E-2</v>
      </c>
      <c r="N11" s="34">
        <f t="shared" si="4"/>
        <v>2</v>
      </c>
    </row>
    <row r="12" spans="1:24" outlineLevel="1" x14ac:dyDescent="0.3">
      <c r="A12" s="24">
        <f t="shared" si="5"/>
        <v>46030</v>
      </c>
      <c r="B12" s="25"/>
      <c r="C12" s="26">
        <v>0.28819444444444448</v>
      </c>
      <c r="D12" s="27">
        <v>0.34375</v>
      </c>
      <c r="E12" s="27">
        <v>0.375</v>
      </c>
      <c r="F12" s="28">
        <v>0.5</v>
      </c>
      <c r="G12" s="28">
        <v>0.57291666666666663</v>
      </c>
      <c r="H12" s="29">
        <v>0.67708333333333337</v>
      </c>
      <c r="I12" s="47" cm="1">
        <f t="array" ref="I12">IF( IFERROR((E12-D12)+(G12-F12), 0) &gt; 0, IFERROR((E12-D12)+(G12-F12), 0), SUMPRODUCT( IFERROR( EXP( LN( ( (H12-C12) - {0,360,390,570,585} / 1440 ) ) ), 0) * {0,1,-1,1,-1} ))</f>
        <v>0.10416666666666663</v>
      </c>
      <c r="J12" s="30">
        <f t="shared" si="3"/>
        <v>0.28472222222222227</v>
      </c>
      <c r="K12" s="31" cm="1">
        <f t="array" ref="K12">IFERROR(ROUND(_xlfn.IFS(B12="AZA",-8,C12="","",J12&gt;$V$1,$T$3,C12&gt;0,(J12*24)-8,C12=0,0),2),0)</f>
        <v>-1.17</v>
      </c>
      <c r="L12" s="32">
        <f t="shared" si="0"/>
        <v>-4.8749999999999995E-2</v>
      </c>
      <c r="M12" s="33">
        <f t="shared" si="6"/>
        <v>3.4583333333333348E-2</v>
      </c>
      <c r="N12" s="34">
        <f t="shared" si="4"/>
        <v>0.83000000000000029</v>
      </c>
    </row>
    <row r="13" spans="1:24" outlineLevel="1" x14ac:dyDescent="0.3">
      <c r="A13" s="24">
        <f t="shared" si="5"/>
        <v>46031</v>
      </c>
      <c r="B13" s="25"/>
      <c r="C13" s="26">
        <v>0.25</v>
      </c>
      <c r="D13" s="27"/>
      <c r="E13" s="27"/>
      <c r="F13" s="28"/>
      <c r="G13" s="28"/>
      <c r="H13" s="29">
        <v>0.64583333333333337</v>
      </c>
      <c r="I13" s="47" cm="1">
        <f t="array" ref="I13">IF( IFERROR((E13-D13)+(G13-F13), 0) &gt; 0, IFERROR((E13-D13)+(G13-F13), 0), SUMPRODUCT( IFERROR( EXP( LN( ( (H13-C13) - {0,360,390,570,585} / 1440 ) ) ), 0) * {0,1,-1,1,-1} ))</f>
        <v>2.0833333333333315E-2</v>
      </c>
      <c r="J13" s="30">
        <f t="shared" si="3"/>
        <v>0.37500000000000006</v>
      </c>
      <c r="K13" s="31" cm="1">
        <f t="array" ref="K13">IFERROR(ROUND(_xlfn.IFS(B13="AZA",-8,C13="","",J13&gt;$V$1,$T$3,C13&gt;0,(J13*24)-8,C13=0,0),2),0)</f>
        <v>1</v>
      </c>
      <c r="L13" s="32">
        <f t="shared" si="0"/>
        <v>4.1666666666666664E-2</v>
      </c>
      <c r="M13" s="33">
        <f t="shared" si="6"/>
        <v>7.6250000000000012E-2</v>
      </c>
      <c r="N13" s="34">
        <f t="shared" si="4"/>
        <v>1.8300000000000003</v>
      </c>
    </row>
    <row r="14" spans="1:24" outlineLevel="1" x14ac:dyDescent="0.3">
      <c r="A14" s="24">
        <f t="shared" si="5"/>
        <v>46032</v>
      </c>
      <c r="B14" s="25"/>
      <c r="C14" s="35"/>
      <c r="D14" s="36"/>
      <c r="E14" s="36" t="str">
        <f t="shared" ref="E14:E23" si="7">IF(D14&gt;0,D14+$T$2,"")</f>
        <v/>
      </c>
      <c r="F14" s="37"/>
      <c r="G14" s="37"/>
      <c r="H14" s="38"/>
      <c r="I14" s="47" cm="1">
        <f t="array" ref="I14">IF( IFERROR((E14-D14)+(G14-F14), 0) &gt; 0, IFERROR((E14-D14)+(G14-F14), 0), SUMPRODUCT( IFERROR( EXP( LN( ( (H14-C14) - {0,360,390,570,585} / 1440 ) ) ), 0) * {0,1,-1,1,-1} ))</f>
        <v>0</v>
      </c>
      <c r="J14" s="30">
        <f t="shared" si="3"/>
        <v>0</v>
      </c>
      <c r="K14" s="31" cm="1">
        <f t="array" ref="K14">IFERROR(ROUND(_xlfn.IFS(B14="AZA",-8,C14="","",J14&gt;$V$1,$T$3,C14&gt;0,(J14*24)-8,C14=0,0),2),0)</f>
        <v>0</v>
      </c>
      <c r="L14" s="32">
        <f t="shared" si="0"/>
        <v>0</v>
      </c>
      <c r="M14" s="33">
        <f t="shared" si="6"/>
        <v>7.6250000000000012E-2</v>
      </c>
      <c r="N14" s="34">
        <f t="shared" si="4"/>
        <v>1.8300000000000003</v>
      </c>
    </row>
    <row r="15" spans="1:24" outlineLevel="1" x14ac:dyDescent="0.3">
      <c r="A15" s="24">
        <f t="shared" si="5"/>
        <v>46033</v>
      </c>
      <c r="B15" s="25"/>
      <c r="C15" s="35"/>
      <c r="D15" s="36"/>
      <c r="E15" s="36" t="str">
        <f t="shared" si="7"/>
        <v/>
      </c>
      <c r="F15" s="37"/>
      <c r="G15" s="37"/>
      <c r="H15" s="38"/>
      <c r="I15" s="47" cm="1">
        <f t="array" ref="I15">IF( IFERROR((E15-D15)+(G15-F15), 0) &gt; 0, IFERROR((E15-D15)+(G15-F15), 0), SUMPRODUCT( IFERROR( EXP( LN( ( (H15-C15) - {0,360,390,570,585} / 1440 ) ) ), 0) * {0,1,-1,1,-1} ))</f>
        <v>0</v>
      </c>
      <c r="J15" s="30">
        <f t="shared" si="3"/>
        <v>0</v>
      </c>
      <c r="K15" s="31" cm="1">
        <f t="array" ref="K15">IFERROR(ROUND(_xlfn.IFS(B15="AZA",-8,C15="","",J15&gt;$V$1,$T$3,C15&gt;0,(J15*24)-8,C15=0,0),2),0)</f>
        <v>0</v>
      </c>
      <c r="L15" s="32">
        <f t="shared" si="0"/>
        <v>0</v>
      </c>
      <c r="M15" s="33">
        <f t="shared" si="6"/>
        <v>7.6250000000000012E-2</v>
      </c>
      <c r="N15" s="34">
        <f t="shared" si="4"/>
        <v>1.8300000000000003</v>
      </c>
    </row>
    <row r="16" spans="1:24" outlineLevel="1" x14ac:dyDescent="0.3">
      <c r="A16" s="24">
        <f t="shared" si="5"/>
        <v>46034</v>
      </c>
      <c r="B16" s="48"/>
      <c r="C16" s="26">
        <v>0.25</v>
      </c>
      <c r="D16" s="36"/>
      <c r="E16" s="36" t="str">
        <f t="shared" si="7"/>
        <v/>
      </c>
      <c r="F16" s="37"/>
      <c r="G16" s="37"/>
      <c r="H16" s="29">
        <v>0.625</v>
      </c>
      <c r="I16" s="47" cm="1">
        <f t="array" ref="I16">IF( IFERROR((E16-D16)+(G16-F16), 0) &gt; 0, IFERROR((E16-D16)+(G16-F16), 0), SUMPRODUCT( IFERROR( EXP( LN( ( (H16-C16) - {0,360,390,570,585} / 1440 ) ) ), 0) * {0,1,-1,1,-1} ))</f>
        <v>2.0833333333333329E-2</v>
      </c>
      <c r="J16" s="30">
        <f t="shared" si="3"/>
        <v>0.35416666666666669</v>
      </c>
      <c r="K16" s="31" cm="1">
        <f t="array" ref="K16">IFERROR(ROUND(_xlfn.IFS(B16="AZA",-8,C16="","",J16&gt;$V$1,$T$3,C16&gt;0,(J16*24)-8,C16=0,0),2),0)</f>
        <v>0.5</v>
      </c>
      <c r="L16" s="32">
        <f t="shared" si="0"/>
        <v>2.0833333333333332E-2</v>
      </c>
      <c r="M16" s="33">
        <f t="shared" si="6"/>
        <v>9.7083333333333341E-2</v>
      </c>
      <c r="N16" s="34">
        <f t="shared" si="4"/>
        <v>2.33</v>
      </c>
    </row>
    <row r="17" spans="1:16" outlineLevel="1" x14ac:dyDescent="0.3">
      <c r="A17" s="24">
        <f t="shared" si="5"/>
        <v>46035</v>
      </c>
      <c r="B17" s="25"/>
      <c r="C17" s="26">
        <v>0.26597222222222222</v>
      </c>
      <c r="D17" s="36"/>
      <c r="E17" s="36" t="str">
        <f t="shared" si="7"/>
        <v/>
      </c>
      <c r="F17" s="37"/>
      <c r="G17" s="37"/>
      <c r="H17" s="29">
        <v>0.61458333333333337</v>
      </c>
      <c r="I17" s="47" cm="1">
        <f t="array" ref="I17">IF( IFERROR((E17-D17)+(G17-F17), 0) &gt; 0, IFERROR((E17-D17)+(G17-F17), 0), SUMPRODUCT( IFERROR( EXP( LN( ( (H17-C17) - {0,360,390,570,585} / 1440 ) ) ), 0) * {0,1,-1,1,-1} ))</f>
        <v>2.0833333333333315E-2</v>
      </c>
      <c r="J17" s="30">
        <f t="shared" si="3"/>
        <v>0.32777777777777783</v>
      </c>
      <c r="K17" s="31" cm="1">
        <f t="array" ref="K17">IFERROR(ROUND(_xlfn.IFS(B17="AZA",-8,C17="","",J17&gt;$V$1,$T$3,C17&gt;0,(J17*24)-8,C17=0,0),2),0)</f>
        <v>-0.13</v>
      </c>
      <c r="L17" s="32">
        <f t="shared" si="0"/>
        <v>-5.4166666666666669E-3</v>
      </c>
      <c r="M17" s="33">
        <f t="shared" si="6"/>
        <v>9.1666666666666674E-2</v>
      </c>
      <c r="N17" s="34">
        <f t="shared" si="4"/>
        <v>2.2000000000000002</v>
      </c>
    </row>
    <row r="18" spans="1:16" outlineLevel="1" x14ac:dyDescent="0.3">
      <c r="A18" s="24">
        <f t="shared" si="5"/>
        <v>46036</v>
      </c>
      <c r="B18" s="25" t="s">
        <v>15</v>
      </c>
      <c r="C18" s="26"/>
      <c r="D18" s="36"/>
      <c r="E18" s="36"/>
      <c r="F18" s="37"/>
      <c r="G18" s="37"/>
      <c r="H18" s="29"/>
      <c r="I18" s="47" cm="1">
        <f t="array" ref="I18">IF( IFERROR((E18-D18)+(G18-F18), 0) &gt; 0, IFERROR((E18-D18)+(G18-F18), 0), SUMPRODUCT( IFERROR( EXP( LN( ( (H18-C18) - {0,360,390,570,585} / 1440 ) ) ), 0) * {0,1,-1,1,-1} ))</f>
        <v>0</v>
      </c>
      <c r="J18" s="30">
        <f t="shared" si="3"/>
        <v>0</v>
      </c>
      <c r="K18" s="31" cm="1">
        <f t="array" ref="K18">IFERROR(ROUND(_xlfn.IFS(B18="AZA",-8,C18="","",J18&gt;$V$1,$T$3,C18&gt;0,(J18*24)-8,C18=0,0),2),0)</f>
        <v>0</v>
      </c>
      <c r="L18" s="32">
        <f t="shared" si="0"/>
        <v>0</v>
      </c>
      <c r="M18" s="33">
        <f t="shared" si="6"/>
        <v>9.1666666666666674E-2</v>
      </c>
      <c r="N18" s="34">
        <f t="shared" si="4"/>
        <v>2.2000000000000002</v>
      </c>
    </row>
    <row r="19" spans="1:16" outlineLevel="1" x14ac:dyDescent="0.3">
      <c r="A19" s="24">
        <f t="shared" si="5"/>
        <v>46037</v>
      </c>
      <c r="B19" s="25" t="s">
        <v>17</v>
      </c>
      <c r="C19" s="26"/>
      <c r="D19" s="36"/>
      <c r="E19" s="36"/>
      <c r="F19" s="37"/>
      <c r="G19" s="37"/>
      <c r="H19" s="29"/>
      <c r="I19" s="47" cm="1">
        <f t="array" ref="I19">IF( IFERROR((E19-D19)+(G19-F19), 0) &gt; 0, IFERROR((E19-D19)+(G19-F19), 0), SUMPRODUCT( IFERROR( EXP( LN( ( (H19-C19) - {0,360,390,570,585} / 1440 ) ) ), 0) * {0,1,-1,1,-1} ))</f>
        <v>0</v>
      </c>
      <c r="J19" s="30">
        <f t="shared" si="3"/>
        <v>0</v>
      </c>
      <c r="K19" s="31" cm="1">
        <f t="array" ref="K19">IFERROR(ROUND(_xlfn.IFS(B19="AZA",-8,C19="","",J19&gt;$V$1,$T$3,C19&gt;0,(J19*24)-8,C19=0,0),2),0)</f>
        <v>0</v>
      </c>
      <c r="L19" s="32">
        <f t="shared" si="0"/>
        <v>0</v>
      </c>
      <c r="M19" s="33">
        <f t="shared" si="6"/>
        <v>9.1666666666666674E-2</v>
      </c>
      <c r="N19" s="34">
        <f t="shared" si="4"/>
        <v>2.2000000000000002</v>
      </c>
    </row>
    <row r="20" spans="1:16" outlineLevel="1" x14ac:dyDescent="0.3">
      <c r="A20" s="24">
        <f t="shared" si="5"/>
        <v>46038</v>
      </c>
      <c r="B20" s="25" t="s">
        <v>0</v>
      </c>
      <c r="C20" s="26">
        <v>0.27430555555555552</v>
      </c>
      <c r="D20" s="36"/>
      <c r="E20" s="36" t="str">
        <f t="shared" si="7"/>
        <v/>
      </c>
      <c r="F20" s="37"/>
      <c r="G20" s="37"/>
      <c r="H20" s="29">
        <v>0.72569444444444453</v>
      </c>
      <c r="I20" s="47" cm="1">
        <f t="array" ref="I20">IF( IFERROR((E20-D20)+(G20-F20), 0) &gt; 0, IFERROR((E20-D20)+(G20-F20), 0), SUMPRODUCT( IFERROR( EXP( LN( ( (H20-C20) - {0,360,390,570,585} / 1440 ) ) ), 0) * {0,1,-1,1,-1} ))</f>
        <v>3.1250000000000007E-2</v>
      </c>
      <c r="J20" s="30">
        <f t="shared" si="3"/>
        <v>0.42013888888888901</v>
      </c>
      <c r="K20" s="31" cm="1">
        <f t="array" ref="K20">IFERROR(ROUND(_xlfn.IFS(B20="AZA",-8,C20="","",J20&gt;$V$1,$T$3,C20&gt;0,(J20*24)-8,C20=0,0),2),0)</f>
        <v>2</v>
      </c>
      <c r="L20" s="32">
        <f t="shared" si="0"/>
        <v>8.3333333333333329E-2</v>
      </c>
      <c r="M20" s="33">
        <f t="shared" si="6"/>
        <v>0.17499999999999999</v>
      </c>
      <c r="N20" s="34">
        <f t="shared" si="4"/>
        <v>4.1999999999999993</v>
      </c>
    </row>
    <row r="21" spans="1:16" outlineLevel="1" x14ac:dyDescent="0.3">
      <c r="A21" s="24">
        <f t="shared" si="5"/>
        <v>46039</v>
      </c>
      <c r="B21" s="25"/>
      <c r="C21" s="35"/>
      <c r="D21" s="36"/>
      <c r="E21" s="36" t="str">
        <f t="shared" si="7"/>
        <v/>
      </c>
      <c r="F21" s="37"/>
      <c r="G21" s="37"/>
      <c r="H21" s="38"/>
      <c r="I21" s="47" cm="1">
        <f t="array" ref="I21">IF( IFERROR((E21-D21)+(G21-F21), 0) &gt; 0, IFERROR((E21-D21)+(G21-F21), 0), SUMPRODUCT( IFERROR( EXP( LN( ( (H21-C21) - {0,360,390,570,585} / 1440 ) ) ), 0) * {0,1,-1,1,-1} ))</f>
        <v>0</v>
      </c>
      <c r="J21" s="30">
        <f t="shared" si="3"/>
        <v>0</v>
      </c>
      <c r="K21" s="31" cm="1">
        <f t="array" ref="K21">IFERROR(ROUND(_xlfn.IFS(B21="AZA",-8,C21="","",J21&gt;$V$1,$T$3,C21&gt;0,(J21*24)-8,C21=0,0),2),0)</f>
        <v>0</v>
      </c>
      <c r="L21" s="32">
        <f t="shared" si="0"/>
        <v>0</v>
      </c>
      <c r="M21" s="33">
        <f t="shared" si="6"/>
        <v>0.17499999999999999</v>
      </c>
      <c r="N21" s="34">
        <f t="shared" si="4"/>
        <v>4.1999999999999993</v>
      </c>
    </row>
    <row r="22" spans="1:16" outlineLevel="1" x14ac:dyDescent="0.3">
      <c r="A22" s="24">
        <f t="shared" si="5"/>
        <v>46040</v>
      </c>
      <c r="B22" s="25"/>
      <c r="C22" s="35"/>
      <c r="D22" s="36"/>
      <c r="E22" s="36" t="str">
        <f t="shared" si="7"/>
        <v/>
      </c>
      <c r="F22" s="37"/>
      <c r="G22" s="37"/>
      <c r="H22" s="38"/>
      <c r="I22" s="47" cm="1">
        <f t="array" ref="I22">IF( IFERROR((E22-D22)+(G22-F22), 0) &gt; 0, IFERROR((E22-D22)+(G22-F22), 0), SUMPRODUCT( IFERROR( EXP( LN( ( (H22-C22) - {0,360,390,570,585} / 1440 ) ) ), 0) * {0,1,-1,1,-1} ))</f>
        <v>0</v>
      </c>
      <c r="J22" s="30">
        <f t="shared" si="3"/>
        <v>0</v>
      </c>
      <c r="K22" s="31" cm="1">
        <f t="array" ref="K22">IFERROR(ROUND(_xlfn.IFS(B22="AZA",-8,C22="","",J22&gt;$V$1,$T$3,C22&gt;0,(J22*24)-8,C22=0,0),2),0)</f>
        <v>0</v>
      </c>
      <c r="L22" s="32">
        <f t="shared" si="0"/>
        <v>0</v>
      </c>
      <c r="M22" s="33">
        <f t="shared" si="6"/>
        <v>0.17499999999999999</v>
      </c>
      <c r="N22" s="34">
        <f t="shared" si="4"/>
        <v>4.1999999999999993</v>
      </c>
    </row>
    <row r="23" spans="1:16" outlineLevel="1" x14ac:dyDescent="0.3">
      <c r="A23" s="24">
        <f t="shared" si="5"/>
        <v>46041</v>
      </c>
      <c r="B23" s="25" t="s">
        <v>16</v>
      </c>
      <c r="C23" s="35"/>
      <c r="D23" s="36"/>
      <c r="E23" s="36" t="str">
        <f t="shared" si="7"/>
        <v/>
      </c>
      <c r="F23" s="37"/>
      <c r="G23" s="37"/>
      <c r="H23" s="38"/>
      <c r="I23" s="47" cm="1">
        <f t="array" ref="I23">IF( IFERROR((E23-D23)+(G23-F23), 0) &gt; 0, IFERROR((E23-D23)+(G23-F23), 0), SUMPRODUCT( IFERROR( EXP( LN( ( (H23-C23) - {0,360,390,570,585} / 1440 ) ) ), 0) * {0,1,-1,1,-1} ))</f>
        <v>0</v>
      </c>
      <c r="J23" s="30">
        <f t="shared" si="3"/>
        <v>0</v>
      </c>
      <c r="K23" s="31" cm="1">
        <f t="array" ref="K23">IFERROR(ROUND(_xlfn.IFS(B23="AZA",-8,C23="","",J23&gt;$V$1,$T$3,C23&gt;0,(J23*24)-8,C23=0,0),2),0)</f>
        <v>-8</v>
      </c>
      <c r="L23" s="32">
        <f t="shared" si="0"/>
        <v>-0.33333333333333331</v>
      </c>
      <c r="M23" s="33">
        <f t="shared" si="6"/>
        <v>-0.15833333333333333</v>
      </c>
      <c r="N23" s="34">
        <f t="shared" si="4"/>
        <v>-3.8</v>
      </c>
    </row>
    <row r="24" spans="1:16" outlineLevel="1" x14ac:dyDescent="0.3">
      <c r="A24" s="24">
        <f t="shared" si="5"/>
        <v>46042</v>
      </c>
      <c r="B24" s="25"/>
      <c r="C24" s="26">
        <v>0.28125</v>
      </c>
      <c r="D24" s="27"/>
      <c r="E24" s="27"/>
      <c r="F24" s="28"/>
      <c r="G24" s="28"/>
      <c r="H24" s="29">
        <v>0.67361111111111116</v>
      </c>
      <c r="I24" s="47" cm="1">
        <f t="array" ref="I24">IF( IFERROR((E24-D24)+(G24-F24), 0) &gt; 0, IFERROR((E24-D24)+(G24-F24), 0), SUMPRODUCT( IFERROR( EXP( LN( ( (H24-C24) - {0,360,390,570,585} / 1440 ) ) ), 0) * {0,1,-1,1,-1} ))</f>
        <v>2.0833333333333315E-2</v>
      </c>
      <c r="J24" s="30">
        <f t="shared" si="3"/>
        <v>0.37152777777777785</v>
      </c>
      <c r="K24" s="31" cm="1">
        <f t="array" ref="K24">IFERROR(ROUND(_xlfn.IFS(B24="AZA",-8,C24="","",J24&gt;$V$1,$T$3,C24&gt;0,(J24*24)-8,C24=0,0),2),0)</f>
        <v>0.92</v>
      </c>
      <c r="L24" s="32">
        <f t="shared" si="0"/>
        <v>3.8333333333333337E-2</v>
      </c>
      <c r="M24" s="33">
        <f t="shared" si="6"/>
        <v>-0.12</v>
      </c>
      <c r="N24" s="34">
        <f t="shared" si="4"/>
        <v>-2.88</v>
      </c>
    </row>
    <row r="25" spans="1:16" outlineLevel="1" x14ac:dyDescent="0.3">
      <c r="A25" s="24">
        <f t="shared" si="5"/>
        <v>46043</v>
      </c>
      <c r="B25" s="25"/>
      <c r="C25" s="26">
        <v>0.27777777777777779</v>
      </c>
      <c r="D25" s="27">
        <v>0.5</v>
      </c>
      <c r="E25" s="27">
        <v>0.52777777777777779</v>
      </c>
      <c r="F25" s="28"/>
      <c r="G25" s="28"/>
      <c r="H25" s="29">
        <v>0.68055555555555547</v>
      </c>
      <c r="I25" s="47" cm="1">
        <f t="array" ref="I25">IF( IFERROR((E25-D25)+(G25-F25), 0) &gt; 0, IFERROR((E25-D25)+(G25-F25), 0), SUMPRODUCT( IFERROR( EXP( LN( ( (H25-C25) - {0,360,390,570,585} / 1440 ) ) ), 0) * {0,1,-1,1,-1} ))</f>
        <v>2.777777777777779E-2</v>
      </c>
      <c r="J25" s="30">
        <f t="shared" si="3"/>
        <v>0.37499999999999989</v>
      </c>
      <c r="K25" s="31" cm="1">
        <f t="array" ref="K25">IFERROR(ROUND(_xlfn.IFS(B25="AZA",-8,C25="","",J25&gt;$V$1,$T$3,C25&gt;0,(J25*24)-8,C25=0,0),2),0)</f>
        <v>1</v>
      </c>
      <c r="L25" s="32">
        <f t="shared" si="0"/>
        <v>4.1666666666666664E-2</v>
      </c>
      <c r="M25" s="33">
        <f t="shared" si="6"/>
        <v>-7.8333333333333338E-2</v>
      </c>
      <c r="N25" s="34">
        <f t="shared" si="4"/>
        <v>-1.8800000000000001</v>
      </c>
    </row>
    <row r="26" spans="1:16" outlineLevel="1" x14ac:dyDescent="0.3">
      <c r="A26" s="24">
        <f t="shared" si="5"/>
        <v>46044</v>
      </c>
      <c r="B26" s="25"/>
      <c r="C26" s="26">
        <v>0.25</v>
      </c>
      <c r="D26" s="27">
        <v>0.43055555555555558</v>
      </c>
      <c r="E26" s="27">
        <v>0.4861111111111111</v>
      </c>
      <c r="F26" s="28"/>
      <c r="G26" s="28"/>
      <c r="H26" s="29">
        <v>0.63888888888888895</v>
      </c>
      <c r="I26" s="47" cm="1">
        <f t="array" ref="I26">IF( IFERROR((E26-D26)+(G26-F26), 0) &gt; 0, IFERROR((E26-D26)+(G26-F26), 0), SUMPRODUCT( IFERROR( EXP( LN( ( (H26-C26) - {0,360,390,570,585} / 1440 ) ) ), 0) * {0,1,-1,1,-1} ))</f>
        <v>5.5555555555555525E-2</v>
      </c>
      <c r="J26" s="30">
        <f t="shared" si="3"/>
        <v>0.33333333333333343</v>
      </c>
      <c r="K26" s="31" cm="1">
        <f t="array" ref="K26">IFERROR(ROUND(_xlfn.IFS(B26="AZA",-8,C26="","",J26&gt;$V$1,$T$3,C26&gt;0,(J26*24)-8,C26=0,0),2),0)</f>
        <v>0</v>
      </c>
      <c r="L26" s="32">
        <f t="shared" si="0"/>
        <v>0</v>
      </c>
      <c r="M26" s="33">
        <f t="shared" si="6"/>
        <v>-7.8333333333333338E-2</v>
      </c>
      <c r="N26" s="34">
        <f t="shared" si="4"/>
        <v>-1.8800000000000001</v>
      </c>
    </row>
    <row r="27" spans="1:16" outlineLevel="1" x14ac:dyDescent="0.3">
      <c r="A27" s="24">
        <f t="shared" si="5"/>
        <v>46045</v>
      </c>
      <c r="B27" s="25"/>
      <c r="C27" s="26">
        <v>0.25</v>
      </c>
      <c r="D27" s="27">
        <v>0.4375</v>
      </c>
      <c r="E27" s="27">
        <v>0.47222222222222227</v>
      </c>
      <c r="F27" s="28"/>
      <c r="G27" s="28"/>
      <c r="H27" s="29">
        <v>0.61805555555555558</v>
      </c>
      <c r="I27" s="47" cm="1">
        <f t="array" ref="I27">IF( IFERROR((E27-D27)+(G27-F27), 0) &gt; 0, IFERROR((E27-D27)+(G27-F27), 0), SUMPRODUCT( IFERROR( EXP( LN( ( (H27-C27) - {0,360,390,570,585} / 1440 ) ) ), 0) * {0,1,-1,1,-1} ))</f>
        <v>3.4722222222222265E-2</v>
      </c>
      <c r="J27" s="30">
        <f t="shared" si="3"/>
        <v>0.33333333333333331</v>
      </c>
      <c r="K27" s="31" cm="1">
        <f t="array" ref="K27">IFERROR(ROUND(_xlfn.IFS(B27="AZA",-8,C27="","",J27&gt;$V$1,$T$3,C27&gt;0,(J27*24)-8,C27=0,0),2),0)</f>
        <v>0</v>
      </c>
      <c r="L27" s="32">
        <f t="shared" si="0"/>
        <v>0</v>
      </c>
      <c r="M27" s="33">
        <f t="shared" si="6"/>
        <v>-7.8333333333333338E-2</v>
      </c>
      <c r="N27" s="34">
        <f t="shared" si="4"/>
        <v>-1.8800000000000001</v>
      </c>
    </row>
    <row r="28" spans="1:16" outlineLevel="1" x14ac:dyDescent="0.3">
      <c r="A28" s="24">
        <f t="shared" si="5"/>
        <v>46046</v>
      </c>
      <c r="B28" s="25"/>
      <c r="C28" s="35"/>
      <c r="D28" s="36"/>
      <c r="E28" s="27" t="str">
        <f>IF(D28&gt;0,D28+$T$2,"")</f>
        <v/>
      </c>
      <c r="F28" s="28"/>
      <c r="G28" s="28"/>
      <c r="H28" s="38"/>
      <c r="I28" s="47" cm="1">
        <f t="array" ref="I28">IF( IFERROR((E28-D28)+(G28-F28), 0) &gt; 0, IFERROR((E28-D28)+(G28-F28), 0), SUMPRODUCT( IFERROR( EXP( LN( ( (H28-C28) - {0,360,390,570,585} / 1440 ) ) ), 0) * {0,1,-1,1,-1} ))</f>
        <v>0</v>
      </c>
      <c r="J28" s="30">
        <f t="shared" si="3"/>
        <v>0</v>
      </c>
      <c r="K28" s="31" cm="1">
        <f t="array" ref="K28">IFERROR(ROUND(_xlfn.IFS(B28="AZA",-8,C28="","",J28&gt;$V$1,$T$3,C28&gt;0,(J28*24)-8,C28=0,0),2),0)</f>
        <v>0</v>
      </c>
      <c r="L28" s="32">
        <f t="shared" si="0"/>
        <v>0</v>
      </c>
      <c r="M28" s="33">
        <f t="shared" si="6"/>
        <v>-7.8333333333333338E-2</v>
      </c>
      <c r="N28" s="34">
        <f t="shared" si="4"/>
        <v>-1.8800000000000001</v>
      </c>
    </row>
    <row r="29" spans="1:16" outlineLevel="1" x14ac:dyDescent="0.3">
      <c r="A29" s="24">
        <f t="shared" si="5"/>
        <v>46047</v>
      </c>
      <c r="B29" s="25"/>
      <c r="C29" s="35"/>
      <c r="D29" s="36"/>
      <c r="E29" s="27" t="str">
        <f>IF(D29&gt;0,D29+$T$2,"")</f>
        <v/>
      </c>
      <c r="F29" s="28"/>
      <c r="G29" s="28"/>
      <c r="H29" s="38"/>
      <c r="I29" s="47" cm="1">
        <f t="array" ref="I29">IF( IFERROR((E29-D29)+(G29-F29), 0) &gt; 0, IFERROR((E29-D29)+(G29-F29), 0), SUMPRODUCT( IFERROR( EXP( LN( ( (H29-C29) - {0,360,390,570,585} / 1440 ) ) ), 0) * {0,1,-1,1,-1} ))</f>
        <v>0</v>
      </c>
      <c r="J29" s="30">
        <f t="shared" si="3"/>
        <v>0</v>
      </c>
      <c r="K29" s="31" cm="1">
        <f t="array" ref="K29">IFERROR(ROUND(_xlfn.IFS(B29="AZA",-8,C29="","",J29&gt;$V$1,$T$3,C29&gt;0,(J29*24)-8,C29=0,0),2),0)</f>
        <v>0</v>
      </c>
      <c r="L29" s="32">
        <f t="shared" si="0"/>
        <v>0</v>
      </c>
      <c r="M29" s="33">
        <f t="shared" si="6"/>
        <v>-7.8333333333333338E-2</v>
      </c>
      <c r="N29" s="34">
        <f t="shared" si="4"/>
        <v>-1.8800000000000001</v>
      </c>
    </row>
    <row r="30" spans="1:16" outlineLevel="1" x14ac:dyDescent="0.3">
      <c r="A30" s="24">
        <f t="shared" si="5"/>
        <v>46048</v>
      </c>
      <c r="B30" s="25"/>
      <c r="C30" s="26">
        <v>0.26041666666666669</v>
      </c>
      <c r="D30" s="27"/>
      <c r="E30" s="27"/>
      <c r="F30" s="28"/>
      <c r="G30" s="28"/>
      <c r="H30" s="29">
        <v>0.69444444444444453</v>
      </c>
      <c r="I30" s="47" cm="1">
        <f t="array" ref="I30">IF( IFERROR((E30-D30)+(G30-F30), 0) &gt; 0, IFERROR((E30-D30)+(G30-F30), 0), SUMPRODUCT( IFERROR( EXP( LN( ( (H30-C30) - {0,360,390,570,585} / 1440 ) ) ), 0) * {0,1,-1,1,-1} ))</f>
        <v>3.1249999999999997E-2</v>
      </c>
      <c r="J30" s="30">
        <f t="shared" si="3"/>
        <v>0.40277777777777785</v>
      </c>
      <c r="K30" s="31" cm="1">
        <f t="array" ref="K30">IFERROR(ROUND(_xlfn.IFS(B30="AZA",-8,C30="","",J30&gt;$V$1,$T$3,C30&gt;0,(J30*24)-8,C30=0,0),2),0)</f>
        <v>1.67</v>
      </c>
      <c r="L30" s="32">
        <f t="shared" si="0"/>
        <v>6.958333333333333E-2</v>
      </c>
      <c r="M30" s="33">
        <f t="shared" si="6"/>
        <v>-8.7500000000000078E-3</v>
      </c>
      <c r="N30" s="34">
        <f t="shared" si="4"/>
        <v>-0.21000000000000019</v>
      </c>
      <c r="P30" s="11"/>
    </row>
    <row r="31" spans="1:16" outlineLevel="1" x14ac:dyDescent="0.3">
      <c r="A31" s="24">
        <f t="shared" si="5"/>
        <v>46049</v>
      </c>
      <c r="B31" s="25"/>
      <c r="C31" s="26">
        <v>0.25</v>
      </c>
      <c r="D31" s="27"/>
      <c r="E31" s="27"/>
      <c r="F31" s="28"/>
      <c r="G31" s="28"/>
      <c r="H31" s="29">
        <v>0.69791666666666663</v>
      </c>
      <c r="I31" s="47" cm="1">
        <f t="array" ref="I31">IF( IFERROR((E31-D31)+(G31-F31), 0) &gt; 0, IFERROR((E31-D31)+(G31-F31), 0), SUMPRODUCT( IFERROR( EXP( LN( ( (H31-C31) - {0,360,390,570,585} / 1440 ) ) ), 0) * {0,1,-1,1,-1} ))</f>
        <v>3.1249999999999951E-2</v>
      </c>
      <c r="J31" s="30">
        <f t="shared" si="3"/>
        <v>0.41666666666666669</v>
      </c>
      <c r="K31" s="31" cm="1">
        <f t="array" ref="K31">IFERROR(ROUND(_xlfn.IFS(B31="AZA",-8,C31="","",J31&gt;$V$1,$T$3,C31&gt;0,(J31*24)-8,C31=0,0),2),0)</f>
        <v>2</v>
      </c>
      <c r="L31" s="32">
        <f t="shared" si="0"/>
        <v>8.3333333333333329E-2</v>
      </c>
      <c r="M31" s="33">
        <f t="shared" si="6"/>
        <v>7.4583333333333321E-2</v>
      </c>
      <c r="N31" s="34">
        <f t="shared" si="4"/>
        <v>1.7899999999999996</v>
      </c>
      <c r="P31" s="11"/>
    </row>
    <row r="32" spans="1:16" outlineLevel="1" x14ac:dyDescent="0.3">
      <c r="A32" s="24">
        <f t="shared" si="5"/>
        <v>46050</v>
      </c>
      <c r="B32" s="25"/>
      <c r="C32" s="26">
        <v>0.26041666666666669</v>
      </c>
      <c r="D32" s="27"/>
      <c r="E32" s="27"/>
      <c r="F32" s="28"/>
      <c r="G32" s="28"/>
      <c r="H32" s="29">
        <v>0.70833333333333337</v>
      </c>
      <c r="I32" s="47" cm="1">
        <f t="array" ref="I32">IF( IFERROR((E32-D32)+(G32-F32), 0) &gt; 0, IFERROR((E32-D32)+(G32-F32), 0), SUMPRODUCT( IFERROR( EXP( LN( ( (H32-C32) - {0,360,390,570,585} / 1440 ) ) ), 0) * {0,1,-1,1,-1} ))</f>
        <v>3.1250000000000007E-2</v>
      </c>
      <c r="J32" s="30">
        <f t="shared" si="3"/>
        <v>0.41666666666666669</v>
      </c>
      <c r="K32" s="31" cm="1">
        <f t="array" ref="K32">IFERROR(ROUND(_xlfn.IFS(B32="AZA",-8,C32="","",J32&gt;$V$1,$T$3,C32&gt;0,(J32*24)-8,C32=0,0),2),0)</f>
        <v>2</v>
      </c>
      <c r="L32" s="32">
        <f t="shared" si="0"/>
        <v>8.3333333333333329E-2</v>
      </c>
      <c r="M32" s="33">
        <f t="shared" si="6"/>
        <v>0.15791666666666665</v>
      </c>
      <c r="N32" s="34">
        <f t="shared" si="4"/>
        <v>3.7899999999999996</v>
      </c>
    </row>
    <row r="33" spans="1:14" outlineLevel="1" x14ac:dyDescent="0.3">
      <c r="A33" s="24">
        <f t="shared" si="5"/>
        <v>46051</v>
      </c>
      <c r="B33" s="25"/>
      <c r="C33" s="26">
        <v>0.25</v>
      </c>
      <c r="D33" s="27"/>
      <c r="E33" s="27"/>
      <c r="F33" s="28"/>
      <c r="G33" s="28"/>
      <c r="H33" s="29">
        <v>0.60416666666666663</v>
      </c>
      <c r="I33" s="47" cm="1">
        <f t="array" ref="I33">IF( IFERROR((E33-D33)+(G33-F33), 0) &gt; 0, IFERROR((E33-D33)+(G33-F33), 0), SUMPRODUCT( IFERROR( EXP( LN( ( (H33-C33) - {0,360,390,570,585} / 1440 ) ) ), 0) * {0,1,-1,1,-1} ))</f>
        <v>2.0833333333333287E-2</v>
      </c>
      <c r="J33" s="30">
        <f t="shared" si="3"/>
        <v>0.33333333333333337</v>
      </c>
      <c r="K33" s="31" cm="1">
        <f t="array" ref="K33">IFERROR(ROUND(_xlfn.IFS(B33="AZA",-8,C33="","",J33&gt;$V$1,$T$3,C33&gt;0,(J33*24)-8,C33=0,0),2),0)</f>
        <v>0</v>
      </c>
      <c r="L33" s="32">
        <f t="shared" si="0"/>
        <v>0</v>
      </c>
      <c r="M33" s="33">
        <f t="shared" si="6"/>
        <v>0.15791666666666665</v>
      </c>
      <c r="N33" s="34">
        <f t="shared" si="4"/>
        <v>3.7899999999999996</v>
      </c>
    </row>
    <row r="34" spans="1:14" outlineLevel="1" x14ac:dyDescent="0.3">
      <c r="A34" s="24">
        <f t="shared" si="5"/>
        <v>46052</v>
      </c>
      <c r="B34" s="25"/>
      <c r="C34" s="26">
        <v>0.25</v>
      </c>
      <c r="D34" s="27">
        <v>0.5</v>
      </c>
      <c r="E34" s="27">
        <v>0.54166666666666663</v>
      </c>
      <c r="F34" s="28"/>
      <c r="G34" s="28"/>
      <c r="H34" s="29">
        <v>0.625</v>
      </c>
      <c r="I34" s="47" cm="1">
        <f t="array" ref="I34">IF( IFERROR((E34-D34)+(G34-F34), 0) &gt; 0, IFERROR((E34-D34)+(G34-F34), 0), SUMPRODUCT( IFERROR( EXP( LN( ( (H34-C34) - {0,360,390,570,585} / 1440 ) ) ), 0) * {0,1,-1,1,-1} ))</f>
        <v>4.166666666666663E-2</v>
      </c>
      <c r="J34" s="30">
        <f t="shared" si="3"/>
        <v>0.33333333333333337</v>
      </c>
      <c r="K34" s="31" cm="1">
        <f t="array" ref="K34">IFERROR(ROUND(_xlfn.IFS(B34="AZA",-8,C34="","",J34&gt;$V$1,$T$3,C34&gt;0,(J34*24)-8,C34=0,0),2),0)</f>
        <v>0</v>
      </c>
      <c r="L34" s="32">
        <f t="shared" si="0"/>
        <v>0</v>
      </c>
      <c r="M34" s="33">
        <f t="shared" si="6"/>
        <v>0.15791666666666665</v>
      </c>
      <c r="N34" s="34">
        <f t="shared" si="4"/>
        <v>3.7899999999999996</v>
      </c>
    </row>
    <row r="35" spans="1:14" outlineLevel="1" x14ac:dyDescent="0.3">
      <c r="A35" s="24">
        <f t="shared" si="5"/>
        <v>46053</v>
      </c>
      <c r="B35" s="25"/>
      <c r="C35" s="35"/>
      <c r="D35" s="36"/>
      <c r="E35" s="27" t="str">
        <f>IF(D35&gt;0,D35+$T$2,"")</f>
        <v/>
      </c>
      <c r="F35" s="28"/>
      <c r="G35" s="28"/>
      <c r="H35" s="38"/>
      <c r="I35" s="47" cm="1">
        <f t="array" ref="I35">IF( IFERROR((E35-D35)+(G35-F35), 0) &gt; 0, IFERROR((E35-D35)+(G35-F35), 0), SUMPRODUCT( IFERROR( EXP( LN( ( (H35-C35) - {0,360,390,570,585} / 1440 ) ) ), 0) * {0,1,-1,1,-1} ))</f>
        <v>0</v>
      </c>
      <c r="J35" s="30">
        <f t="shared" si="3"/>
        <v>0</v>
      </c>
      <c r="K35" s="31" cm="1">
        <f t="array" ref="K35">IFERROR(ROUND(_xlfn.IFS(B35="AZA",-8,C35="","",J35&gt;$V$1,$T$3,C35&gt;0,(J35*24)-8,C35=0,0),2),0)</f>
        <v>0</v>
      </c>
      <c r="L35" s="32">
        <f t="shared" si="0"/>
        <v>0</v>
      </c>
      <c r="M35" s="33">
        <f t="shared" si="6"/>
        <v>0.15791666666666665</v>
      </c>
      <c r="N35" s="34">
        <f t="shared" si="4"/>
        <v>3.7899999999999996</v>
      </c>
    </row>
  </sheetData>
  <autoFilter ref="A4:O35" xr:uid="{00000000-0001-0000-0000-000000000000}"/>
  <mergeCells count="2">
    <mergeCell ref="D3:E3"/>
    <mergeCell ref="F3:G3"/>
  </mergeCells>
  <conditionalFormatting sqref="A1 A3:A1048576">
    <cfRule type="expression" dxfId="28" priority="6">
      <formula>$A1=TODAY()</formula>
    </cfRule>
  </conditionalFormatting>
  <conditionalFormatting sqref="A1 A3:D3 F3 J3:N3 H3 A4:N1048576">
    <cfRule type="expression" dxfId="27" priority="2">
      <formula>$A1=TODAY()</formula>
    </cfRule>
  </conditionalFormatting>
  <conditionalFormatting sqref="A1 I2:I3">
    <cfRule type="expression" dxfId="26" priority="24">
      <formula>$B2="mobA"</formula>
    </cfRule>
  </conditionalFormatting>
  <conditionalFormatting sqref="A3:D3 F3 B2:N2 H3:N3 A4:N1048576">
    <cfRule type="expression" dxfId="25" priority="12">
      <formula>$B2="mobA"</formula>
    </cfRule>
  </conditionalFormatting>
  <conditionalFormatting sqref="A5:N35">
    <cfRule type="expression" dxfId="24" priority="3">
      <formula>WEEKDAY($A5,2)&gt;5</formula>
    </cfRule>
    <cfRule type="expression" dxfId="22" priority="5">
      <formula>$B5=""</formula>
    </cfRule>
    <cfRule type="expression" dxfId="21" priority="14">
      <formula>$B5="krank"</formula>
    </cfRule>
    <cfRule type="expression" dxfId="20" priority="15">
      <formula>$B5="AZA"</formula>
    </cfRule>
    <cfRule type="expression" dxfId="19" priority="16">
      <formula>$B5="Urlaub"</formula>
    </cfRule>
  </conditionalFormatting>
  <conditionalFormatting sqref="B1">
    <cfRule type="expression" dxfId="18" priority="25">
      <formula>$B1=TODAY()</formula>
    </cfRule>
  </conditionalFormatting>
  <conditionalFormatting sqref="B1:I1 T1 V1:W1">
    <cfRule type="expression" dxfId="17" priority="26">
      <formula>$B1=TODAY()</formula>
    </cfRule>
    <cfRule type="expression" dxfId="16" priority="27">
      <formula>$C1="mobA"</formula>
    </cfRule>
  </conditionalFormatting>
  <conditionalFormatting sqref="B2:N2">
    <cfRule type="expression" dxfId="15" priority="17">
      <formula>$A1=TODAY()</formula>
    </cfRule>
  </conditionalFormatting>
  <conditionalFormatting sqref="K5:L1048576">
    <cfRule type="cellIs" dxfId="14" priority="13" operator="greaterThan">
      <formula>0</formula>
    </cfRule>
  </conditionalFormatting>
  <conditionalFormatting sqref="L2">
    <cfRule type="expression" dxfId="13" priority="18">
      <formula>$A1=TODAY()</formula>
    </cfRule>
  </conditionalFormatting>
  <conditionalFormatting sqref="M2:N2">
    <cfRule type="expression" dxfId="11" priority="20">
      <formula>$B2="krank"</formula>
    </cfRule>
    <cfRule type="expression" dxfId="10" priority="21">
      <formula>$B2="AZA"</formula>
    </cfRule>
    <cfRule type="expression" dxfId="9" priority="22">
      <formula>$B2="Urlaub"</formula>
    </cfRule>
    <cfRule type="expression" dxfId="8" priority="23">
      <formula>WEEKDAY($A1,2)&gt;5</formula>
    </cfRule>
  </conditionalFormatting>
  <conditionalFormatting sqref="T3">
    <cfRule type="expression" dxfId="7" priority="30">
      <formula>$B1=TODAY()</formula>
    </cfRule>
    <cfRule type="expression" dxfId="6" priority="31">
      <formula>$C1="mobA"</formula>
    </cfRule>
  </conditionalFormatting>
  <conditionalFormatting sqref="T2:U2">
    <cfRule type="expression" dxfId="5" priority="28">
      <formula>$B1=TODAY()</formula>
    </cfRule>
    <cfRule type="expression" dxfId="4" priority="29">
      <formula>$C1="mobA"</formula>
    </cfRule>
  </conditionalFormatting>
  <conditionalFormatting sqref="U1">
    <cfRule type="expression" dxfId="3" priority="42">
      <formula>#REF!=TODAY()</formula>
    </cfRule>
    <cfRule type="expression" dxfId="2" priority="43">
      <formula>#REF!="mobA"</formula>
    </cfRule>
  </conditionalFormatting>
  <conditionalFormatting sqref="I2:I3">
    <cfRule type="expression" dxfId="1" priority="46">
      <formula>$A3=TODAY()</formula>
    </cfRule>
  </conditionalFormatting>
  <conditionalFormatting sqref="I3">
    <cfRule type="expression" dxfId="0" priority="1">
      <formula>$A2=TODAY()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5B59288D-BA88-4BDC-BF93-ADF0B6A08224}">
            <xm:f>MATCH($A5,Feiertage!$A$4:$A$18,0)</xm:f>
            <x14:dxf>
              <fill>
                <patternFill>
                  <bgColor theme="3" tint="0.89996032593768116"/>
                </patternFill>
              </fill>
            </x14:dxf>
          </x14:cfRule>
          <xm:sqref>A5:N35</xm:sqref>
        </x14:conditionalFormatting>
        <x14:conditionalFormatting xmlns:xm="http://schemas.microsoft.com/office/excel/2006/main">
          <x14:cfRule type="expression" priority="19" id="{E3EEFC98-29A2-45E2-BD99-3B91B265A3C7}">
            <xm:f>MATCH($A1,Feiertage!$A$4:$A$18,0)</xm:f>
            <x14:dxf>
              <fill>
                <patternFill>
                  <bgColor theme="4" tint="0.59996337778862885"/>
                </patternFill>
              </fill>
            </x14:dxf>
          </x14:cfRule>
          <xm:sqref>M2:N2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5AA2-2E07-4614-96F3-3D1F85E9A784}">
  <dimension ref="A1:B18"/>
  <sheetViews>
    <sheetView workbookViewId="0">
      <selection activeCell="I8" sqref="I8"/>
    </sheetView>
  </sheetViews>
  <sheetFormatPr baseColWidth="10" defaultRowHeight="14.4" x14ac:dyDescent="0.3"/>
  <sheetData>
    <row r="1" spans="1:2" ht="21" x14ac:dyDescent="0.5">
      <c r="A1" s="39">
        <f>'[1]2026alt'!A2</f>
        <v>2026</v>
      </c>
    </row>
    <row r="3" spans="1:2" x14ac:dyDescent="0.3">
      <c r="A3" s="40" t="s">
        <v>19</v>
      </c>
      <c r="B3" s="41"/>
    </row>
    <row r="4" spans="1:2" x14ac:dyDescent="0.3">
      <c r="A4" s="42">
        <f>DATE($A$1,1,1)</f>
        <v>46023</v>
      </c>
      <c r="B4" s="43" t="s">
        <v>20</v>
      </c>
    </row>
    <row r="5" spans="1:2" x14ac:dyDescent="0.3">
      <c r="A5" s="42">
        <f>DOLLAR((4&amp;-$A$1)/7-DAY(8)/7+MOD(44*MOD($A$1,19)-10-4*DOLLAR(68%*DOLLAR($A$1%-3.5,)-TRUNC($A$1%/4),),4.13796),)*7+DAY(1)-2</f>
        <v>46115</v>
      </c>
      <c r="B5" s="43" t="s">
        <v>21</v>
      </c>
    </row>
    <row r="6" spans="1:2" x14ac:dyDescent="0.3">
      <c r="A6" s="42">
        <f>A7-1</f>
        <v>46116</v>
      </c>
      <c r="B6" s="43"/>
    </row>
    <row r="7" spans="1:2" x14ac:dyDescent="0.3">
      <c r="A7" s="42">
        <f>DOLLAR((4&amp;-$A$1)/7-DAY(8)/7+MOD(44*MOD($A$1,19)-10-4*DOLLAR(68%*DOLLAR($A$1%-3.5,)-TRUNC($A$1%/4),),4.13796),)*7+DAY(1)</f>
        <v>46117</v>
      </c>
      <c r="B7" s="43" t="s">
        <v>22</v>
      </c>
    </row>
    <row r="8" spans="1:2" x14ac:dyDescent="0.3">
      <c r="A8" s="42">
        <f>DOLLAR((4&amp;-$A$1)/7-DAY(8)/7+MOD(44*MOD($A$1,19)-10-4*DOLLAR(68%*DOLLAR($A$1%-3.5,)-TRUNC($A$1%/4),),4.13796),)*7+DAY(1)+1</f>
        <v>46118</v>
      </c>
      <c r="B8" s="43" t="s">
        <v>23</v>
      </c>
    </row>
    <row r="9" spans="1:2" x14ac:dyDescent="0.3">
      <c r="A9" s="42">
        <f>DATE($A$1,5,1)</f>
        <v>46143</v>
      </c>
      <c r="B9" s="43" t="s">
        <v>18</v>
      </c>
    </row>
    <row r="10" spans="1:2" x14ac:dyDescent="0.3">
      <c r="A10" s="42">
        <f>DOLLAR((4&amp;-$A$1)/7-DAY(8)/7+MOD(44*MOD($A$1,19)-10-4*DOLLAR(68%*DOLLAR($A$1%-3.5,)-TRUNC($A$1%/4),),4.13796),)*7+DAY(1)+39</f>
        <v>46156</v>
      </c>
      <c r="B10" s="43" t="s">
        <v>24</v>
      </c>
    </row>
    <row r="11" spans="1:2" x14ac:dyDescent="0.3">
      <c r="A11" s="42">
        <f>DOLLAR((4&amp;-$A$1)/7-DAY(8)/7+MOD(44*MOD($A$1,19)-10-4*DOLLAR(68%*DOLLAR($A$1%-3.5,)-TRUNC($A$1%/4),),4.13796),)*7+DAY(1)+50</f>
        <v>46167</v>
      </c>
      <c r="B11" s="43" t="s">
        <v>25</v>
      </c>
    </row>
    <row r="12" spans="1:2" x14ac:dyDescent="0.3">
      <c r="A12" s="42">
        <f>DATE($A$1,10,3)</f>
        <v>46298</v>
      </c>
      <c r="B12" s="43" t="s">
        <v>26</v>
      </c>
    </row>
    <row r="13" spans="1:2" x14ac:dyDescent="0.3">
      <c r="A13" s="42">
        <f>DATE($A$1,10,31)</f>
        <v>46326</v>
      </c>
      <c r="B13" s="43" t="s">
        <v>27</v>
      </c>
    </row>
    <row r="14" spans="1:2" x14ac:dyDescent="0.3">
      <c r="A14" s="42">
        <f>MROUND(DATE(A1,11,22),7)-3</f>
        <v>46344</v>
      </c>
      <c r="B14" s="43" t="s">
        <v>28</v>
      </c>
    </row>
    <row r="15" spans="1:2" x14ac:dyDescent="0.3">
      <c r="A15" s="42">
        <f>DATE($A$1,12,24)</f>
        <v>46380</v>
      </c>
      <c r="B15" s="43" t="s">
        <v>29</v>
      </c>
    </row>
    <row r="16" spans="1:2" x14ac:dyDescent="0.3">
      <c r="A16" s="42">
        <f>DATE($A$1,12,25)</f>
        <v>46381</v>
      </c>
      <c r="B16" s="43" t="s">
        <v>30</v>
      </c>
    </row>
    <row r="17" spans="1:2" x14ac:dyDescent="0.3">
      <c r="A17" s="42">
        <f>DATE($A$1,12,26)</f>
        <v>46382</v>
      </c>
      <c r="B17" s="43" t="s">
        <v>31</v>
      </c>
    </row>
    <row r="18" spans="1:2" x14ac:dyDescent="0.3">
      <c r="A18" s="42">
        <f>DATE($A$1,12,31)</f>
        <v>46387</v>
      </c>
      <c r="B18" s="43" t="s">
        <v>32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2026</vt:lpstr>
      <vt:lpstr>Feiertage</vt:lpstr>
    </vt:vector>
  </TitlesOfParts>
  <Company>Polizei Sachsen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Gellert, Ines - Polizei, PolFH</dc:creator>
  <cp:lastModifiedBy>Newbie</cp:lastModifiedBy>
  <dcterms:created xsi:type="dcterms:W3CDTF">2026-04-27T06:08:33Z</dcterms:created>
  <dcterms:modified xsi:type="dcterms:W3CDTF">2026-04-27T08:18:38Z</dcterms:modified>
</cp:coreProperties>
</file>