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ate1904="1" defaultThemeVersion="202300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D0FE452A-AFA0-4FA3-A77D-19C4D2F75CA8}" xr6:coauthVersionLast="47" xr6:coauthVersionMax="47" xr10:uidLastSave="{00000000-0000-0000-0000-000000000000}"/>
  <bookViews>
    <workbookView xWindow="-108" yWindow="-108" windowWidth="23256" windowHeight="12456" xr2:uid="{B137056A-8536-476D-AA6A-D05B893574E3}"/>
  </bookViews>
  <sheets>
    <sheet name="2026" sheetId="1" r:id="rId1"/>
    <sheet name="Feiertage" sheetId="2" r:id="rId2"/>
  </sheets>
  <externalReferences>
    <externalReference r:id="rId3"/>
  </externalReferences>
  <definedNames>
    <definedName name="_xlnm._FilterDatabase" localSheetId="0" hidden="1">'2026'!$A$4:$R$35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5" i="1"/>
  <c r="D6" i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5" i="1" a="1"/>
  <c r="L5" i="1" s="1"/>
  <c r="A5" i="1" l="1"/>
  <c r="N6" i="1" a="1"/>
  <c r="N6" i="1" s="1"/>
  <c r="O6" i="1" s="1"/>
  <c r="A1" i="2"/>
  <c r="A5" i="2" s="1"/>
  <c r="G35" i="1"/>
  <c r="N35" i="1" s="1" a="1"/>
  <c r="N35" i="1" s="1"/>
  <c r="O35" i="1" s="1"/>
  <c r="N34" i="1" a="1"/>
  <c r="N34" i="1" s="1"/>
  <c r="O34" i="1" s="1"/>
  <c r="N33" i="1" a="1"/>
  <c r="N33" i="1" s="1"/>
  <c r="O33" i="1" s="1"/>
  <c r="N32" i="1" a="1"/>
  <c r="N32" i="1" s="1"/>
  <c r="O32" i="1" s="1"/>
  <c r="N31" i="1" a="1"/>
  <c r="N31" i="1" s="1"/>
  <c r="O31" i="1" s="1"/>
  <c r="N30" i="1" a="1"/>
  <c r="N30" i="1" s="1"/>
  <c r="O30" i="1" s="1"/>
  <c r="G29" i="1"/>
  <c r="N29" i="1" s="1" a="1"/>
  <c r="N29" i="1" s="1"/>
  <c r="O29" i="1" s="1"/>
  <c r="G28" i="1"/>
  <c r="N28" i="1" s="1" a="1"/>
  <c r="N28" i="1" s="1"/>
  <c r="O28" i="1" s="1"/>
  <c r="N27" i="1" a="1"/>
  <c r="N27" i="1" s="1"/>
  <c r="O27" i="1" s="1"/>
  <c r="N26" i="1" a="1"/>
  <c r="N26" i="1" s="1"/>
  <c r="O26" i="1" s="1"/>
  <c r="N25" i="1" a="1"/>
  <c r="N25" i="1" s="1"/>
  <c r="O25" i="1" s="1"/>
  <c r="N24" i="1" a="1"/>
  <c r="N24" i="1" s="1"/>
  <c r="O24" i="1" s="1"/>
  <c r="G23" i="1"/>
  <c r="N23" i="1" s="1" a="1"/>
  <c r="N23" i="1" s="1"/>
  <c r="O23" i="1" s="1"/>
  <c r="G22" i="1"/>
  <c r="N22" i="1" s="1" a="1"/>
  <c r="N22" i="1" s="1"/>
  <c r="O22" i="1" s="1"/>
  <c r="N21" i="1" a="1"/>
  <c r="N21" i="1" s="1"/>
  <c r="O21" i="1" s="1"/>
  <c r="N20" i="1" a="1"/>
  <c r="N20" i="1" s="1"/>
  <c r="O20" i="1" s="1"/>
  <c r="N19" i="1" a="1"/>
  <c r="N19" i="1" s="1"/>
  <c r="O19" i="1" s="1"/>
  <c r="N18" i="1" a="1"/>
  <c r="N18" i="1" s="1"/>
  <c r="O18" i="1" s="1"/>
  <c r="N17" i="1" a="1"/>
  <c r="N17" i="1" s="1"/>
  <c r="O17" i="1" s="1"/>
  <c r="N16" i="1" a="1"/>
  <c r="N16" i="1" s="1"/>
  <c r="O16" i="1" s="1"/>
  <c r="N15" i="1" a="1"/>
  <c r="N15" i="1" s="1"/>
  <c r="O15" i="1" s="1"/>
  <c r="G14" i="1"/>
  <c r="N14" i="1" s="1" a="1"/>
  <c r="N14" i="1" s="1"/>
  <c r="O14" i="1" s="1"/>
  <c r="N13" i="1" a="1"/>
  <c r="N13" i="1" s="1"/>
  <c r="O13" i="1" s="1"/>
  <c r="N12" i="1" a="1"/>
  <c r="N12" i="1" s="1"/>
  <c r="O12" i="1" s="1"/>
  <c r="N11" i="1" a="1"/>
  <c r="N11" i="1" s="1"/>
  <c r="O11" i="1" s="1"/>
  <c r="N10" i="1" a="1"/>
  <c r="N10" i="1" s="1"/>
  <c r="O10" i="1" s="1"/>
  <c r="N9" i="1" a="1"/>
  <c r="N9" i="1" s="1"/>
  <c r="G8" i="1"/>
  <c r="N8" i="1" s="1" a="1"/>
  <c r="N8" i="1" s="1"/>
  <c r="O8" i="1" s="1"/>
  <c r="G7" i="1"/>
  <c r="N7" i="1" s="1" a="1"/>
  <c r="N7" i="1" s="1"/>
  <c r="O7" i="1" s="1"/>
  <c r="Q5" i="1"/>
  <c r="N5" i="1" a="1"/>
  <c r="N5" i="1" s="1"/>
  <c r="O5" i="1" s="1"/>
  <c r="S5" i="1"/>
  <c r="S6" i="1"/>
  <c r="A6" i="1" l="1"/>
  <c r="C5" i="1"/>
  <c r="A4" i="2"/>
  <c r="A13" i="2"/>
  <c r="P6" i="1"/>
  <c r="O9" i="1"/>
  <c r="A18" i="2"/>
  <c r="A10" i="2"/>
  <c r="A17" i="2"/>
  <c r="A9" i="2"/>
  <c r="A16" i="2"/>
  <c r="A8" i="2"/>
  <c r="A15" i="2"/>
  <c r="A7" i="2"/>
  <c r="A6" i="2" s="1"/>
  <c r="A14" i="2"/>
  <c r="A11" i="2"/>
  <c r="A12" i="2"/>
  <c r="A7" i="1" l="1"/>
  <c r="C6" i="1"/>
  <c r="P7" i="1"/>
  <c r="P8" i="1" s="1"/>
  <c r="P9" i="1" s="1"/>
  <c r="Q6" i="1"/>
  <c r="A8" i="1" l="1"/>
  <c r="C7" i="1"/>
  <c r="Q7" i="1"/>
  <c r="Q8" i="1"/>
  <c r="A9" i="1" l="1"/>
  <c r="C8" i="1"/>
  <c r="P10" i="1"/>
  <c r="Q9" i="1"/>
  <c r="A10" i="1" l="1"/>
  <c r="C9" i="1"/>
  <c r="P11" i="1"/>
  <c r="Q10" i="1"/>
  <c r="A11" i="1" l="1"/>
  <c r="C10" i="1"/>
  <c r="Q11" i="1"/>
  <c r="P12" i="1"/>
  <c r="A12" i="1" l="1"/>
  <c r="C11" i="1"/>
  <c r="P13" i="1"/>
  <c r="Q12" i="1"/>
  <c r="A13" i="1" l="1"/>
  <c r="C12" i="1"/>
  <c r="Q13" i="1"/>
  <c r="P14" i="1"/>
  <c r="A14" i="1" l="1"/>
  <c r="C13" i="1"/>
  <c r="Q14" i="1"/>
  <c r="P15" i="1"/>
  <c r="A15" i="1" l="1"/>
  <c r="C14" i="1"/>
  <c r="P16" i="1"/>
  <c r="Q15" i="1"/>
  <c r="A16" i="1" l="1"/>
  <c r="C15" i="1"/>
  <c r="Q16" i="1"/>
  <c r="P17" i="1"/>
  <c r="A17" i="1" l="1"/>
  <c r="C16" i="1"/>
  <c r="P18" i="1"/>
  <c r="Q17" i="1"/>
  <c r="A18" i="1" l="1"/>
  <c r="C17" i="1"/>
  <c r="P19" i="1"/>
  <c r="Q18" i="1"/>
  <c r="A19" i="1" l="1"/>
  <c r="C18" i="1"/>
  <c r="Q19" i="1"/>
  <c r="P20" i="1"/>
  <c r="A20" i="1" l="1"/>
  <c r="C19" i="1"/>
  <c r="P21" i="1"/>
  <c r="Q20" i="1"/>
  <c r="A21" i="1" l="1"/>
  <c r="C20" i="1"/>
  <c r="Q21" i="1"/>
  <c r="P22" i="1"/>
  <c r="A22" i="1" l="1"/>
  <c r="C21" i="1"/>
  <c r="Q22" i="1"/>
  <c r="P23" i="1"/>
  <c r="A23" i="1" l="1"/>
  <c r="C22" i="1"/>
  <c r="P24" i="1"/>
  <c r="Q23" i="1"/>
  <c r="A24" i="1" l="1"/>
  <c r="C23" i="1"/>
  <c r="P25" i="1"/>
  <c r="Q24" i="1"/>
  <c r="A25" i="1" l="1"/>
  <c r="C24" i="1"/>
  <c r="P26" i="1"/>
  <c r="Q25" i="1"/>
  <c r="A26" i="1" l="1"/>
  <c r="C25" i="1"/>
  <c r="P27" i="1"/>
  <c r="Q26" i="1"/>
  <c r="A27" i="1" l="1"/>
  <c r="C26" i="1"/>
  <c r="P28" i="1"/>
  <c r="Q27" i="1"/>
  <c r="A28" i="1" l="1"/>
  <c r="C27" i="1"/>
  <c r="Q28" i="1"/>
  <c r="P29" i="1"/>
  <c r="A29" i="1" l="1"/>
  <c r="C28" i="1"/>
  <c r="Q29" i="1"/>
  <c r="P30" i="1"/>
  <c r="A30" i="1" l="1"/>
  <c r="C29" i="1"/>
  <c r="P31" i="1"/>
  <c r="Q30" i="1"/>
  <c r="A31" i="1" l="1"/>
  <c r="C30" i="1"/>
  <c r="P32" i="1"/>
  <c r="Q31" i="1"/>
  <c r="A32" i="1" l="1"/>
  <c r="C31" i="1"/>
  <c r="P33" i="1"/>
  <c r="Q32" i="1"/>
  <c r="A33" i="1" l="1"/>
  <c r="C32" i="1"/>
  <c r="Q33" i="1"/>
  <c r="P34" i="1"/>
  <c r="A34" i="1" l="1"/>
  <c r="C33" i="1"/>
  <c r="P35" i="1"/>
  <c r="Q34" i="1"/>
  <c r="A35" i="1" l="1"/>
  <c r="C35" i="1" s="1"/>
  <c r="C34" i="1"/>
  <c r="Q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<sst xmlns="http://schemas.openxmlformats.org/spreadsheetml/2006/main" count="53" uniqueCount="44">
  <si>
    <t>mobA</t>
  </si>
  <si>
    <t>Zeiten:</t>
  </si>
  <si>
    <t>Pausen:</t>
  </si>
  <si>
    <t>Pause1</t>
  </si>
  <si>
    <t>Pause2</t>
  </si>
  <si>
    <t>Dezimal</t>
  </si>
  <si>
    <t>Uhrzeit</t>
  </si>
  <si>
    <t>Kennzahlen:</t>
  </si>
  <si>
    <t>Datum</t>
  </si>
  <si>
    <t>Art</t>
  </si>
  <si>
    <t>Beginn</t>
  </si>
  <si>
    <t>Ende</t>
  </si>
  <si>
    <t>Gesamt</t>
  </si>
  <si>
    <t>+/-</t>
  </si>
  <si>
    <t>GZ</t>
  </si>
  <si>
    <t>Urlaub</t>
  </si>
  <si>
    <t>AZA</t>
  </si>
  <si>
    <t>Tag der Arbeit</t>
  </si>
  <si>
    <t>Feiertage</t>
  </si>
  <si>
    <t>Neujahr</t>
  </si>
  <si>
    <t>Karfreitag</t>
  </si>
  <si>
    <t>Ostersonntag</t>
  </si>
  <si>
    <t>Ostermontag</t>
  </si>
  <si>
    <t>Christi Himmelfahrt</t>
  </si>
  <si>
    <t>Pfingsmontag</t>
  </si>
  <si>
    <t>Tag der dt. Einhait</t>
  </si>
  <si>
    <t>Reformationstag</t>
  </si>
  <si>
    <t>Buß- und Bettag</t>
  </si>
  <si>
    <t>Weihnachten</t>
  </si>
  <si>
    <t>1. Weihnachtstag</t>
  </si>
  <si>
    <t>2. Weihnachtstag</t>
  </si>
  <si>
    <t>Silvester</t>
  </si>
  <si>
    <t xml:space="preserve">Formel in </t>
  </si>
  <si>
    <t>Spalte I</t>
  </si>
  <si>
    <t>Spalte J</t>
  </si>
  <si>
    <t>Pause(n)</t>
  </si>
  <si>
    <t>gesetzl. od.</t>
  </si>
  <si>
    <t>tats. Pause(n)</t>
  </si>
  <si>
    <t>SOLL-</t>
  </si>
  <si>
    <t>Arb Zeit</t>
  </si>
  <si>
    <t>Gutschrift</t>
  </si>
  <si>
    <t>(Url/krk)</t>
  </si>
  <si>
    <t>krank m. A.</t>
  </si>
  <si>
    <t>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</si>
</sst>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hh]:mm"/>
    <numFmt numFmtId="166" formatCode="ddd* dd/mm/yy"/>
    <numFmt numFmtId="167" formatCode="ddd* dd/mm/yyyy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 Black"/>
      <family val="2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rial Black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20" fontId="0" fillId="0" borderId="0" xfId="0" applyNumberFormat="1" applyAlignment="1">
      <alignment horizontal="center" vertical="center"/>
    </xf>
    <xf numFmtId="20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 indent="1"/>
    </xf>
    <xf numFmtId="0" fontId="1" fillId="0" borderId="0" xfId="0" applyFont="1" applyAlignment="1">
      <alignment horizontal="lef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0" borderId="1" xfId="0" applyFont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164" fontId="4" fillId="0" borderId="0" xfId="0" quotePrefix="1" applyNumberFormat="1" applyFont="1" applyAlignment="1">
      <alignment horizontal="center" vertical="center"/>
    </xf>
    <xf numFmtId="165" fontId="4" fillId="0" borderId="0" xfId="0" quotePrefix="1" applyNumberFormat="1" applyFont="1" applyAlignment="1">
      <alignment horizontal="center" vertical="center"/>
    </xf>
    <xf numFmtId="2" fontId="4" fillId="0" borderId="0" xfId="0" quotePrefix="1" applyNumberFormat="1" applyFont="1" applyAlignment="1">
      <alignment horizontal="center" vertical="center"/>
    </xf>
    <xf numFmtId="166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 indent="1"/>
    </xf>
    <xf numFmtId="20" fontId="4" fillId="0" borderId="2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/>
    <xf numFmtId="167" fontId="6" fillId="2" borderId="6" xfId="0" applyNumberFormat="1" applyFont="1" applyFill="1" applyBorder="1" applyAlignment="1">
      <alignment horizontal="centerContinuous"/>
    </xf>
    <xf numFmtId="167" fontId="6" fillId="2" borderId="7" xfId="0" applyNumberFormat="1" applyFont="1" applyFill="1" applyBorder="1" applyAlignment="1">
      <alignment horizontal="centerContinuous"/>
    </xf>
    <xf numFmtId="166" fontId="7" fillId="0" borderId="0" xfId="0" applyNumberFormat="1" applyFon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right" vertical="center" indent="1"/>
    </xf>
    <xf numFmtId="0" fontId="9" fillId="0" borderId="0" xfId="0" applyFont="1" applyAlignment="1">
      <alignment horizontal="center" vertical="center"/>
    </xf>
    <xf numFmtId="20" fontId="8" fillId="0" borderId="8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left" vertical="center" indent="1"/>
    </xf>
    <xf numFmtId="20" fontId="8" fillId="0" borderId="2" xfId="0" applyNumberFormat="1" applyFont="1" applyBorder="1" applyAlignment="1">
      <alignment horizontal="center" vertical="center"/>
    </xf>
    <xf numFmtId="20" fontId="0" fillId="0" borderId="8" xfId="0" applyNumberFormat="1" applyFont="1" applyBorder="1" applyAlignment="1">
      <alignment horizontal="center" vertical="center"/>
    </xf>
    <xf numFmtId="20" fontId="4" fillId="0" borderId="4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1">
    <cellStyle name="Standard" xfId="0" builtinId="0"/>
  </cellStyles>
  <dxfs count="29"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/>
        </patternFill>
      </fill>
    </dxf>
    <dxf>
      <fill>
        <patternFill>
          <bgColor theme="3" tint="0.89996032593768116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Ines\Ines_privat\Datensicherung\SAP+DPNA.xlsx" TargetMode="External"/><Relationship Id="rId1" Type="http://schemas.openxmlformats.org/officeDocument/2006/relationships/externalLinkPath" Target="file:///S:\Ines\Ines_privat\Datensicherung\SAP+DP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6"/>
      <sheetName val="2026alt"/>
      <sheetName val="Feiertage"/>
      <sheetName val="Hinweise SAP"/>
      <sheetName val="Januar26"/>
      <sheetName val="Dezember26"/>
    </sheetNames>
    <sheetDataSet>
      <sheetData sheetId="0"/>
      <sheetData sheetId="1">
        <row r="2">
          <cell r="A2">
            <v>2026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9CF41-AD67-49F4-AA6D-0B9634DD9547}">
  <dimension ref="A1:AA35"/>
  <sheetViews>
    <sheetView tabSelected="1" zoomScale="130" zoomScaleNormal="130" workbookViewId="0">
      <selection activeCell="A2" sqref="A2"/>
    </sheetView>
  </sheetViews>
  <sheetFormatPr baseColWidth="10" defaultColWidth="7.77734375" defaultRowHeight="14.4" outlineLevelRow="1" outlineLevelCol="2" x14ac:dyDescent="0.3"/>
  <cols>
    <col min="1" max="1" width="12.6640625" style="12" customWidth="1"/>
    <col min="2" max="2" width="15.33203125" style="13" bestFit="1" customWidth="1"/>
    <col min="3" max="3" width="10" style="13" customWidth="1"/>
    <col min="4" max="4" width="11.109375" style="13" customWidth="1"/>
    <col min="5" max="5" width="8.77734375" style="4" customWidth="1"/>
    <col min="6" max="9" width="8.77734375" style="3" customWidth="1" outlineLevel="1"/>
    <col min="10" max="10" width="8.77734375" style="4" customWidth="1"/>
    <col min="11" max="11" width="10.5546875" style="4" customWidth="1"/>
    <col min="12" max="12" width="10.33203125" style="4" customWidth="1"/>
    <col min="13" max="13" width="11.5546875" style="3" customWidth="1"/>
    <col min="14" max="14" width="8.77734375" style="3" customWidth="1"/>
    <col min="15" max="15" width="10.6640625" style="5" customWidth="1" outlineLevel="2"/>
    <col min="16" max="16" width="8.77734375" style="6" customWidth="1"/>
    <col min="17" max="17" width="8.77734375" style="7" customWidth="1" outlineLevel="1"/>
    <col min="18" max="18" width="15.77734375" style="8" customWidth="1"/>
    <col min="19" max="19" width="12.88671875" style="8" bestFit="1" customWidth="1"/>
    <col min="20" max="21" width="7.77734375" style="8"/>
    <col min="22" max="22" width="11.88671875" style="8" bestFit="1" customWidth="1"/>
    <col min="23" max="16384" width="7.77734375" style="8"/>
  </cols>
  <sheetData>
    <row r="1" spans="1:27" ht="21" x14ac:dyDescent="0.3">
      <c r="A1" s="1">
        <v>2026</v>
      </c>
      <c r="B1" s="2"/>
      <c r="C1" s="2"/>
      <c r="D1" s="2"/>
      <c r="E1" s="2"/>
      <c r="S1" s="9"/>
      <c r="V1" s="9" t="s">
        <v>1</v>
      </c>
      <c r="W1" s="10">
        <v>0.39583333333333331</v>
      </c>
      <c r="X1" s="10">
        <v>0.40625</v>
      </c>
      <c r="Y1" s="10">
        <v>0.41666666666666669</v>
      </c>
      <c r="Z1" s="10">
        <v>0.25</v>
      </c>
      <c r="AA1" s="11">
        <v>0.375</v>
      </c>
    </row>
    <row r="2" spans="1:27" x14ac:dyDescent="0.3">
      <c r="L2" s="44" t="s">
        <v>36</v>
      </c>
      <c r="M2" s="10"/>
      <c r="O2" s="14"/>
      <c r="P2" s="15"/>
      <c r="Q2" s="16"/>
      <c r="V2" s="9" t="s">
        <v>2</v>
      </c>
      <c r="W2" s="10">
        <v>2.0833333333333332E-2</v>
      </c>
      <c r="X2" s="10">
        <v>3.125E-2</v>
      </c>
    </row>
    <row r="3" spans="1:27" ht="15" thickBot="1" x14ac:dyDescent="0.35">
      <c r="C3" s="4" t="s">
        <v>38</v>
      </c>
      <c r="D3" s="18" t="s">
        <v>40</v>
      </c>
      <c r="F3" s="50" t="s">
        <v>3</v>
      </c>
      <c r="G3" s="51"/>
      <c r="H3" s="50" t="s">
        <v>4</v>
      </c>
      <c r="I3" s="51"/>
      <c r="K3" s="4" t="s">
        <v>43</v>
      </c>
      <c r="L3" s="44" t="s">
        <v>37</v>
      </c>
      <c r="N3" s="3" t="s">
        <v>5</v>
      </c>
      <c r="O3" s="5" t="s">
        <v>6</v>
      </c>
      <c r="P3" s="5" t="s">
        <v>6</v>
      </c>
      <c r="Q3" s="7" t="s">
        <v>5</v>
      </c>
      <c r="V3" s="9" t="s">
        <v>7</v>
      </c>
      <c r="W3" s="7">
        <v>2</v>
      </c>
    </row>
    <row r="4" spans="1:27" x14ac:dyDescent="0.3">
      <c r="A4" s="17" t="s">
        <v>8</v>
      </c>
      <c r="B4" s="18" t="s">
        <v>9</v>
      </c>
      <c r="C4" s="4" t="s">
        <v>39</v>
      </c>
      <c r="D4" s="18" t="s">
        <v>41</v>
      </c>
      <c r="E4" s="4" t="s">
        <v>10</v>
      </c>
      <c r="F4" s="8" t="s">
        <v>10</v>
      </c>
      <c r="G4" s="8" t="s">
        <v>11</v>
      </c>
      <c r="H4" s="8" t="s">
        <v>10</v>
      </c>
      <c r="I4" s="8" t="s">
        <v>11</v>
      </c>
      <c r="J4" s="4" t="s">
        <v>11</v>
      </c>
      <c r="K4" s="4" t="s">
        <v>39</v>
      </c>
      <c r="L4" s="4" t="s">
        <v>35</v>
      </c>
      <c r="M4" s="19" t="s">
        <v>12</v>
      </c>
      <c r="N4" s="20" t="s">
        <v>13</v>
      </c>
      <c r="O4" s="21" t="s">
        <v>13</v>
      </c>
      <c r="P4" s="22" t="s">
        <v>14</v>
      </c>
      <c r="Q4" s="23" t="s">
        <v>14</v>
      </c>
      <c r="R4" s="43" t="s">
        <v>32</v>
      </c>
    </row>
    <row r="5" spans="1:27" outlineLevel="1" x14ac:dyDescent="0.3">
      <c r="A5" s="24">
        <f>DATE(A1,1,1)</f>
        <v>44561</v>
      </c>
      <c r="B5" s="25"/>
      <c r="C5" s="27">
        <f>IF( AND(COUNTIF(Feiertage!$A$4:$A$18, '2026'!A5)=0, WEEKDAY(A5,2)&lt;6), 8/24, 0)</f>
        <v>0</v>
      </c>
      <c r="D5" s="47">
        <f t="shared" ref="D5:D35" si="0">IF( OR(B5= "Urlaub", B5="krank m. A."), 8/24, 0)</f>
        <v>0</v>
      </c>
      <c r="E5" s="26"/>
      <c r="F5" s="27"/>
      <c r="G5" s="27"/>
      <c r="H5" s="28"/>
      <c r="I5" s="28"/>
      <c r="J5" s="29"/>
      <c r="K5" s="48">
        <f>MOD(J5-E5,1)</f>
        <v>0</v>
      </c>
      <c r="L5" s="45" cm="1">
        <f t="array" ref="L5">MAX( IF( AND(E5&lt;&gt;"", J5&lt;&gt;""), (G5-F5)+(I5-H5), 0), IF(AND(E5&lt;&gt;"", J5&lt;&gt;""), IFERROR( SUMPRODUCT( IFERROR( EXP( LN( ( (J5-E5) - {0,360,390,570,585} / 1440 ) ) ), 0) * {0,1,-1,1,-1} ), 0),0) )</f>
        <v>0</v>
      </c>
      <c r="M5" s="49">
        <f>K5-L5+D5</f>
        <v>0</v>
      </c>
      <c r="N5" s="30" cm="1">
        <f t="array" ref="N5">IFERROR(ROUND(_xlfn.IFS(B5="AZA",-8,E5="","",M5&gt;$Y$1,$W$3,E5&gt;0,(M5*24)-8,E5=0,0),2),0)</f>
        <v>0</v>
      </c>
      <c r="O5" s="31">
        <f t="shared" ref="O5:O35" si="1">N5/24</f>
        <v>0</v>
      </c>
      <c r="P5" s="32">
        <v>8.3333333333333329E-2</v>
      </c>
      <c r="Q5" s="33">
        <f>P5*24</f>
        <v>2</v>
      </c>
      <c r="R5" s="43" t="s">
        <v>33</v>
      </c>
      <c r="S5" s="8" t="str">
        <f ca="1">_xlfn.FORMULATEXT(M5)</f>
        <v>=K5-L5+D5</v>
      </c>
    </row>
    <row r="6" spans="1:27" outlineLevel="1" x14ac:dyDescent="0.3">
      <c r="A6" s="24">
        <f>A5+1</f>
        <v>44562</v>
      </c>
      <c r="B6" s="25"/>
      <c r="C6" s="27">
        <f>IF( AND(COUNTIF(Feiertage!$A$4:$A$18, '2026'!A6)=0, WEEKDAY(A6,2)&lt;6), 8/24, 0)</f>
        <v>0.33333333333333331</v>
      </c>
      <c r="D6" s="47">
        <f t="shared" si="0"/>
        <v>0</v>
      </c>
      <c r="E6" s="26">
        <v>0.29166666666666669</v>
      </c>
      <c r="F6" s="27"/>
      <c r="G6" s="27"/>
      <c r="H6" s="28"/>
      <c r="I6" s="28"/>
      <c r="J6" s="29">
        <v>0.64583333333333337</v>
      </c>
      <c r="K6" s="48">
        <f t="shared" ref="K6:K35" si="2">MOD(J6-E6,1)</f>
        <v>0.35416666666666669</v>
      </c>
      <c r="L6" s="45" cm="1">
        <f t="array" ref="L6">MAX( IF( AND(E6&lt;&gt;"", J6&lt;&gt;""), (G6-F6)+(I6-H6), 0), IF(AND(E6&lt;&gt;"", J6&lt;&gt;""), IFERROR( SUMPRODUCT( IFERROR( EXP( LN( ( (J6-E6) - {0,360,390,570,585} / 1440 ) ) ), 0) * {0,1,-1,1,-1} ), 0),0) )</f>
        <v>2.0833333333333329E-2</v>
      </c>
      <c r="M6" s="49">
        <f t="shared" ref="M6:M35" si="3">K6-L6+D6</f>
        <v>0.33333333333333337</v>
      </c>
      <c r="N6" s="30" cm="1">
        <f t="array" ref="N6">IFERROR(ROUND(_xlfn.IFS(B6="AZA",-8,E6="","",M6&gt;$Y$1,$W$3,E6&gt;0,(M6*24)-8,E6=0,0),2),0)</f>
        <v>0</v>
      </c>
      <c r="O6" s="31">
        <f t="shared" ref="O6" si="4">N6/24</f>
        <v>0</v>
      </c>
      <c r="P6" s="32">
        <f t="shared" ref="P6:P8" si="5">P5+N6/24</f>
        <v>8.3333333333333329E-2</v>
      </c>
      <c r="Q6" s="33">
        <f>P6*24</f>
        <v>2</v>
      </c>
      <c r="R6" s="43" t="s">
        <v>34</v>
      </c>
      <c r="S6" s="8" t="str">
        <f ca="1">_xlfn.FORMULATEXT(N5)</f>
        <v>=WENNFEHLER(RUNDEN(WENNS(B5="AZA";-8;E5="";"";M5&gt;$Y$1;$W$3;E5&gt;0;(M5*24)-8;E5=0;0);2);0)</v>
      </c>
    </row>
    <row r="7" spans="1:27" outlineLevel="1" x14ac:dyDescent="0.3">
      <c r="A7" s="24">
        <f>A6+1</f>
        <v>44563</v>
      </c>
      <c r="B7" s="25"/>
      <c r="C7" s="27">
        <f>IF( AND(COUNTIF(Feiertage!$A$4:$A$18, '2026'!A7)=0, WEEKDAY(A7,2)&lt;6), 8/24, 0)</f>
        <v>0</v>
      </c>
      <c r="D7" s="47">
        <f t="shared" si="0"/>
        <v>0</v>
      </c>
      <c r="E7" s="26"/>
      <c r="F7" s="27"/>
      <c r="G7" s="27" t="str">
        <f>IF(F7&gt;0,F7+$W$2,"")</f>
        <v/>
      </c>
      <c r="H7" s="28"/>
      <c r="I7" s="28"/>
      <c r="J7" s="29"/>
      <c r="K7" s="48">
        <f t="shared" si="2"/>
        <v>0</v>
      </c>
      <c r="L7" s="45" cm="1">
        <f t="array" ref="L7">MAX( IF( AND(E7&lt;&gt;"", J7&lt;&gt;""), (G7-F7)+(I7-H7), 0), IF(AND(E7&lt;&gt;"", J7&lt;&gt;""), IFERROR( SUMPRODUCT( IFERROR( EXP( LN( ( (J7-E7) - {0,360,390,570,585} / 1440 ) ) ), 0) * {0,1,-1,1,-1} ), 0),0) )</f>
        <v>0</v>
      </c>
      <c r="M7" s="49">
        <f t="shared" si="3"/>
        <v>0</v>
      </c>
      <c r="N7" s="30" cm="1">
        <f t="array" ref="N7">IFERROR(ROUND(_xlfn.IFS(B7="AZA",-8,E7="","",M7&gt;$Y$1,$W$3,E7&gt;0,(M7*24)-8,E7=0,0),2),0)</f>
        <v>0</v>
      </c>
      <c r="O7" s="31">
        <f t="shared" si="1"/>
        <v>0</v>
      </c>
      <c r="P7" s="32">
        <f t="shared" si="5"/>
        <v>8.3333333333333329E-2</v>
      </c>
      <c r="Q7" s="33">
        <f t="shared" ref="Q7:Q35" si="6">P7*24</f>
        <v>2</v>
      </c>
    </row>
    <row r="8" spans="1:27" outlineLevel="1" x14ac:dyDescent="0.3">
      <c r="A8" s="24">
        <f t="shared" ref="A8:A35" si="7">A7+1</f>
        <v>44564</v>
      </c>
      <c r="B8" s="25"/>
      <c r="C8" s="27">
        <f>IF( AND(COUNTIF(Feiertage!$A$4:$A$18, '2026'!A8)=0, WEEKDAY(A8,2)&lt;6), 8/24, 0)</f>
        <v>0</v>
      </c>
      <c r="D8" s="47">
        <f t="shared" si="0"/>
        <v>0</v>
      </c>
      <c r="E8" s="26"/>
      <c r="F8" s="27"/>
      <c r="G8" s="27" t="str">
        <f>IF(F8&gt;0,F8+$W$2,"")</f>
        <v/>
      </c>
      <c r="H8" s="28"/>
      <c r="I8" s="28"/>
      <c r="J8" s="29"/>
      <c r="K8" s="48">
        <f t="shared" si="2"/>
        <v>0</v>
      </c>
      <c r="L8" s="45" cm="1">
        <f t="array" ref="L8">MAX( IF( AND(E8&lt;&gt;"", J8&lt;&gt;""), (G8-F8)+(I8-H8), 0), IF(AND(E8&lt;&gt;"", J8&lt;&gt;""), IFERROR( SUMPRODUCT( IFERROR( EXP( LN( ( (J8-E8) - {0,360,390,570,585} / 1440 ) ) ), 0) * {0,1,-1,1,-1} ), 0),0) )</f>
        <v>0</v>
      </c>
      <c r="M8" s="49">
        <f t="shared" si="3"/>
        <v>0</v>
      </c>
      <c r="N8" s="30" cm="1">
        <f t="array" ref="N8">IFERROR(ROUND(_xlfn.IFS(B8="AZA",-8,E8="","",M8&gt;$Y$1,$W$3,E8&gt;0,(M8*24)-8,E8=0,0),2),0)</f>
        <v>0</v>
      </c>
      <c r="O8" s="31">
        <f t="shared" si="1"/>
        <v>0</v>
      </c>
      <c r="P8" s="32">
        <f t="shared" si="5"/>
        <v>8.3333333333333329E-2</v>
      </c>
      <c r="Q8" s="33">
        <f t="shared" si="6"/>
        <v>2</v>
      </c>
    </row>
    <row r="9" spans="1:27" outlineLevel="1" x14ac:dyDescent="0.3">
      <c r="A9" s="24">
        <f t="shared" si="7"/>
        <v>44565</v>
      </c>
      <c r="B9" s="25"/>
      <c r="C9" s="27">
        <f>IF( AND(COUNTIF(Feiertage!$A$4:$A$18, '2026'!A9)=0, WEEKDAY(A9,2)&lt;6), 8/24, 0)</f>
        <v>0.33333333333333331</v>
      </c>
      <c r="D9" s="47">
        <f t="shared" si="0"/>
        <v>0</v>
      </c>
      <c r="E9" s="26">
        <v>0.25347222222222221</v>
      </c>
      <c r="F9" s="27"/>
      <c r="G9" s="27"/>
      <c r="H9" s="28"/>
      <c r="I9" s="28"/>
      <c r="J9" s="29">
        <v>0.64930555555555558</v>
      </c>
      <c r="K9" s="48">
        <f t="shared" si="2"/>
        <v>0.39583333333333337</v>
      </c>
      <c r="L9" s="45" cm="1">
        <f t="array" ref="L9">MAX( IF( AND(E9&lt;&gt;"", J9&lt;&gt;""), (G9-F9)+(I9-H9), 0), IF(AND(E9&lt;&gt;"", J9&lt;&gt;""), IFERROR( SUMPRODUCT( IFERROR( EXP( LN( ( (J9-E9) - {0,360,390,570,585} / 1440 ) ) ), 0) * {0,1,-1,1,-1} ), 0),0) )</f>
        <v>2.0833333333333315E-2</v>
      </c>
      <c r="M9" s="49">
        <f t="shared" si="3"/>
        <v>0.37500000000000006</v>
      </c>
      <c r="N9" s="30" cm="1">
        <f t="array" ref="N9">IFERROR(ROUND(_xlfn.IFS(B9="AZA",-8,E9="","",M9&gt;$Y$1,$W$3,E9&gt;0,(M9*24)-8,E9=0,0),2),0)</f>
        <v>1</v>
      </c>
      <c r="O9" s="31">
        <f t="shared" si="1"/>
        <v>4.1666666666666664E-2</v>
      </c>
      <c r="P9" s="32">
        <f t="shared" ref="P9:P35" si="8">P8+N9/24</f>
        <v>0.125</v>
      </c>
      <c r="Q9" s="33">
        <f t="shared" si="6"/>
        <v>3</v>
      </c>
      <c r="S9" s="11"/>
    </row>
    <row r="10" spans="1:27" outlineLevel="1" x14ac:dyDescent="0.3">
      <c r="A10" s="24">
        <f t="shared" si="7"/>
        <v>44566</v>
      </c>
      <c r="B10" s="25"/>
      <c r="C10" s="27">
        <f>IF( AND(COUNTIF(Feiertage!$A$4:$A$18, '2026'!A10)=0, WEEKDAY(A10,2)&lt;6), 8/24, 0)</f>
        <v>0.33333333333333331</v>
      </c>
      <c r="D10" s="47">
        <f t="shared" si="0"/>
        <v>0</v>
      </c>
      <c r="E10" s="26">
        <v>0.25</v>
      </c>
      <c r="F10" s="27">
        <v>0.47916666666666669</v>
      </c>
      <c r="G10" s="27">
        <v>0.52083333333333337</v>
      </c>
      <c r="H10" s="28"/>
      <c r="I10" s="28"/>
      <c r="J10" s="29">
        <v>0.625</v>
      </c>
      <c r="K10" s="48">
        <f t="shared" si="2"/>
        <v>0.375</v>
      </c>
      <c r="L10" s="45" cm="1">
        <f t="array" ref="L10">MAX( IF( AND(E10&lt;&gt;"", J10&lt;&gt;""), (G10-F10)+(I10-H10), 0), IF(AND(E10&lt;&gt;"", J10&lt;&gt;""), IFERROR( SUMPRODUCT( IFERROR( EXP( LN( ( (J10-E10) - {0,360,390,570,585} / 1440 ) ) ), 0) * {0,1,-1,1,-1} ), 0),0) )</f>
        <v>4.1666666666666685E-2</v>
      </c>
      <c r="M10" s="49">
        <f t="shared" si="3"/>
        <v>0.33333333333333331</v>
      </c>
      <c r="N10" s="30" cm="1">
        <f t="array" ref="N10">IFERROR(ROUND(_xlfn.IFS(B10="AZA",-8,E10="","",M10&gt;$Y$1,$W$3,E10&gt;0,(M10*24)-8,E10=0,0),2),0)</f>
        <v>0</v>
      </c>
      <c r="O10" s="31">
        <f t="shared" si="1"/>
        <v>0</v>
      </c>
      <c r="P10" s="32">
        <f t="shared" si="8"/>
        <v>0.125</v>
      </c>
      <c r="Q10" s="33">
        <f t="shared" si="6"/>
        <v>3</v>
      </c>
    </row>
    <row r="11" spans="1:27" outlineLevel="1" x14ac:dyDescent="0.3">
      <c r="A11" s="24">
        <f t="shared" si="7"/>
        <v>44567</v>
      </c>
      <c r="B11" s="25"/>
      <c r="C11" s="27">
        <f>IF( AND(COUNTIF(Feiertage!$A$4:$A$18, '2026'!A11)=0, WEEKDAY(A11,2)&lt;6), 8/24, 0)</f>
        <v>0.33333333333333331</v>
      </c>
      <c r="D11" s="47">
        <f t="shared" si="0"/>
        <v>0</v>
      </c>
      <c r="E11" s="26">
        <v>0.37152777777777773</v>
      </c>
      <c r="F11" s="27"/>
      <c r="G11" s="27"/>
      <c r="H11" s="28"/>
      <c r="I11" s="28"/>
      <c r="J11" s="29">
        <v>0.68402777777777779</v>
      </c>
      <c r="K11" s="48">
        <f t="shared" si="2"/>
        <v>0.31250000000000006</v>
      </c>
      <c r="L11" s="45" cm="1">
        <f t="array" ref="L11">MAX( IF( AND(E11&lt;&gt;"", J11&lt;&gt;""), (G11-F11)+(I11-H11), 0), IF(AND(E11&lt;&gt;"", J11&lt;&gt;""), IFERROR( SUMPRODUCT( IFERROR( EXP( LN( ( (J11-E11) - {0,360,390,570,585} / 1440 ) ) ), 0) * {0,1,-1,1,-1} ), 0),0) )</f>
        <v>2.0833333333333322E-2</v>
      </c>
      <c r="M11" s="49">
        <f t="shared" si="3"/>
        <v>0.29166666666666674</v>
      </c>
      <c r="N11" s="30" cm="1">
        <f t="array" ref="N11">IFERROR(ROUND(_xlfn.IFS(B11="AZA",-8,E11="","",M11&gt;$Y$1,$W$3,E11&gt;0,(M11*24)-8,E11=0,0),2),0)</f>
        <v>-1</v>
      </c>
      <c r="O11" s="31">
        <f t="shared" si="1"/>
        <v>-4.1666666666666664E-2</v>
      </c>
      <c r="P11" s="32">
        <f t="shared" si="8"/>
        <v>8.3333333333333343E-2</v>
      </c>
      <c r="Q11" s="33">
        <f t="shared" si="6"/>
        <v>2</v>
      </c>
    </row>
    <row r="12" spans="1:27" outlineLevel="1" x14ac:dyDescent="0.3">
      <c r="A12" s="24">
        <f t="shared" si="7"/>
        <v>44568</v>
      </c>
      <c r="B12" s="25"/>
      <c r="C12" s="27">
        <f>IF( AND(COUNTIF(Feiertage!$A$4:$A$18, '2026'!A12)=0, WEEKDAY(A12,2)&lt;6), 8/24, 0)</f>
        <v>0.33333333333333331</v>
      </c>
      <c r="D12" s="47">
        <f t="shared" si="0"/>
        <v>0</v>
      </c>
      <c r="E12" s="26">
        <v>0.28819444444444448</v>
      </c>
      <c r="F12" s="27">
        <v>0.34375</v>
      </c>
      <c r="G12" s="27">
        <v>0.375</v>
      </c>
      <c r="H12" s="28">
        <v>0.5</v>
      </c>
      <c r="I12" s="28">
        <v>0.57291666666666663</v>
      </c>
      <c r="J12" s="29">
        <v>0.67708333333333337</v>
      </c>
      <c r="K12" s="48">
        <f t="shared" si="2"/>
        <v>0.3888888888888889</v>
      </c>
      <c r="L12" s="45" cm="1">
        <f t="array" ref="L12">MAX( IF( AND(E12&lt;&gt;"", J12&lt;&gt;""), (G12-F12)+(I12-H12), 0), IF(AND(E12&lt;&gt;"", J12&lt;&gt;""), IFERROR( SUMPRODUCT( IFERROR( EXP( LN( ( (J12-E12) - {0,360,390,570,585} / 1440 ) ) ), 0) * {0,1,-1,1,-1} ), 0),0) )</f>
        <v>0.10416666666666663</v>
      </c>
      <c r="M12" s="49">
        <f t="shared" si="3"/>
        <v>0.28472222222222227</v>
      </c>
      <c r="N12" s="30" cm="1">
        <f t="array" ref="N12">IFERROR(ROUND(_xlfn.IFS(B12="AZA",-8,E12="","",M12&gt;$Y$1,$W$3,E12&gt;0,(M12*24)-8,E12=0,0),2),0)</f>
        <v>-1.17</v>
      </c>
      <c r="O12" s="31">
        <f t="shared" si="1"/>
        <v>-4.8749999999999995E-2</v>
      </c>
      <c r="P12" s="32">
        <f t="shared" si="8"/>
        <v>3.4583333333333348E-2</v>
      </c>
      <c r="Q12" s="33">
        <f t="shared" si="6"/>
        <v>0.83000000000000029</v>
      </c>
    </row>
    <row r="13" spans="1:27" outlineLevel="1" x14ac:dyDescent="0.3">
      <c r="A13" s="24">
        <f t="shared" si="7"/>
        <v>44569</v>
      </c>
      <c r="B13" s="25"/>
      <c r="C13" s="27">
        <f>IF( AND(COUNTIF(Feiertage!$A$4:$A$18, '2026'!A13)=0, WEEKDAY(A13,2)&lt;6), 8/24, 0)</f>
        <v>0.33333333333333331</v>
      </c>
      <c r="D13" s="47">
        <f t="shared" si="0"/>
        <v>0</v>
      </c>
      <c r="E13" s="26">
        <v>0.25</v>
      </c>
      <c r="F13" s="27"/>
      <c r="G13" s="27"/>
      <c r="H13" s="28"/>
      <c r="I13" s="28"/>
      <c r="J13" s="29">
        <v>0.64583333333333337</v>
      </c>
      <c r="K13" s="48">
        <f t="shared" si="2"/>
        <v>0.39583333333333337</v>
      </c>
      <c r="L13" s="45" cm="1">
        <f t="array" ref="L13">MAX( IF( AND(E13&lt;&gt;"", J13&lt;&gt;""), (G13-F13)+(I13-H13), 0), IF(AND(E13&lt;&gt;"", J13&lt;&gt;""), IFERROR( SUMPRODUCT( IFERROR( EXP( LN( ( (J13-E13) - {0,360,390,570,585} / 1440 ) ) ), 0) * {0,1,-1,1,-1} ), 0),0) )</f>
        <v>2.0833333333333315E-2</v>
      </c>
      <c r="M13" s="49">
        <f t="shared" si="3"/>
        <v>0.37500000000000006</v>
      </c>
      <c r="N13" s="30" cm="1">
        <f t="array" ref="N13">IFERROR(ROUND(_xlfn.IFS(B13="AZA",-8,E13="","",M13&gt;$Y$1,$W$3,E13&gt;0,(M13*24)-8,E13=0,0),2),0)</f>
        <v>1</v>
      </c>
      <c r="O13" s="31">
        <f t="shared" si="1"/>
        <v>4.1666666666666664E-2</v>
      </c>
      <c r="P13" s="32">
        <f t="shared" si="8"/>
        <v>7.6250000000000012E-2</v>
      </c>
      <c r="Q13" s="33">
        <f t="shared" si="6"/>
        <v>1.8300000000000003</v>
      </c>
    </row>
    <row r="14" spans="1:27" outlineLevel="1" x14ac:dyDescent="0.3">
      <c r="A14" s="24">
        <f t="shared" si="7"/>
        <v>44570</v>
      </c>
      <c r="B14" s="25"/>
      <c r="C14" s="27">
        <f>IF( AND(COUNTIF(Feiertage!$A$4:$A$18, '2026'!A14)=0, WEEKDAY(A14,2)&lt;6), 8/24, 0)</f>
        <v>0</v>
      </c>
      <c r="D14" s="47">
        <f t="shared" si="0"/>
        <v>0</v>
      </c>
      <c r="E14" s="34"/>
      <c r="F14" s="35"/>
      <c r="G14" s="35" t="str">
        <f t="shared" ref="G14:G23" si="9">IF(F14&gt;0,F14+$W$2,"")</f>
        <v/>
      </c>
      <c r="H14" s="36"/>
      <c r="I14" s="36"/>
      <c r="J14" s="37"/>
      <c r="K14" s="48">
        <f t="shared" si="2"/>
        <v>0</v>
      </c>
      <c r="L14" s="45" cm="1">
        <f t="array" ref="L14">MAX( IF( AND(E14&lt;&gt;"", J14&lt;&gt;""), (G14-F14)+(I14-H14), 0), IF(AND(E14&lt;&gt;"", J14&lt;&gt;""), IFERROR( SUMPRODUCT( IFERROR( EXP( LN( ( (J14-E14) - {0,360,390,570,585} / 1440 ) ) ), 0) * {0,1,-1,1,-1} ), 0),0) )</f>
        <v>0</v>
      </c>
      <c r="M14" s="49">
        <f t="shared" si="3"/>
        <v>0</v>
      </c>
      <c r="N14" s="30" cm="1">
        <f t="array" ref="N14">IFERROR(ROUND(_xlfn.IFS(B14="AZA",-8,E14="","",M14&gt;$Y$1,$W$3,E14&gt;0,(M14*24)-8,E14=0,0),2),0)</f>
        <v>0</v>
      </c>
      <c r="O14" s="31">
        <f t="shared" si="1"/>
        <v>0</v>
      </c>
      <c r="P14" s="32">
        <f t="shared" si="8"/>
        <v>7.6250000000000012E-2</v>
      </c>
      <c r="Q14" s="33">
        <f t="shared" si="6"/>
        <v>1.8300000000000003</v>
      </c>
    </row>
    <row r="15" spans="1:27" outlineLevel="1" x14ac:dyDescent="0.3">
      <c r="A15" s="24">
        <f t="shared" si="7"/>
        <v>44571</v>
      </c>
      <c r="B15" s="25"/>
      <c r="C15" s="27">
        <f>IF( AND(COUNTIF(Feiertage!$A$4:$A$18, '2026'!A15)=0, WEEKDAY(A15,2)&lt;6), 8/24, 0)</f>
        <v>0</v>
      </c>
      <c r="D15" s="47">
        <f t="shared" si="0"/>
        <v>0</v>
      </c>
      <c r="E15" s="34"/>
      <c r="F15" s="35"/>
      <c r="G15" s="35"/>
      <c r="H15" s="36"/>
      <c r="I15" s="36"/>
      <c r="J15" s="37"/>
      <c r="K15" s="48">
        <f t="shared" si="2"/>
        <v>0</v>
      </c>
      <c r="L15" s="45" cm="1">
        <f t="array" ref="L15">MAX( IF( AND(E15&lt;&gt;"", J15&lt;&gt;""), (G15-F15)+(I15-H15), 0), IF(AND(E15&lt;&gt;"", J15&lt;&gt;""), IFERROR( SUMPRODUCT( IFERROR( EXP( LN( ( (J15-E15) - {0,360,390,570,585} / 1440 ) ) ), 0) * {0,1,-1,1,-1} ), 0),0) )</f>
        <v>0</v>
      </c>
      <c r="M15" s="49">
        <f t="shared" si="3"/>
        <v>0</v>
      </c>
      <c r="N15" s="30" cm="1">
        <f t="array" ref="N15">IFERROR(ROUND(_xlfn.IFS(B15="AZA",-8,E15="","",M15&gt;$Y$1,$W$3,E15&gt;0,(M15*24)-8,E15=0,0),2),0)</f>
        <v>0</v>
      </c>
      <c r="O15" s="31">
        <f t="shared" si="1"/>
        <v>0</v>
      </c>
      <c r="P15" s="32">
        <f t="shared" si="8"/>
        <v>7.6250000000000012E-2</v>
      </c>
      <c r="Q15" s="33">
        <f t="shared" si="6"/>
        <v>1.8300000000000003</v>
      </c>
    </row>
    <row r="16" spans="1:27" outlineLevel="1" x14ac:dyDescent="0.3">
      <c r="A16" s="24">
        <f t="shared" si="7"/>
        <v>44572</v>
      </c>
      <c r="B16" s="46"/>
      <c r="C16" s="27">
        <f>IF( AND(COUNTIF(Feiertage!$A$4:$A$18, '2026'!A16)=0, WEEKDAY(A16,2)&lt;6), 8/24, 0)</f>
        <v>0.33333333333333331</v>
      </c>
      <c r="D16" s="47">
        <f t="shared" si="0"/>
        <v>0</v>
      </c>
      <c r="E16" s="26">
        <v>0.25</v>
      </c>
      <c r="F16" s="35"/>
      <c r="G16" s="35"/>
      <c r="H16" s="36"/>
      <c r="I16" s="36"/>
      <c r="J16" s="29">
        <v>0.625</v>
      </c>
      <c r="K16" s="48">
        <f t="shared" si="2"/>
        <v>0.375</v>
      </c>
      <c r="L16" s="45" cm="1">
        <f t="array" ref="L16">MAX( IF( AND(E16&lt;&gt;"", J16&lt;&gt;""), (G16-F16)+(I16-H16), 0), IF(AND(E16&lt;&gt;"", J16&lt;&gt;""), IFERROR( SUMPRODUCT( IFERROR( EXP( LN( ( (J16-E16) - {0,360,390,570,585} / 1440 ) ) ), 0) * {0,1,-1,1,-1} ), 0),0) )</f>
        <v>2.0833333333333329E-2</v>
      </c>
      <c r="M16" s="49">
        <f t="shared" si="3"/>
        <v>0.35416666666666669</v>
      </c>
      <c r="N16" s="30" cm="1">
        <f t="array" ref="N16">IFERROR(ROUND(_xlfn.IFS(B16="AZA",-8,E16="","",M16&gt;$Y$1,$W$3,E16&gt;0,(M16*24)-8,E16=0,0),2),0)</f>
        <v>0.5</v>
      </c>
      <c r="O16" s="31">
        <f t="shared" si="1"/>
        <v>2.0833333333333332E-2</v>
      </c>
      <c r="P16" s="32">
        <f t="shared" si="8"/>
        <v>9.7083333333333341E-2</v>
      </c>
      <c r="Q16" s="33">
        <f t="shared" si="6"/>
        <v>2.33</v>
      </c>
    </row>
    <row r="17" spans="1:19" outlineLevel="1" x14ac:dyDescent="0.3">
      <c r="A17" s="24">
        <f t="shared" si="7"/>
        <v>44573</v>
      </c>
      <c r="B17" s="25"/>
      <c r="C17" s="27">
        <f>IF( AND(COUNTIF(Feiertage!$A$4:$A$18, '2026'!A17)=0, WEEKDAY(A17,2)&lt;6), 8/24, 0)</f>
        <v>0.33333333333333331</v>
      </c>
      <c r="D17" s="47">
        <f t="shared" si="0"/>
        <v>0</v>
      </c>
      <c r="E17" s="26">
        <v>0.26597222222222222</v>
      </c>
      <c r="F17" s="35"/>
      <c r="G17" s="35"/>
      <c r="H17" s="36"/>
      <c r="I17" s="36"/>
      <c r="J17" s="29">
        <v>0.61458333333333337</v>
      </c>
      <c r="K17" s="48">
        <f t="shared" si="2"/>
        <v>0.34861111111111115</v>
      </c>
      <c r="L17" s="45" cm="1">
        <f t="array" ref="L17">MAX( IF( AND(E17&lt;&gt;"", J17&lt;&gt;""), (G17-F17)+(I17-H17), 0), IF(AND(E17&lt;&gt;"", J17&lt;&gt;""), IFERROR( SUMPRODUCT( IFERROR( EXP( LN( ( (J17-E17) - {0,360,390,570,585} / 1440 ) ) ), 0) * {0,1,-1,1,-1} ), 0),0) )</f>
        <v>2.0833333333333315E-2</v>
      </c>
      <c r="M17" s="49">
        <f t="shared" si="3"/>
        <v>0.32777777777777783</v>
      </c>
      <c r="N17" s="30" cm="1">
        <f t="array" ref="N17">IFERROR(ROUND(_xlfn.IFS(B17="AZA",-8,E17="","",M17&gt;$Y$1,$W$3,E17&gt;0,(M17*24)-8,E17=0,0),2),0)</f>
        <v>-0.13</v>
      </c>
      <c r="O17" s="31">
        <f t="shared" si="1"/>
        <v>-5.4166666666666669E-3</v>
      </c>
      <c r="P17" s="32">
        <f t="shared" si="8"/>
        <v>9.1666666666666674E-2</v>
      </c>
      <c r="Q17" s="33">
        <f t="shared" si="6"/>
        <v>2.2000000000000002</v>
      </c>
    </row>
    <row r="18" spans="1:19" outlineLevel="1" x14ac:dyDescent="0.3">
      <c r="A18" s="24">
        <f t="shared" si="7"/>
        <v>44574</v>
      </c>
      <c r="B18" s="25" t="s">
        <v>15</v>
      </c>
      <c r="C18" s="27">
        <f>IF( AND(COUNTIF(Feiertage!$A$4:$A$18, '2026'!A18)=0, WEEKDAY(A18,2)&lt;6), 8/24, 0)</f>
        <v>0.33333333333333331</v>
      </c>
      <c r="D18" s="47">
        <f t="shared" si="0"/>
        <v>0.33333333333333331</v>
      </c>
      <c r="E18" s="26"/>
      <c r="F18" s="35"/>
      <c r="G18" s="35"/>
      <c r="H18" s="36"/>
      <c r="I18" s="36"/>
      <c r="J18" s="29"/>
      <c r="K18" s="48">
        <f t="shared" si="2"/>
        <v>0</v>
      </c>
      <c r="L18" s="45" cm="1">
        <f t="array" ref="L18">MAX( IF( AND(E18&lt;&gt;"", J18&lt;&gt;""), (G18-F18)+(I18-H18), 0), IF(AND(E18&lt;&gt;"", J18&lt;&gt;""), IFERROR( SUMPRODUCT( IFERROR( EXP( LN( ( (J18-E18) - {0,360,390,570,585} / 1440 ) ) ), 0) * {0,1,-1,1,-1} ), 0),0) )</f>
        <v>0</v>
      </c>
      <c r="M18" s="49">
        <f t="shared" si="3"/>
        <v>0.33333333333333331</v>
      </c>
      <c r="N18" s="30" cm="1">
        <f t="array" ref="N18">IFERROR(ROUND(_xlfn.IFS(B18="AZA",-8,E18="","",M18&gt;$Y$1,$W$3,E18&gt;0,(M18*24)-8,E18=0,0),2),0)</f>
        <v>0</v>
      </c>
      <c r="O18" s="31">
        <f t="shared" si="1"/>
        <v>0</v>
      </c>
      <c r="P18" s="32">
        <f t="shared" si="8"/>
        <v>9.1666666666666674E-2</v>
      </c>
      <c r="Q18" s="33">
        <f t="shared" si="6"/>
        <v>2.2000000000000002</v>
      </c>
    </row>
    <row r="19" spans="1:19" outlineLevel="1" x14ac:dyDescent="0.3">
      <c r="A19" s="24">
        <f t="shared" si="7"/>
        <v>44575</v>
      </c>
      <c r="B19" s="25" t="s">
        <v>42</v>
      </c>
      <c r="C19" s="27">
        <f>IF( AND(COUNTIF(Feiertage!$A$4:$A$18, '2026'!A19)=0, WEEKDAY(A19,2)&lt;6), 8/24, 0)</f>
        <v>0.33333333333333331</v>
      </c>
      <c r="D19" s="47">
        <f t="shared" si="0"/>
        <v>0.33333333333333331</v>
      </c>
      <c r="E19" s="26"/>
      <c r="F19" s="35"/>
      <c r="G19" s="35"/>
      <c r="H19" s="36"/>
      <c r="I19" s="36"/>
      <c r="J19" s="29"/>
      <c r="K19" s="48">
        <f t="shared" si="2"/>
        <v>0</v>
      </c>
      <c r="L19" s="45" cm="1">
        <f t="array" ref="L19">MAX( IF( AND(E19&lt;&gt;"", J19&lt;&gt;""), (G19-F19)+(I19-H19), 0), IF(AND(E19&lt;&gt;"", J19&lt;&gt;""), IFERROR( SUMPRODUCT( IFERROR( EXP( LN( ( (J19-E19) - {0,360,390,570,585} / 1440 ) ) ), 0) * {0,1,-1,1,-1} ), 0),0) )</f>
        <v>0</v>
      </c>
      <c r="M19" s="49">
        <f t="shared" si="3"/>
        <v>0.33333333333333331</v>
      </c>
      <c r="N19" s="30" cm="1">
        <f t="array" ref="N19">IFERROR(ROUND(_xlfn.IFS(B19="AZA",-8,E19="","",M19&gt;$Y$1,$W$3,E19&gt;0,(M19*24)-8,E19=0,0),2),0)</f>
        <v>0</v>
      </c>
      <c r="O19" s="31">
        <f t="shared" si="1"/>
        <v>0</v>
      </c>
      <c r="P19" s="32">
        <f t="shared" si="8"/>
        <v>9.1666666666666674E-2</v>
      </c>
      <c r="Q19" s="33">
        <f t="shared" si="6"/>
        <v>2.2000000000000002</v>
      </c>
    </row>
    <row r="20" spans="1:19" outlineLevel="1" x14ac:dyDescent="0.3">
      <c r="A20" s="24">
        <f t="shared" si="7"/>
        <v>44576</v>
      </c>
      <c r="B20" s="25" t="s">
        <v>0</v>
      </c>
      <c r="C20" s="27">
        <f>IF( AND(COUNTIF(Feiertage!$A$4:$A$18, '2026'!A20)=0, WEEKDAY(A20,2)&lt;6), 8/24, 0)</f>
        <v>0.33333333333333331</v>
      </c>
      <c r="D20" s="47">
        <f t="shared" si="0"/>
        <v>0</v>
      </c>
      <c r="E20" s="26">
        <v>0.27430555555555552</v>
      </c>
      <c r="F20" s="35"/>
      <c r="G20" s="35"/>
      <c r="H20" s="36"/>
      <c r="I20" s="36"/>
      <c r="J20" s="29">
        <v>0.72569444444444453</v>
      </c>
      <c r="K20" s="48">
        <f t="shared" si="2"/>
        <v>0.45138888888888901</v>
      </c>
      <c r="L20" s="45" cm="1">
        <f t="array" ref="L20">MAX( IF( AND(E20&lt;&gt;"", J20&lt;&gt;""), (G20-F20)+(I20-H20), 0), IF(AND(E20&lt;&gt;"", J20&lt;&gt;""), IFERROR( SUMPRODUCT( IFERROR( EXP( LN( ( (J20-E20) - {0,360,390,570,585} / 1440 ) ) ), 0) * {0,1,-1,1,-1} ), 0),0) )</f>
        <v>3.1250000000000007E-2</v>
      </c>
      <c r="M20" s="49">
        <f t="shared" si="3"/>
        <v>0.42013888888888901</v>
      </c>
      <c r="N20" s="30" cm="1">
        <f t="array" ref="N20">IFERROR(ROUND(_xlfn.IFS(B20="AZA",-8,E20="","",M20&gt;$Y$1,$W$3,E20&gt;0,(M20*24)-8,E20=0,0),2),0)</f>
        <v>2</v>
      </c>
      <c r="O20" s="31">
        <f t="shared" si="1"/>
        <v>8.3333333333333329E-2</v>
      </c>
      <c r="P20" s="32">
        <f t="shared" si="8"/>
        <v>0.17499999999999999</v>
      </c>
      <c r="Q20" s="33">
        <f t="shared" si="6"/>
        <v>4.1999999999999993</v>
      </c>
    </row>
    <row r="21" spans="1:19" outlineLevel="1" x14ac:dyDescent="0.3">
      <c r="A21" s="24">
        <f t="shared" si="7"/>
        <v>44577</v>
      </c>
      <c r="B21" s="25"/>
      <c r="C21" s="27">
        <f>IF( AND(COUNTIF(Feiertage!$A$4:$A$18, '2026'!A21)=0, WEEKDAY(A21,2)&lt;6), 8/24, 0)</f>
        <v>0</v>
      </c>
      <c r="D21" s="47">
        <f t="shared" si="0"/>
        <v>0</v>
      </c>
      <c r="E21" s="34"/>
      <c r="F21" s="35"/>
      <c r="G21" s="35"/>
      <c r="H21" s="36"/>
      <c r="I21" s="36"/>
      <c r="J21" s="37"/>
      <c r="K21" s="48">
        <f t="shared" si="2"/>
        <v>0</v>
      </c>
      <c r="L21" s="45" cm="1">
        <f t="array" ref="L21">MAX( IF( AND(E21&lt;&gt;"", J21&lt;&gt;""), (G21-F21)+(I21-H21), 0), IF(AND(E21&lt;&gt;"", J21&lt;&gt;""), IFERROR( SUMPRODUCT( IFERROR( EXP( LN( ( (J21-E21) - {0,360,390,570,585} / 1440 ) ) ), 0) * {0,1,-1,1,-1} ), 0),0) )</f>
        <v>0</v>
      </c>
      <c r="M21" s="49">
        <f t="shared" si="3"/>
        <v>0</v>
      </c>
      <c r="N21" s="30" cm="1">
        <f t="array" ref="N21">IFERROR(ROUND(_xlfn.IFS(B21="AZA",-8,E21="","",M21&gt;$Y$1,$W$3,E21&gt;0,(M21*24)-8,E21=0,0),2),0)</f>
        <v>0</v>
      </c>
      <c r="O21" s="31">
        <f t="shared" si="1"/>
        <v>0</v>
      </c>
      <c r="P21" s="32">
        <f t="shared" si="8"/>
        <v>0.17499999999999999</v>
      </c>
      <c r="Q21" s="33">
        <f t="shared" si="6"/>
        <v>4.1999999999999993</v>
      </c>
    </row>
    <row r="22" spans="1:19" outlineLevel="1" x14ac:dyDescent="0.3">
      <c r="A22" s="24">
        <f t="shared" si="7"/>
        <v>44578</v>
      </c>
      <c r="B22" s="25"/>
      <c r="C22" s="27">
        <f>IF( AND(COUNTIF(Feiertage!$A$4:$A$18, '2026'!A22)=0, WEEKDAY(A22,2)&lt;6), 8/24, 0)</f>
        <v>0</v>
      </c>
      <c r="D22" s="47">
        <f t="shared" si="0"/>
        <v>0</v>
      </c>
      <c r="E22" s="34"/>
      <c r="F22" s="35"/>
      <c r="G22" s="35" t="str">
        <f t="shared" si="9"/>
        <v/>
      </c>
      <c r="H22" s="36"/>
      <c r="I22" s="36"/>
      <c r="J22" s="37"/>
      <c r="K22" s="48">
        <f t="shared" si="2"/>
        <v>0</v>
      </c>
      <c r="L22" s="45" cm="1">
        <f t="array" ref="L22">MAX( IF( AND(E22&lt;&gt;"", J22&lt;&gt;""), (G22-F22)+(I22-H22), 0), IF(AND(E22&lt;&gt;"", J22&lt;&gt;""), IFERROR( SUMPRODUCT( IFERROR( EXP( LN( ( (J22-E22) - {0,360,390,570,585} / 1440 ) ) ), 0) * {0,1,-1,1,-1} ), 0),0) )</f>
        <v>0</v>
      </c>
      <c r="M22" s="49">
        <f t="shared" si="3"/>
        <v>0</v>
      </c>
      <c r="N22" s="30" cm="1">
        <f t="array" ref="N22">IFERROR(ROUND(_xlfn.IFS(B22="AZA",-8,E22="","",M22&gt;$Y$1,$W$3,E22&gt;0,(M22*24)-8,E22=0,0),2),0)</f>
        <v>0</v>
      </c>
      <c r="O22" s="31">
        <f t="shared" si="1"/>
        <v>0</v>
      </c>
      <c r="P22" s="32">
        <f t="shared" si="8"/>
        <v>0.17499999999999999</v>
      </c>
      <c r="Q22" s="33">
        <f t="shared" si="6"/>
        <v>4.1999999999999993</v>
      </c>
    </row>
    <row r="23" spans="1:19" outlineLevel="1" x14ac:dyDescent="0.3">
      <c r="A23" s="24">
        <f t="shared" si="7"/>
        <v>44579</v>
      </c>
      <c r="B23" s="25" t="s">
        <v>16</v>
      </c>
      <c r="C23" s="27">
        <f>IF( AND(COUNTIF(Feiertage!$A$4:$A$18, '2026'!A23)=0, WEEKDAY(A23,2)&lt;6), 8/24, 0)</f>
        <v>0.33333333333333331</v>
      </c>
      <c r="D23" s="47">
        <f t="shared" si="0"/>
        <v>0</v>
      </c>
      <c r="E23" s="34"/>
      <c r="F23" s="35"/>
      <c r="G23" s="35" t="str">
        <f t="shared" si="9"/>
        <v/>
      </c>
      <c r="H23" s="36"/>
      <c r="I23" s="36"/>
      <c r="J23" s="37"/>
      <c r="K23" s="48">
        <f t="shared" si="2"/>
        <v>0</v>
      </c>
      <c r="L23" s="45" cm="1">
        <f t="array" ref="L23">MAX( IF( AND(E23&lt;&gt;"", J23&lt;&gt;""), (G23-F23)+(I23-H23), 0), IF(AND(E23&lt;&gt;"", J23&lt;&gt;""), IFERROR( SUMPRODUCT( IFERROR( EXP( LN( ( (J23-E23) - {0,360,390,570,585} / 1440 ) ) ), 0) * {0,1,-1,1,-1} ), 0),0) )</f>
        <v>0</v>
      </c>
      <c r="M23" s="49">
        <f t="shared" si="3"/>
        <v>0</v>
      </c>
      <c r="N23" s="30" cm="1">
        <f t="array" ref="N23">IFERROR(ROUND(_xlfn.IFS(B23="AZA",-8,E23="","",M23&gt;$Y$1,$W$3,E23&gt;0,(M23*24)-8,E23=0,0),2),0)</f>
        <v>-8</v>
      </c>
      <c r="O23" s="31">
        <f t="shared" si="1"/>
        <v>-0.33333333333333331</v>
      </c>
      <c r="P23" s="32">
        <f t="shared" si="8"/>
        <v>-0.15833333333333333</v>
      </c>
      <c r="Q23" s="33">
        <f t="shared" si="6"/>
        <v>-3.8</v>
      </c>
    </row>
    <row r="24" spans="1:19" outlineLevel="1" x14ac:dyDescent="0.3">
      <c r="A24" s="24">
        <f t="shared" si="7"/>
        <v>44580</v>
      </c>
      <c r="B24" s="25"/>
      <c r="C24" s="27">
        <f>IF( AND(COUNTIF(Feiertage!$A$4:$A$18, '2026'!A24)=0, WEEKDAY(A24,2)&lt;6), 8/24, 0)</f>
        <v>0.33333333333333331</v>
      </c>
      <c r="D24" s="47">
        <f t="shared" si="0"/>
        <v>0</v>
      </c>
      <c r="E24" s="26">
        <v>0.28125</v>
      </c>
      <c r="F24" s="27"/>
      <c r="G24" s="27"/>
      <c r="H24" s="28"/>
      <c r="I24" s="28"/>
      <c r="J24" s="29">
        <v>0.67361111111111116</v>
      </c>
      <c r="K24" s="48">
        <f t="shared" si="2"/>
        <v>0.39236111111111116</v>
      </c>
      <c r="L24" s="45" cm="1">
        <f t="array" ref="L24">MAX( IF( AND(E24&lt;&gt;"", J24&lt;&gt;""), (G24-F24)+(I24-H24), 0), IF(AND(E24&lt;&gt;"", J24&lt;&gt;""), IFERROR( SUMPRODUCT( IFERROR( EXP( LN( ( (J24-E24) - {0,360,390,570,585} / 1440 ) ) ), 0) * {0,1,-1,1,-1} ), 0),0) )</f>
        <v>2.0833333333333315E-2</v>
      </c>
      <c r="M24" s="49">
        <f t="shared" si="3"/>
        <v>0.37152777777777785</v>
      </c>
      <c r="N24" s="30" cm="1">
        <f t="array" ref="N24">IFERROR(ROUND(_xlfn.IFS(B24="AZA",-8,E24="","",M24&gt;$Y$1,$W$3,E24&gt;0,(M24*24)-8,E24=0,0),2),0)</f>
        <v>0.92</v>
      </c>
      <c r="O24" s="31">
        <f t="shared" si="1"/>
        <v>3.8333333333333337E-2</v>
      </c>
      <c r="P24" s="32">
        <f t="shared" si="8"/>
        <v>-0.12</v>
      </c>
      <c r="Q24" s="33">
        <f t="shared" si="6"/>
        <v>-2.88</v>
      </c>
    </row>
    <row r="25" spans="1:19" outlineLevel="1" x14ac:dyDescent="0.3">
      <c r="A25" s="24">
        <f t="shared" si="7"/>
        <v>44581</v>
      </c>
      <c r="B25" s="25"/>
      <c r="C25" s="27">
        <f>IF( AND(COUNTIF(Feiertage!$A$4:$A$18, '2026'!A25)=0, WEEKDAY(A25,2)&lt;6), 8/24, 0)</f>
        <v>0.33333333333333331</v>
      </c>
      <c r="D25" s="47">
        <f t="shared" si="0"/>
        <v>0</v>
      </c>
      <c r="E25" s="26">
        <v>0.27777777777777779</v>
      </c>
      <c r="F25" s="27">
        <v>0.5</v>
      </c>
      <c r="G25" s="27">
        <v>0.52777777777777779</v>
      </c>
      <c r="H25" s="28"/>
      <c r="I25" s="28"/>
      <c r="J25" s="29">
        <v>0.68055555555555547</v>
      </c>
      <c r="K25" s="48">
        <f t="shared" si="2"/>
        <v>0.40277777777777768</v>
      </c>
      <c r="L25" s="45" cm="1">
        <f t="array" ref="L25">MAX( IF( AND(E25&lt;&gt;"", J25&lt;&gt;""), (G25-F25)+(I25-H25), 0), IF(AND(E25&lt;&gt;"", J25&lt;&gt;""), IFERROR( SUMPRODUCT( IFERROR( EXP( LN( ( (J25-E25) - {0,360,390,570,585} / 1440 ) ) ), 0) * {0,1,-1,1,-1} ), 0),0) )</f>
        <v>2.777777777777779E-2</v>
      </c>
      <c r="M25" s="49">
        <f t="shared" si="3"/>
        <v>0.37499999999999989</v>
      </c>
      <c r="N25" s="30" cm="1">
        <f t="array" ref="N25">IFERROR(ROUND(_xlfn.IFS(B25="AZA",-8,E25="","",M25&gt;$Y$1,$W$3,E25&gt;0,(M25*24)-8,E25=0,0),2),0)</f>
        <v>1</v>
      </c>
      <c r="O25" s="31">
        <f t="shared" si="1"/>
        <v>4.1666666666666664E-2</v>
      </c>
      <c r="P25" s="32">
        <f t="shared" si="8"/>
        <v>-7.8333333333333338E-2</v>
      </c>
      <c r="Q25" s="33">
        <f t="shared" si="6"/>
        <v>-1.8800000000000001</v>
      </c>
    </row>
    <row r="26" spans="1:19" outlineLevel="1" x14ac:dyDescent="0.3">
      <c r="A26" s="24">
        <f t="shared" si="7"/>
        <v>44582</v>
      </c>
      <c r="B26" s="25"/>
      <c r="C26" s="27">
        <f>IF( AND(COUNTIF(Feiertage!$A$4:$A$18, '2026'!A26)=0, WEEKDAY(A26,2)&lt;6), 8/24, 0)</f>
        <v>0.33333333333333331</v>
      </c>
      <c r="D26" s="47">
        <f t="shared" si="0"/>
        <v>0</v>
      </c>
      <c r="E26" s="26">
        <v>0.25</v>
      </c>
      <c r="F26" s="27">
        <v>0.43055555555555558</v>
      </c>
      <c r="G26" s="27">
        <v>0.4861111111111111</v>
      </c>
      <c r="H26" s="28"/>
      <c r="I26" s="28"/>
      <c r="J26" s="29">
        <v>0.63888888888888895</v>
      </c>
      <c r="K26" s="48">
        <f t="shared" si="2"/>
        <v>0.38888888888888895</v>
      </c>
      <c r="L26" s="45" cm="1">
        <f t="array" ref="L26">MAX( IF( AND(E26&lt;&gt;"", J26&lt;&gt;""), (G26-F26)+(I26-H26), 0), IF(AND(E26&lt;&gt;"", J26&lt;&gt;""), IFERROR( SUMPRODUCT( IFERROR( EXP( LN( ( (J26-E26) - {0,360,390,570,585} / 1440 ) ) ), 0) * {0,1,-1,1,-1} ), 0),0) )</f>
        <v>5.5555555555555525E-2</v>
      </c>
      <c r="M26" s="49">
        <f t="shared" si="3"/>
        <v>0.33333333333333343</v>
      </c>
      <c r="N26" s="30" cm="1">
        <f t="array" ref="N26">IFERROR(ROUND(_xlfn.IFS(B26="AZA",-8,E26="","",M26&gt;$Y$1,$W$3,E26&gt;0,(M26*24)-8,E26=0,0),2),0)</f>
        <v>0</v>
      </c>
      <c r="O26" s="31">
        <f t="shared" si="1"/>
        <v>0</v>
      </c>
      <c r="P26" s="32">
        <f t="shared" si="8"/>
        <v>-7.8333333333333338E-2</v>
      </c>
      <c r="Q26" s="33">
        <f t="shared" si="6"/>
        <v>-1.8800000000000001</v>
      </c>
    </row>
    <row r="27" spans="1:19" outlineLevel="1" x14ac:dyDescent="0.3">
      <c r="A27" s="24">
        <f t="shared" si="7"/>
        <v>44583</v>
      </c>
      <c r="B27" s="25"/>
      <c r="C27" s="27">
        <f>IF( AND(COUNTIF(Feiertage!$A$4:$A$18, '2026'!A27)=0, WEEKDAY(A27,2)&lt;6), 8/24, 0)</f>
        <v>0.33333333333333331</v>
      </c>
      <c r="D27" s="47">
        <f t="shared" si="0"/>
        <v>0</v>
      </c>
      <c r="E27" s="26">
        <v>0.25</v>
      </c>
      <c r="F27" s="27">
        <v>0.4375</v>
      </c>
      <c r="G27" s="27">
        <v>0.47222222222222227</v>
      </c>
      <c r="H27" s="28"/>
      <c r="I27" s="28"/>
      <c r="J27" s="29">
        <v>0.61805555555555558</v>
      </c>
      <c r="K27" s="48">
        <f t="shared" si="2"/>
        <v>0.36805555555555558</v>
      </c>
      <c r="L27" s="45" cm="1">
        <f t="array" ref="L27">MAX( IF( AND(E27&lt;&gt;"", J27&lt;&gt;""), (G27-F27)+(I27-H27), 0), IF(AND(E27&lt;&gt;"", J27&lt;&gt;""), IFERROR( SUMPRODUCT( IFERROR( EXP( LN( ( (J27-E27) - {0,360,390,570,585} / 1440 ) ) ), 0) * {0,1,-1,1,-1} ), 0),0) )</f>
        <v>3.4722222222222265E-2</v>
      </c>
      <c r="M27" s="49">
        <f t="shared" si="3"/>
        <v>0.33333333333333331</v>
      </c>
      <c r="N27" s="30" cm="1">
        <f t="array" ref="N27">IFERROR(ROUND(_xlfn.IFS(B27="AZA",-8,E27="","",M27&gt;$Y$1,$W$3,E27&gt;0,(M27*24)-8,E27=0,0),2),0)</f>
        <v>0</v>
      </c>
      <c r="O27" s="31">
        <f t="shared" si="1"/>
        <v>0</v>
      </c>
      <c r="P27" s="32">
        <f t="shared" si="8"/>
        <v>-7.8333333333333338E-2</v>
      </c>
      <c r="Q27" s="33">
        <f t="shared" si="6"/>
        <v>-1.8800000000000001</v>
      </c>
    </row>
    <row r="28" spans="1:19" outlineLevel="1" x14ac:dyDescent="0.3">
      <c r="A28" s="24">
        <f t="shared" si="7"/>
        <v>44584</v>
      </c>
      <c r="B28" s="25"/>
      <c r="C28" s="27">
        <f>IF( AND(COUNTIF(Feiertage!$A$4:$A$18, '2026'!A28)=0, WEEKDAY(A28,2)&lt;6), 8/24, 0)</f>
        <v>0</v>
      </c>
      <c r="D28" s="47">
        <f t="shared" si="0"/>
        <v>0</v>
      </c>
      <c r="E28" s="34"/>
      <c r="F28" s="35"/>
      <c r="G28" s="27" t="str">
        <f>IF(F28&gt;0,F28+$W$2,"")</f>
        <v/>
      </c>
      <c r="H28" s="28"/>
      <c r="I28" s="28"/>
      <c r="J28" s="37"/>
      <c r="K28" s="48">
        <f t="shared" si="2"/>
        <v>0</v>
      </c>
      <c r="L28" s="45" cm="1">
        <f t="array" ref="L28">MAX( IF( AND(E28&lt;&gt;"", J28&lt;&gt;""), (G28-F28)+(I28-H28), 0), IF(AND(E28&lt;&gt;"", J28&lt;&gt;""), IFERROR( SUMPRODUCT( IFERROR( EXP( LN( ( (J28-E28) - {0,360,390,570,585} / 1440 ) ) ), 0) * {0,1,-1,1,-1} ), 0),0) )</f>
        <v>0</v>
      </c>
      <c r="M28" s="49">
        <f t="shared" si="3"/>
        <v>0</v>
      </c>
      <c r="N28" s="30" cm="1">
        <f t="array" ref="N28">IFERROR(ROUND(_xlfn.IFS(B28="AZA",-8,E28="","",M28&gt;$Y$1,$W$3,E28&gt;0,(M28*24)-8,E28=0,0),2),0)</f>
        <v>0</v>
      </c>
      <c r="O28" s="31">
        <f t="shared" si="1"/>
        <v>0</v>
      </c>
      <c r="P28" s="32">
        <f t="shared" si="8"/>
        <v>-7.8333333333333338E-2</v>
      </c>
      <c r="Q28" s="33">
        <f t="shared" si="6"/>
        <v>-1.8800000000000001</v>
      </c>
    </row>
    <row r="29" spans="1:19" outlineLevel="1" x14ac:dyDescent="0.3">
      <c r="A29" s="24">
        <f t="shared" si="7"/>
        <v>44585</v>
      </c>
      <c r="B29" s="25"/>
      <c r="C29" s="27">
        <f>IF( AND(COUNTIF(Feiertage!$A$4:$A$18, '2026'!A29)=0, WEEKDAY(A29,2)&lt;6), 8/24, 0)</f>
        <v>0</v>
      </c>
      <c r="D29" s="47">
        <f t="shared" si="0"/>
        <v>0</v>
      </c>
      <c r="E29" s="34"/>
      <c r="F29" s="35"/>
      <c r="G29" s="27" t="str">
        <f>IF(F29&gt;0,F29+$W$2,"")</f>
        <v/>
      </c>
      <c r="H29" s="28"/>
      <c r="I29" s="28"/>
      <c r="J29" s="37"/>
      <c r="K29" s="48">
        <f t="shared" si="2"/>
        <v>0</v>
      </c>
      <c r="L29" s="45" cm="1">
        <f t="array" ref="L29">MAX( IF( AND(E29&lt;&gt;"", J29&lt;&gt;""), (G29-F29)+(I29-H29), 0), IF(AND(E29&lt;&gt;"", J29&lt;&gt;""), IFERROR( SUMPRODUCT( IFERROR( EXP( LN( ( (J29-E29) - {0,360,390,570,585} / 1440 ) ) ), 0) * {0,1,-1,1,-1} ), 0),0) )</f>
        <v>0</v>
      </c>
      <c r="M29" s="49">
        <f t="shared" si="3"/>
        <v>0</v>
      </c>
      <c r="N29" s="30" cm="1">
        <f t="array" ref="N29">IFERROR(ROUND(_xlfn.IFS(B29="AZA",-8,E29="","",M29&gt;$Y$1,$W$3,E29&gt;0,(M29*24)-8,E29=0,0),2),0)</f>
        <v>0</v>
      </c>
      <c r="O29" s="31">
        <f t="shared" si="1"/>
        <v>0</v>
      </c>
      <c r="P29" s="32">
        <f t="shared" si="8"/>
        <v>-7.8333333333333338E-2</v>
      </c>
      <c r="Q29" s="33">
        <f t="shared" si="6"/>
        <v>-1.8800000000000001</v>
      </c>
    </row>
    <row r="30" spans="1:19" outlineLevel="1" x14ac:dyDescent="0.3">
      <c r="A30" s="24">
        <f t="shared" si="7"/>
        <v>44586</v>
      </c>
      <c r="B30" s="25"/>
      <c r="C30" s="27">
        <f>IF( AND(COUNTIF(Feiertage!$A$4:$A$18, '2026'!A30)=0, WEEKDAY(A30,2)&lt;6), 8/24, 0)</f>
        <v>0.33333333333333331</v>
      </c>
      <c r="D30" s="47">
        <f t="shared" si="0"/>
        <v>0</v>
      </c>
      <c r="E30" s="26">
        <v>0.26041666666666669</v>
      </c>
      <c r="F30" s="27"/>
      <c r="G30" s="27"/>
      <c r="H30" s="28"/>
      <c r="I30" s="28"/>
      <c r="J30" s="29">
        <v>0.69444444444444453</v>
      </c>
      <c r="K30" s="48">
        <f t="shared" si="2"/>
        <v>0.43402777777777785</v>
      </c>
      <c r="L30" s="45" cm="1">
        <f t="array" ref="L30">MAX( IF( AND(E30&lt;&gt;"", J30&lt;&gt;""), (G30-F30)+(I30-H30), 0), IF(AND(E30&lt;&gt;"", J30&lt;&gt;""), IFERROR( SUMPRODUCT( IFERROR( EXP( LN( ( (J30-E30) - {0,360,390,570,585} / 1440 ) ) ), 0) * {0,1,-1,1,-1} ), 0),0) )</f>
        <v>3.1249999999999997E-2</v>
      </c>
      <c r="M30" s="49">
        <f t="shared" si="3"/>
        <v>0.40277777777777785</v>
      </c>
      <c r="N30" s="30" cm="1">
        <f t="array" ref="N30">IFERROR(ROUND(_xlfn.IFS(B30="AZA",-8,E30="","",M30&gt;$Y$1,$W$3,E30&gt;0,(M30*24)-8,E30=0,0),2),0)</f>
        <v>1.67</v>
      </c>
      <c r="O30" s="31">
        <f t="shared" si="1"/>
        <v>6.958333333333333E-2</v>
      </c>
      <c r="P30" s="32">
        <f t="shared" si="8"/>
        <v>-8.7500000000000078E-3</v>
      </c>
      <c r="Q30" s="33">
        <f t="shared" si="6"/>
        <v>-0.21000000000000019</v>
      </c>
      <c r="S30" s="11"/>
    </row>
    <row r="31" spans="1:19" outlineLevel="1" x14ac:dyDescent="0.3">
      <c r="A31" s="24">
        <f t="shared" si="7"/>
        <v>44587</v>
      </c>
      <c r="B31" s="25"/>
      <c r="C31" s="27">
        <f>IF( AND(COUNTIF(Feiertage!$A$4:$A$18, '2026'!A31)=0, WEEKDAY(A31,2)&lt;6), 8/24, 0)</f>
        <v>0.33333333333333331</v>
      </c>
      <c r="D31" s="47">
        <f t="shared" si="0"/>
        <v>0</v>
      </c>
      <c r="E31" s="26">
        <v>0.25</v>
      </c>
      <c r="F31" s="27"/>
      <c r="G31" s="27"/>
      <c r="H31" s="28"/>
      <c r="I31" s="28"/>
      <c r="J31" s="29">
        <v>0.69791666666666663</v>
      </c>
      <c r="K31" s="48">
        <f t="shared" si="2"/>
        <v>0.44791666666666663</v>
      </c>
      <c r="L31" s="45" cm="1">
        <f t="array" ref="L31">MAX( IF( AND(E31&lt;&gt;"", J31&lt;&gt;""), (G31-F31)+(I31-H31), 0), IF(AND(E31&lt;&gt;"", J31&lt;&gt;""), IFERROR( SUMPRODUCT( IFERROR( EXP( LN( ( (J31-E31) - {0,360,390,570,585} / 1440 ) ) ), 0) * {0,1,-1,1,-1} ), 0),0) )</f>
        <v>3.1249999999999951E-2</v>
      </c>
      <c r="M31" s="49">
        <f t="shared" si="3"/>
        <v>0.41666666666666669</v>
      </c>
      <c r="N31" s="30" cm="1">
        <f t="array" ref="N31">IFERROR(ROUND(_xlfn.IFS(B31="AZA",-8,E31="","",M31&gt;$Y$1,$W$3,E31&gt;0,(M31*24)-8,E31=0,0),2),0)</f>
        <v>2</v>
      </c>
      <c r="O31" s="31">
        <f t="shared" si="1"/>
        <v>8.3333333333333329E-2</v>
      </c>
      <c r="P31" s="32">
        <f t="shared" si="8"/>
        <v>7.4583333333333321E-2</v>
      </c>
      <c r="Q31" s="33">
        <f t="shared" si="6"/>
        <v>1.7899999999999996</v>
      </c>
      <c r="S31" s="11"/>
    </row>
    <row r="32" spans="1:19" outlineLevel="1" x14ac:dyDescent="0.3">
      <c r="A32" s="24">
        <f t="shared" si="7"/>
        <v>44588</v>
      </c>
      <c r="B32" s="25"/>
      <c r="C32" s="27">
        <f>IF( AND(COUNTIF(Feiertage!$A$4:$A$18, '2026'!A32)=0, WEEKDAY(A32,2)&lt;6), 8/24, 0)</f>
        <v>0.33333333333333331</v>
      </c>
      <c r="D32" s="47">
        <f t="shared" si="0"/>
        <v>0</v>
      </c>
      <c r="E32" s="26">
        <v>0.26041666666666669</v>
      </c>
      <c r="F32" s="27"/>
      <c r="G32" s="27"/>
      <c r="H32" s="28"/>
      <c r="I32" s="28"/>
      <c r="J32" s="29">
        <v>0.70833333333333337</v>
      </c>
      <c r="K32" s="48">
        <f t="shared" si="2"/>
        <v>0.44791666666666669</v>
      </c>
      <c r="L32" s="45" cm="1">
        <f t="array" ref="L32">MAX( IF( AND(E32&lt;&gt;"", J32&lt;&gt;""), (G32-F32)+(I32-H32), 0), IF(AND(E32&lt;&gt;"", J32&lt;&gt;""), IFERROR( SUMPRODUCT( IFERROR( EXP( LN( ( (J32-E32) - {0,360,390,570,585} / 1440 ) ) ), 0) * {0,1,-1,1,-1} ), 0),0) )</f>
        <v>3.1250000000000007E-2</v>
      </c>
      <c r="M32" s="49">
        <f t="shared" si="3"/>
        <v>0.41666666666666669</v>
      </c>
      <c r="N32" s="30" cm="1">
        <f t="array" ref="N32">IFERROR(ROUND(_xlfn.IFS(B32="AZA",-8,E32="","",M32&gt;$Y$1,$W$3,E32&gt;0,(M32*24)-8,E32=0,0),2),0)</f>
        <v>2</v>
      </c>
      <c r="O32" s="31">
        <f t="shared" si="1"/>
        <v>8.3333333333333329E-2</v>
      </c>
      <c r="P32" s="32">
        <f t="shared" si="8"/>
        <v>0.15791666666666665</v>
      </c>
      <c r="Q32" s="33">
        <f t="shared" si="6"/>
        <v>3.7899999999999996</v>
      </c>
    </row>
    <row r="33" spans="1:17" outlineLevel="1" x14ac:dyDescent="0.3">
      <c r="A33" s="24">
        <f t="shared" si="7"/>
        <v>44589</v>
      </c>
      <c r="B33" s="25"/>
      <c r="C33" s="27">
        <f>IF( AND(COUNTIF(Feiertage!$A$4:$A$18, '2026'!A33)=0, WEEKDAY(A33,2)&lt;6), 8/24, 0)</f>
        <v>0.33333333333333331</v>
      </c>
      <c r="D33" s="47">
        <f t="shared" si="0"/>
        <v>0</v>
      </c>
      <c r="E33" s="26">
        <v>0.25</v>
      </c>
      <c r="F33" s="27"/>
      <c r="G33" s="27"/>
      <c r="H33" s="28"/>
      <c r="I33" s="28"/>
      <c r="J33" s="29">
        <v>0.60416666666666663</v>
      </c>
      <c r="K33" s="48">
        <f t="shared" si="2"/>
        <v>0.35416666666666663</v>
      </c>
      <c r="L33" s="45" cm="1">
        <f t="array" ref="L33">MAX( IF( AND(E33&lt;&gt;"", J33&lt;&gt;""), (G33-F33)+(I33-H33), 0), IF(AND(E33&lt;&gt;"", J33&lt;&gt;""), IFERROR( SUMPRODUCT( IFERROR( EXP( LN( ( (J33-E33) - {0,360,390,570,585} / 1440 ) ) ), 0) * {0,1,-1,1,-1} ), 0),0) )</f>
        <v>2.0833333333333287E-2</v>
      </c>
      <c r="M33" s="49">
        <f t="shared" si="3"/>
        <v>0.33333333333333337</v>
      </c>
      <c r="N33" s="30" cm="1">
        <f t="array" ref="N33">IFERROR(ROUND(_xlfn.IFS(B33="AZA",-8,E33="","",M33&gt;$Y$1,$W$3,E33&gt;0,(M33*24)-8,E33=0,0),2),0)</f>
        <v>0</v>
      </c>
      <c r="O33" s="31">
        <f t="shared" si="1"/>
        <v>0</v>
      </c>
      <c r="P33" s="32">
        <f t="shared" si="8"/>
        <v>0.15791666666666665</v>
      </c>
      <c r="Q33" s="33">
        <f t="shared" si="6"/>
        <v>3.7899999999999996</v>
      </c>
    </row>
    <row r="34" spans="1:17" outlineLevel="1" x14ac:dyDescent="0.3">
      <c r="A34" s="24">
        <f t="shared" si="7"/>
        <v>44590</v>
      </c>
      <c r="B34" s="25"/>
      <c r="C34" s="27">
        <f>IF( AND(COUNTIF(Feiertage!$A$4:$A$18, '2026'!A34)=0, WEEKDAY(A34,2)&lt;6), 8/24, 0)</f>
        <v>0.33333333333333331</v>
      </c>
      <c r="D34" s="47">
        <f t="shared" si="0"/>
        <v>0</v>
      </c>
      <c r="E34" s="26">
        <v>0.25</v>
      </c>
      <c r="F34" s="27">
        <v>0.5</v>
      </c>
      <c r="G34" s="27">
        <v>0.54166666666666663</v>
      </c>
      <c r="H34" s="28"/>
      <c r="I34" s="28"/>
      <c r="J34" s="29">
        <v>0.625</v>
      </c>
      <c r="K34" s="48">
        <f t="shared" si="2"/>
        <v>0.375</v>
      </c>
      <c r="L34" s="45" cm="1">
        <f t="array" ref="L34">MAX( IF( AND(E34&lt;&gt;"", J34&lt;&gt;""), (G34-F34)+(I34-H34), 0), IF(AND(E34&lt;&gt;"", J34&lt;&gt;""), IFERROR( SUMPRODUCT( IFERROR( EXP( LN( ( (J34-E34) - {0,360,390,570,585} / 1440 ) ) ), 0) * {0,1,-1,1,-1} ), 0),0) )</f>
        <v>4.166666666666663E-2</v>
      </c>
      <c r="M34" s="49">
        <f t="shared" si="3"/>
        <v>0.33333333333333337</v>
      </c>
      <c r="N34" s="30" cm="1">
        <f t="array" ref="N34">IFERROR(ROUND(_xlfn.IFS(B34="AZA",-8,E34="","",M34&gt;$Y$1,$W$3,E34&gt;0,(M34*24)-8,E34=0,0),2),0)</f>
        <v>0</v>
      </c>
      <c r="O34" s="31">
        <f t="shared" si="1"/>
        <v>0</v>
      </c>
      <c r="P34" s="32">
        <f t="shared" si="8"/>
        <v>0.15791666666666665</v>
      </c>
      <c r="Q34" s="33">
        <f t="shared" si="6"/>
        <v>3.7899999999999996</v>
      </c>
    </row>
    <row r="35" spans="1:17" outlineLevel="1" x14ac:dyDescent="0.3">
      <c r="A35" s="24">
        <f t="shared" si="7"/>
        <v>44591</v>
      </c>
      <c r="B35" s="25"/>
      <c r="C35" s="27">
        <f>IF( AND(COUNTIF(Feiertage!$A$4:$A$18, '2026'!A35)=0, WEEKDAY(A35,2)&lt;6), 8/24, 0)</f>
        <v>0</v>
      </c>
      <c r="D35" s="47">
        <f t="shared" si="0"/>
        <v>0</v>
      </c>
      <c r="E35" s="34"/>
      <c r="F35" s="35"/>
      <c r="G35" s="27" t="str">
        <f>IF(F35&gt;0,F35+$W$2,"")</f>
        <v/>
      </c>
      <c r="H35" s="28"/>
      <c r="I35" s="28"/>
      <c r="J35" s="37"/>
      <c r="K35" s="48">
        <f t="shared" si="2"/>
        <v>0</v>
      </c>
      <c r="L35" s="45" cm="1">
        <f t="array" ref="L35">MAX( IF( AND(E35&lt;&gt;"", J35&lt;&gt;""), (G35-F35)+(I35-H35), 0), IF(AND(E35&lt;&gt;"", J35&lt;&gt;""), IFERROR( SUMPRODUCT( IFERROR( EXP( LN( ( (J35-E35) - {0,360,390,570,585} / 1440 ) ) ), 0) * {0,1,-1,1,-1} ), 0),0) )</f>
        <v>0</v>
      </c>
      <c r="M35" s="49">
        <f t="shared" si="3"/>
        <v>0</v>
      </c>
      <c r="N35" s="30" cm="1">
        <f t="array" ref="N35">IFERROR(ROUND(_xlfn.IFS(B35="AZA",-8,E35="","",M35&gt;$Y$1,$W$3,E35&gt;0,(M35*24)-8,E35=0,0),2),0)</f>
        <v>0</v>
      </c>
      <c r="O35" s="31">
        <f t="shared" si="1"/>
        <v>0</v>
      </c>
      <c r="P35" s="32">
        <f t="shared" si="8"/>
        <v>0.15791666666666665</v>
      </c>
      <c r="Q35" s="33">
        <f t="shared" si="6"/>
        <v>3.7899999999999996</v>
      </c>
    </row>
  </sheetData>
  <autoFilter ref="A4:R35" xr:uid="{00000000-0001-0000-0000-000000000000}"/>
  <mergeCells count="2">
    <mergeCell ref="F3:G3"/>
    <mergeCell ref="H3:I3"/>
  </mergeCells>
  <conditionalFormatting sqref="A1 A3:A1048576">
    <cfRule type="expression" dxfId="28" priority="6">
      <formula>$A1=TODAY()</formula>
    </cfRule>
  </conditionalFormatting>
  <conditionalFormatting sqref="A1 H3 J3 M3:Q3 A3:F3 A4:J4 L4:Q4 K3:K4 A5:Q1048576">
    <cfRule type="expression" dxfId="27" priority="2">
      <formula>$A1=TODAY()</formula>
    </cfRule>
  </conditionalFormatting>
  <conditionalFormatting sqref="H3 J3 B2:Q2 A3:F3 A4:J4 K3:Q4 A5:Q1048576">
    <cfRule type="expression" dxfId="26" priority="12">
      <formula>$B2="mobA"</formula>
    </cfRule>
  </conditionalFormatting>
  <conditionalFormatting sqref="A5:Q35">
    <cfRule type="expression" dxfId="25" priority="3">
      <formula>WEEKDAY($A5,2)&gt;5</formula>
    </cfRule>
    <cfRule type="expression" dxfId="23" priority="5">
      <formula>$B5=""</formula>
    </cfRule>
    <cfRule type="expression" dxfId="22" priority="14">
      <formula>$B5="krank"</formula>
    </cfRule>
    <cfRule type="expression" dxfId="21" priority="15">
      <formula>$B5="AZA"</formula>
    </cfRule>
    <cfRule type="expression" dxfId="20" priority="16">
      <formula>$B5="Urlaub"</formula>
    </cfRule>
  </conditionalFormatting>
  <conditionalFormatting sqref="B1:D1">
    <cfRule type="expression" dxfId="19" priority="25">
      <formula>$B1=TODAY()</formula>
    </cfRule>
  </conditionalFormatting>
  <conditionalFormatting sqref="B1:L1 W1 Y1:Z1">
    <cfRule type="expression" dxfId="18" priority="26">
      <formula>$B1=TODAY()</formula>
    </cfRule>
    <cfRule type="expression" dxfId="17" priority="27">
      <formula>$E1="mobA"</formula>
    </cfRule>
  </conditionalFormatting>
  <conditionalFormatting sqref="B2:Q2">
    <cfRule type="expression" dxfId="16" priority="17">
      <formula>$A1=TODAY()</formula>
    </cfRule>
  </conditionalFormatting>
  <conditionalFormatting sqref="L2:L3 A1">
    <cfRule type="expression" dxfId="15" priority="24">
      <formula>$B2="mobA"</formula>
    </cfRule>
  </conditionalFormatting>
  <conditionalFormatting sqref="L2:L3">
    <cfRule type="expression" dxfId="14" priority="46">
      <formula>$A3=TODAY()</formula>
    </cfRule>
  </conditionalFormatting>
  <conditionalFormatting sqref="L3">
    <cfRule type="expression" dxfId="13" priority="1">
      <formula>$A2=TODAY()</formula>
    </cfRule>
  </conditionalFormatting>
  <conditionalFormatting sqref="N5:O1048576">
    <cfRule type="cellIs" dxfId="12" priority="13" operator="greaterThan">
      <formula>0</formula>
    </cfRule>
  </conditionalFormatting>
  <conditionalFormatting sqref="O2">
    <cfRule type="expression" dxfId="11" priority="18">
      <formula>$A1=TODAY()</formula>
    </cfRule>
  </conditionalFormatting>
  <conditionalFormatting sqref="P2:Q2">
    <cfRule type="expression" dxfId="9" priority="20">
      <formula>$B2="krank"</formula>
    </cfRule>
    <cfRule type="expression" dxfId="8" priority="21">
      <formula>$B2="AZA"</formula>
    </cfRule>
    <cfRule type="expression" dxfId="7" priority="22">
      <formula>$B2="Urlaub"</formula>
    </cfRule>
    <cfRule type="expression" dxfId="6" priority="23">
      <formula>WEEKDAY($A1,2)&gt;5</formula>
    </cfRule>
  </conditionalFormatting>
  <conditionalFormatting sqref="W3">
    <cfRule type="expression" dxfId="5" priority="30">
      <formula>$B1=TODAY()</formula>
    </cfRule>
    <cfRule type="expression" dxfId="4" priority="31">
      <formula>$E1="mobA"</formula>
    </cfRule>
  </conditionalFormatting>
  <conditionalFormatting sqref="W2:X2">
    <cfRule type="expression" dxfId="3" priority="28">
      <formula>$B1=TODAY()</formula>
    </cfRule>
    <cfRule type="expression" dxfId="2" priority="29">
      <formula>$E1="mobA"</formula>
    </cfRule>
  </conditionalFormatting>
  <conditionalFormatting sqref="X1">
    <cfRule type="expression" dxfId="1" priority="42">
      <formula>#REF!=TODAY()</formula>
    </cfRule>
    <cfRule type="expression" dxfId="0" priority="43">
      <formula>#REF!="mobA"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5B59288D-BA88-4BDC-BF93-ADF0B6A08224}">
            <xm:f>MATCH($A5,Feiertage!$A$4:$A$18,0)</xm:f>
            <x14:dxf>
              <fill>
                <patternFill>
                  <bgColor theme="3" tint="0.89996032593768116"/>
                </patternFill>
              </fill>
            </x14:dxf>
          </x14:cfRule>
          <xm:sqref>A5:Q35</xm:sqref>
        </x14:conditionalFormatting>
        <x14:conditionalFormatting xmlns:xm="http://schemas.microsoft.com/office/excel/2006/main">
          <x14:cfRule type="expression" priority="19" id="{E3EEFC98-29A2-45E2-BD99-3B91B265A3C7}">
            <xm:f>MATCH($A1,Feiertage!$A$4:$A$18,0)</xm:f>
            <x14:dxf>
              <fill>
                <patternFill>
                  <bgColor theme="4" tint="0.59996337778862885"/>
                </patternFill>
              </fill>
            </x14:dxf>
          </x14:cfRule>
          <xm:sqref>P2:Q2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5AA2-2E07-4614-96F3-3D1F85E9A784}">
  <dimension ref="A1:B18"/>
  <sheetViews>
    <sheetView workbookViewId="0">
      <selection activeCell="A2" sqref="A2"/>
    </sheetView>
  </sheetViews>
  <sheetFormatPr baseColWidth="10" defaultRowHeight="14.4" x14ac:dyDescent="0.3"/>
  <sheetData>
    <row r="1" spans="1:2" ht="21" x14ac:dyDescent="0.5">
      <c r="A1" s="38">
        <f>'[1]2026alt'!A2</f>
        <v>2026</v>
      </c>
    </row>
    <row r="3" spans="1:2" x14ac:dyDescent="0.3">
      <c r="A3" s="39" t="s">
        <v>18</v>
      </c>
      <c r="B3" s="40"/>
    </row>
    <row r="4" spans="1:2" x14ac:dyDescent="0.3">
      <c r="A4" s="41">
        <f>DATE($A$1,1,1)</f>
        <v>44561</v>
      </c>
      <c r="B4" s="42" t="s">
        <v>19</v>
      </c>
    </row>
    <row r="5" spans="1:2" x14ac:dyDescent="0.3">
      <c r="A5" s="41">
        <f>DOLLAR((4&amp;-$A$1)/7-DAY(8)/7+MOD(44*MOD($A$1,19)-10-4*DOLLAR(68%*DOLLAR($A$1%-3.5,)-TRUNC($A$1%/4),),4.13796),)*7+DAY(1)-2</f>
        <v>44653</v>
      </c>
      <c r="B5" s="42" t="s">
        <v>20</v>
      </c>
    </row>
    <row r="6" spans="1:2" x14ac:dyDescent="0.3">
      <c r="A6" s="41">
        <f>A7-1</f>
        <v>44654</v>
      </c>
      <c r="B6" s="42"/>
    </row>
    <row r="7" spans="1:2" x14ac:dyDescent="0.3">
      <c r="A7" s="41">
        <f>DOLLAR((4&amp;-$A$1)/7-DAY(8)/7+MOD(44*MOD($A$1,19)-10-4*DOLLAR(68%*DOLLAR($A$1%-3.5,)-TRUNC($A$1%/4),),4.13796),)*7+DAY(1)</f>
        <v>44655</v>
      </c>
      <c r="B7" s="42" t="s">
        <v>21</v>
      </c>
    </row>
    <row r="8" spans="1:2" x14ac:dyDescent="0.3">
      <c r="A8" s="41">
        <f>DOLLAR((4&amp;-$A$1)/7-DAY(8)/7+MOD(44*MOD($A$1,19)-10-4*DOLLAR(68%*DOLLAR($A$1%-3.5,)-TRUNC($A$1%/4),),4.13796),)*7+DAY(1)+1</f>
        <v>44656</v>
      </c>
      <c r="B8" s="42" t="s">
        <v>22</v>
      </c>
    </row>
    <row r="9" spans="1:2" x14ac:dyDescent="0.3">
      <c r="A9" s="41">
        <f>DATE($A$1,5,1)</f>
        <v>44681</v>
      </c>
      <c r="B9" s="42" t="s">
        <v>17</v>
      </c>
    </row>
    <row r="10" spans="1:2" x14ac:dyDescent="0.3">
      <c r="A10" s="41">
        <f>DOLLAR((4&amp;-$A$1)/7-DAY(8)/7+MOD(44*MOD($A$1,19)-10-4*DOLLAR(68%*DOLLAR($A$1%-3.5,)-TRUNC($A$1%/4),),4.13796),)*7+DAY(1)+39</f>
        <v>44694</v>
      </c>
      <c r="B10" s="42" t="s">
        <v>23</v>
      </c>
    </row>
    <row r="11" spans="1:2" x14ac:dyDescent="0.3">
      <c r="A11" s="41">
        <f>DOLLAR((4&amp;-$A$1)/7-DAY(8)/7+MOD(44*MOD($A$1,19)-10-4*DOLLAR(68%*DOLLAR($A$1%-3.5,)-TRUNC($A$1%/4),),4.13796),)*7+DAY(1)+50</f>
        <v>44705</v>
      </c>
      <c r="B11" s="42" t="s">
        <v>24</v>
      </c>
    </row>
    <row r="12" spans="1:2" x14ac:dyDescent="0.3">
      <c r="A12" s="41">
        <f>DATE($A$1,10,3)</f>
        <v>44836</v>
      </c>
      <c r="B12" s="42" t="s">
        <v>25</v>
      </c>
    </row>
    <row r="13" spans="1:2" x14ac:dyDescent="0.3">
      <c r="A13" s="41">
        <f>DATE($A$1,10,31)</f>
        <v>44864</v>
      </c>
      <c r="B13" s="42" t="s">
        <v>26</v>
      </c>
    </row>
    <row r="14" spans="1:2" x14ac:dyDescent="0.3">
      <c r="A14" s="41">
        <f>MROUND(DATE(A1,11,22),7)-3</f>
        <v>44881</v>
      </c>
      <c r="B14" s="42" t="s">
        <v>27</v>
      </c>
    </row>
    <row r="15" spans="1:2" x14ac:dyDescent="0.3">
      <c r="A15" s="41">
        <f>DATE($A$1,12,24)</f>
        <v>44918</v>
      </c>
      <c r="B15" s="42" t="s">
        <v>28</v>
      </c>
    </row>
    <row r="16" spans="1:2" x14ac:dyDescent="0.3">
      <c r="A16" s="41">
        <f>DATE($A$1,12,25)</f>
        <v>44919</v>
      </c>
      <c r="B16" s="42" t="s">
        <v>29</v>
      </c>
    </row>
    <row r="17" spans="1:2" x14ac:dyDescent="0.3">
      <c r="A17" s="41">
        <f>DATE($A$1,12,26)</f>
        <v>44920</v>
      </c>
      <c r="B17" s="42" t="s">
        <v>30</v>
      </c>
    </row>
    <row r="18" spans="1:2" x14ac:dyDescent="0.3">
      <c r="A18" s="41">
        <f>DATE($A$1,12,31)</f>
        <v>44925</v>
      </c>
      <c r="B18" s="42" t="s">
        <v>31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2026</vt:lpstr>
      <vt:lpstr>Feiertage</vt:lpstr>
    </vt:vector>
  </TitlesOfParts>
  <Company>Polizei Sachsen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Gellert, Ines - Polizei, PolFH</dc:creator>
  <cp:lastModifiedBy>Newbie</cp:lastModifiedBy>
  <dcterms:created xsi:type="dcterms:W3CDTF">2026-04-27T06:08:33Z</dcterms:created>
  <dcterms:modified xsi:type="dcterms:W3CDTF">2026-04-27T12:25:26Z</dcterms:modified>
</cp:coreProperties>
</file>