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ußball-WM\zum hochladen\"/>
    </mc:Choice>
  </mc:AlternateContent>
  <bookViews>
    <workbookView xWindow="0" yWindow="0" windowWidth="23040" windowHeight="9780" activeTab="5"/>
  </bookViews>
  <sheets>
    <sheet name="1986" sheetId="2" r:id="rId1"/>
    <sheet name="1990" sheetId="3" r:id="rId2"/>
    <sheet name="1994" sheetId="4" r:id="rId3"/>
    <sheet name="1998" sheetId="5" r:id="rId4"/>
    <sheet name="2002" sheetId="6" r:id="rId5"/>
    <sheet name="Gesamt" sheetId="7" r:id="rId6"/>
    <sheet name="Tabelle1" sheetId="1" r:id="rId7"/>
  </sheets>
  <externalReferences>
    <externalReference r:id="rId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7" l="1"/>
  <c r="O6" i="7"/>
  <c r="P6" i="7"/>
  <c r="N5" i="7"/>
  <c r="X24" i="7"/>
  <c r="W24" i="7"/>
  <c r="V24" i="7"/>
  <c r="U24" i="7"/>
  <c r="X23" i="7"/>
  <c r="W23" i="7"/>
  <c r="V23" i="7"/>
  <c r="U23" i="7"/>
  <c r="X22" i="7"/>
  <c r="W22" i="7"/>
  <c r="V22" i="7"/>
  <c r="U22" i="7"/>
  <c r="X21" i="7"/>
  <c r="W21" i="7"/>
  <c r="V21" i="7"/>
  <c r="U21" i="7"/>
  <c r="X20" i="7"/>
  <c r="W20" i="7"/>
  <c r="V20" i="7"/>
  <c r="U20" i="7"/>
  <c r="X19" i="7"/>
  <c r="W19" i="7"/>
  <c r="V19" i="7"/>
  <c r="U19" i="7"/>
  <c r="X18" i="7"/>
  <c r="W18" i="7"/>
  <c r="V18" i="7"/>
  <c r="U18" i="7"/>
  <c r="X17" i="7"/>
  <c r="W17" i="7"/>
  <c r="V17" i="7"/>
  <c r="U17" i="7"/>
  <c r="X16" i="7"/>
  <c r="W16" i="7"/>
  <c r="V16" i="7"/>
  <c r="U16" i="7"/>
  <c r="X15" i="7"/>
  <c r="W15" i="7"/>
  <c r="V15" i="7"/>
  <c r="U15" i="7"/>
  <c r="X14" i="7"/>
  <c r="W14" i="7"/>
  <c r="V14" i="7"/>
  <c r="U14" i="7"/>
  <c r="X13" i="7"/>
  <c r="W13" i="7"/>
  <c r="V13" i="7"/>
  <c r="U13" i="7"/>
  <c r="X12" i="7"/>
  <c r="W12" i="7"/>
  <c r="V12" i="7"/>
  <c r="U12" i="7"/>
  <c r="X11" i="7"/>
  <c r="W11" i="7"/>
  <c r="V11" i="7"/>
  <c r="U11" i="7"/>
  <c r="X10" i="7"/>
  <c r="W10" i="7"/>
  <c r="V10" i="7"/>
  <c r="U10" i="7"/>
  <c r="T10" i="7"/>
  <c r="X9" i="7"/>
  <c r="W9" i="7"/>
  <c r="V9" i="7"/>
  <c r="U9" i="7"/>
  <c r="X8" i="7"/>
  <c r="W8" i="7"/>
  <c r="V8" i="7"/>
  <c r="U8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9" i="7"/>
  <c r="T8" i="7"/>
  <c r="X7" i="7"/>
  <c r="W7" i="7"/>
  <c r="V7" i="7"/>
  <c r="U7" i="7"/>
  <c r="X6" i="7"/>
  <c r="W6" i="7"/>
  <c r="V6" i="7"/>
  <c r="U6" i="7"/>
  <c r="B5" i="7"/>
  <c r="X5" i="7"/>
  <c r="W5" i="7"/>
  <c r="V5" i="7"/>
  <c r="U5" i="7"/>
  <c r="T7" i="7"/>
  <c r="T6" i="7"/>
  <c r="T5" i="7"/>
  <c r="M24" i="7" a="1"/>
  <c r="M23" i="7" a="1"/>
  <c r="M22" i="7" a="1"/>
  <c r="M21" i="7" a="1"/>
  <c r="M20" i="7" a="1"/>
  <c r="M19" i="7" a="1"/>
  <c r="M18" i="7" a="1"/>
  <c r="M17" i="7" a="1"/>
  <c r="M16" i="7" a="1"/>
  <c r="M15" i="7" a="1"/>
  <c r="M14" i="7" a="1"/>
  <c r="M13" i="7" a="1"/>
  <c r="M12" i="7" a="1"/>
  <c r="M11" i="7" a="1"/>
  <c r="M10" i="7" a="1"/>
  <c r="M9" i="7" a="1"/>
  <c r="M8" i="7" a="1"/>
  <c r="M7" i="7" a="1"/>
  <c r="M6" i="7" a="1"/>
  <c r="M5" i="7" a="1"/>
  <c r="D23" i="7" a="1"/>
  <c r="D22" i="7" a="1"/>
  <c r="D21" i="7" a="1"/>
  <c r="D20" i="7" a="1"/>
  <c r="D19" i="7" a="1"/>
  <c r="D18" i="7" a="1"/>
  <c r="D17" i="7" a="1"/>
  <c r="D16" i="7" a="1"/>
  <c r="D15" i="7" a="1"/>
  <c r="D14" i="7" a="1"/>
  <c r="D13" i="7" a="1"/>
  <c r="D12" i="7" a="1"/>
  <c r="D11" i="7" a="1"/>
  <c r="D24" i="7" a="1"/>
  <c r="M24" i="7" l="1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24" i="7"/>
  <c r="B6" i="7"/>
  <c r="I5" i="7"/>
  <c r="H5" i="7"/>
  <c r="G221" i="4"/>
  <c r="O5" i="7"/>
  <c r="P5" i="7"/>
  <c r="F5" i="7"/>
  <c r="G5" i="7"/>
  <c r="E5" i="7"/>
  <c r="B24" i="7"/>
  <c r="P24" i="7"/>
  <c r="O24" i="7"/>
  <c r="N24" i="7"/>
  <c r="I24" i="7"/>
  <c r="H24" i="7"/>
  <c r="G24" i="7"/>
  <c r="F24" i="7"/>
  <c r="E24" i="7"/>
  <c r="K24" i="7" s="1"/>
  <c r="P23" i="7"/>
  <c r="O23" i="7"/>
  <c r="Q23" i="7" s="1"/>
  <c r="N23" i="7"/>
  <c r="I23" i="7"/>
  <c r="H23" i="7"/>
  <c r="J23" i="7" s="1"/>
  <c r="G23" i="7"/>
  <c r="L23" i="7" s="1"/>
  <c r="F23" i="7"/>
  <c r="K23" i="7" s="1"/>
  <c r="E23" i="7"/>
  <c r="B22" i="7"/>
  <c r="P22" i="7"/>
  <c r="O22" i="7"/>
  <c r="N22" i="7"/>
  <c r="I22" i="7"/>
  <c r="H22" i="7"/>
  <c r="J22" i="7" s="1"/>
  <c r="G22" i="7"/>
  <c r="F22" i="7"/>
  <c r="E22" i="7"/>
  <c r="K22" i="7" s="1"/>
  <c r="B21" i="7"/>
  <c r="P21" i="7"/>
  <c r="O21" i="7"/>
  <c r="Q21" i="7" s="1"/>
  <c r="N21" i="7"/>
  <c r="L21" i="7"/>
  <c r="I21" i="7"/>
  <c r="H21" i="7"/>
  <c r="G21" i="7"/>
  <c r="F21" i="7"/>
  <c r="E21" i="7"/>
  <c r="B20" i="7"/>
  <c r="P20" i="7"/>
  <c r="O20" i="7"/>
  <c r="N20" i="7"/>
  <c r="I20" i="7"/>
  <c r="H20" i="7"/>
  <c r="G20" i="7"/>
  <c r="F20" i="7"/>
  <c r="E20" i="7"/>
  <c r="B19" i="7"/>
  <c r="P19" i="7"/>
  <c r="O19" i="7"/>
  <c r="Q19" i="7" s="1"/>
  <c r="N19" i="7"/>
  <c r="I19" i="7"/>
  <c r="H19" i="7"/>
  <c r="J19" i="7" s="1"/>
  <c r="G19" i="7"/>
  <c r="F19" i="7"/>
  <c r="L19" i="7" s="1"/>
  <c r="E19" i="7"/>
  <c r="B18" i="7"/>
  <c r="P18" i="7"/>
  <c r="O18" i="7"/>
  <c r="N18" i="7"/>
  <c r="K18" i="7"/>
  <c r="I18" i="7"/>
  <c r="J18" i="7" s="1"/>
  <c r="H18" i="7"/>
  <c r="G18" i="7"/>
  <c r="F18" i="7"/>
  <c r="E18" i="7"/>
  <c r="B17" i="7"/>
  <c r="P17" i="7"/>
  <c r="O17" i="7"/>
  <c r="N17" i="7"/>
  <c r="I17" i="7"/>
  <c r="H17" i="7"/>
  <c r="G17" i="7"/>
  <c r="L17" i="7" s="1"/>
  <c r="F17" i="7"/>
  <c r="E17" i="7"/>
  <c r="K17" i="7" s="1"/>
  <c r="B16" i="7"/>
  <c r="P16" i="7"/>
  <c r="O16" i="7"/>
  <c r="N16" i="7"/>
  <c r="I16" i="7"/>
  <c r="H16" i="7"/>
  <c r="G16" i="7"/>
  <c r="L16" i="7" s="1"/>
  <c r="F16" i="7"/>
  <c r="E16" i="7"/>
  <c r="K16" i="7" s="1"/>
  <c r="B15" i="7"/>
  <c r="P15" i="7"/>
  <c r="O15" i="7"/>
  <c r="N15" i="7"/>
  <c r="Q15" i="7" s="1"/>
  <c r="I15" i="7"/>
  <c r="H15" i="7"/>
  <c r="J15" i="7" s="1"/>
  <c r="G15" i="7"/>
  <c r="L15" i="7" s="1"/>
  <c r="F15" i="7"/>
  <c r="E15" i="7"/>
  <c r="B14" i="7"/>
  <c r="P14" i="7"/>
  <c r="O14" i="7"/>
  <c r="N14" i="7"/>
  <c r="J14" i="7"/>
  <c r="I14" i="7"/>
  <c r="H14" i="7"/>
  <c r="G14" i="7"/>
  <c r="F14" i="7"/>
  <c r="E14" i="7"/>
  <c r="K14" i="7" s="1"/>
  <c r="B13" i="7"/>
  <c r="P13" i="7"/>
  <c r="O13" i="7"/>
  <c r="N13" i="7"/>
  <c r="I13" i="7"/>
  <c r="H13" i="7"/>
  <c r="G13" i="7"/>
  <c r="L13" i="7" s="1"/>
  <c r="F13" i="7"/>
  <c r="E13" i="7"/>
  <c r="B12" i="7"/>
  <c r="P12" i="7"/>
  <c r="O12" i="7"/>
  <c r="N12" i="7"/>
  <c r="I12" i="7"/>
  <c r="H12" i="7"/>
  <c r="G12" i="7"/>
  <c r="F12" i="7"/>
  <c r="E12" i="7"/>
  <c r="P11" i="7"/>
  <c r="O11" i="7"/>
  <c r="N11" i="7"/>
  <c r="I11" i="7"/>
  <c r="H11" i="7"/>
  <c r="G11" i="7"/>
  <c r="F11" i="7"/>
  <c r="E11" i="7"/>
  <c r="K11" i="7" s="1"/>
  <c r="B10" i="7"/>
  <c r="P10" i="7"/>
  <c r="O10" i="7"/>
  <c r="N10" i="7"/>
  <c r="I10" i="7"/>
  <c r="H10" i="7"/>
  <c r="G10" i="7"/>
  <c r="L10" i="7" s="1"/>
  <c r="F10" i="7"/>
  <c r="E10" i="7"/>
  <c r="B9" i="7"/>
  <c r="P9" i="7"/>
  <c r="O9" i="7"/>
  <c r="N9" i="7"/>
  <c r="I9" i="7"/>
  <c r="H9" i="7"/>
  <c r="G9" i="7"/>
  <c r="F9" i="7"/>
  <c r="E9" i="7"/>
  <c r="K9" i="7" s="1"/>
  <c r="B8" i="7"/>
  <c r="P8" i="7"/>
  <c r="O8" i="7"/>
  <c r="N8" i="7"/>
  <c r="I8" i="7"/>
  <c r="H8" i="7"/>
  <c r="G8" i="7"/>
  <c r="F8" i="7"/>
  <c r="E8" i="7"/>
  <c r="B7" i="7"/>
  <c r="P7" i="7"/>
  <c r="O7" i="7"/>
  <c r="N7" i="7"/>
  <c r="I7" i="7"/>
  <c r="H7" i="7"/>
  <c r="G7" i="7"/>
  <c r="L7" i="7" s="1"/>
  <c r="F7" i="7"/>
  <c r="E7" i="7"/>
  <c r="K7" i="7" s="1"/>
  <c r="I6" i="7"/>
  <c r="H6" i="7"/>
  <c r="G6" i="7"/>
  <c r="F6" i="7"/>
  <c r="E6" i="7"/>
  <c r="K6" i="7" s="1"/>
  <c r="J5" i="7"/>
  <c r="L5" i="7"/>
  <c r="K5" i="7"/>
  <c r="H279" i="6"/>
  <c r="G279" i="6"/>
  <c r="C279" i="6"/>
  <c r="H278" i="6"/>
  <c r="G278" i="6"/>
  <c r="C278" i="6"/>
  <c r="H277" i="6"/>
  <c r="G277" i="6"/>
  <c r="C277" i="6"/>
  <c r="H276" i="6"/>
  <c r="G276" i="6"/>
  <c r="C276" i="6"/>
  <c r="H275" i="6"/>
  <c r="G275" i="6"/>
  <c r="C275" i="6"/>
  <c r="H274" i="6"/>
  <c r="G274" i="6"/>
  <c r="C274" i="6"/>
  <c r="H273" i="6"/>
  <c r="G273" i="6"/>
  <c r="C273" i="6"/>
  <c r="H272" i="6"/>
  <c r="G272" i="6"/>
  <c r="C272" i="6"/>
  <c r="H271" i="6"/>
  <c r="G271" i="6"/>
  <c r="C271" i="6"/>
  <c r="H270" i="6"/>
  <c r="G270" i="6"/>
  <c r="C270" i="6"/>
  <c r="H269" i="6"/>
  <c r="G269" i="6"/>
  <c r="C269" i="6"/>
  <c r="H268" i="6"/>
  <c r="G268" i="6"/>
  <c r="C268" i="6"/>
  <c r="H267" i="6"/>
  <c r="G267" i="6"/>
  <c r="C267" i="6"/>
  <c r="H266" i="6"/>
  <c r="G266" i="6"/>
  <c r="C266" i="6"/>
  <c r="H265" i="6"/>
  <c r="G265" i="6"/>
  <c r="C265" i="6"/>
  <c r="H264" i="6"/>
  <c r="G264" i="6"/>
  <c r="C264" i="6"/>
  <c r="H263" i="6"/>
  <c r="G263" i="6"/>
  <c r="C263" i="6"/>
  <c r="H262" i="6"/>
  <c r="G262" i="6"/>
  <c r="C262" i="6"/>
  <c r="H261" i="6"/>
  <c r="G261" i="6"/>
  <c r="C261" i="6"/>
  <c r="H260" i="6"/>
  <c r="G260" i="6"/>
  <c r="C260" i="6"/>
  <c r="H259" i="6"/>
  <c r="G259" i="6"/>
  <c r="C259" i="6"/>
  <c r="H258" i="6"/>
  <c r="G258" i="6"/>
  <c r="C258" i="6"/>
  <c r="H257" i="6"/>
  <c r="G257" i="6"/>
  <c r="D257" i="6"/>
  <c r="C257" i="6"/>
  <c r="H256" i="6"/>
  <c r="G256" i="6"/>
  <c r="C256" i="6"/>
  <c r="H255" i="6"/>
  <c r="G255" i="6"/>
  <c r="C255" i="6"/>
  <c r="H254" i="6"/>
  <c r="G254" i="6"/>
  <c r="C254" i="6"/>
  <c r="H253" i="6"/>
  <c r="G253" i="6"/>
  <c r="C253" i="6"/>
  <c r="H252" i="6"/>
  <c r="G252" i="6"/>
  <c r="C252" i="6"/>
  <c r="H251" i="6"/>
  <c r="G251" i="6"/>
  <c r="C251" i="6"/>
  <c r="H250" i="6"/>
  <c r="G250" i="6"/>
  <c r="C250" i="6"/>
  <c r="H249" i="6"/>
  <c r="G249" i="6"/>
  <c r="C249" i="6"/>
  <c r="H248" i="6"/>
  <c r="G248" i="6"/>
  <c r="C248" i="6"/>
  <c r="Y240" i="6"/>
  <c r="X240" i="6"/>
  <c r="Y232" i="6"/>
  <c r="X232" i="6"/>
  <c r="Y226" i="6"/>
  <c r="X226" i="6"/>
  <c r="Y225" i="6"/>
  <c r="X225" i="6"/>
  <c r="Y213" i="6"/>
  <c r="X213" i="6"/>
  <c r="Y212" i="6"/>
  <c r="X212" i="6"/>
  <c r="Y211" i="6"/>
  <c r="X211" i="6"/>
  <c r="Y210" i="6"/>
  <c r="X210" i="6"/>
  <c r="Y193" i="6"/>
  <c r="X193" i="6"/>
  <c r="Y192" i="6"/>
  <c r="X192" i="6"/>
  <c r="Y191" i="6"/>
  <c r="X191" i="6"/>
  <c r="Y190" i="6"/>
  <c r="X190" i="6"/>
  <c r="Y189" i="6"/>
  <c r="X189" i="6"/>
  <c r="Y188" i="6"/>
  <c r="X188" i="6"/>
  <c r="Y187" i="6"/>
  <c r="X187" i="6"/>
  <c r="Y186" i="6"/>
  <c r="X186" i="6"/>
  <c r="Y169" i="6"/>
  <c r="X169" i="6"/>
  <c r="Y168" i="6"/>
  <c r="X168" i="6"/>
  <c r="Y167" i="6"/>
  <c r="X167" i="6"/>
  <c r="Y166" i="6"/>
  <c r="X166" i="6"/>
  <c r="Y165" i="6"/>
  <c r="X165" i="6"/>
  <c r="Y164" i="6"/>
  <c r="X164" i="6"/>
  <c r="Y147" i="6"/>
  <c r="X147" i="6"/>
  <c r="Y146" i="6"/>
  <c r="X146" i="6"/>
  <c r="Y145" i="6"/>
  <c r="X145" i="6"/>
  <c r="Y144" i="6"/>
  <c r="X144" i="6"/>
  <c r="Y143" i="6"/>
  <c r="X143" i="6"/>
  <c r="Y142" i="6"/>
  <c r="X142" i="6"/>
  <c r="Y126" i="6"/>
  <c r="X126" i="6"/>
  <c r="Y125" i="6"/>
  <c r="X125" i="6"/>
  <c r="Y124" i="6"/>
  <c r="X124" i="6"/>
  <c r="Y123" i="6"/>
  <c r="X123" i="6"/>
  <c r="Y122" i="6"/>
  <c r="X122" i="6"/>
  <c r="Y121" i="6"/>
  <c r="X121" i="6"/>
  <c r="Y104" i="6"/>
  <c r="X104" i="6"/>
  <c r="Y103" i="6"/>
  <c r="X103" i="6"/>
  <c r="Y102" i="6"/>
  <c r="X102" i="6"/>
  <c r="Y101" i="6"/>
  <c r="X101" i="6"/>
  <c r="Y100" i="6"/>
  <c r="X100" i="6"/>
  <c r="Y99" i="6"/>
  <c r="X99" i="6"/>
  <c r="Y82" i="6"/>
  <c r="X82" i="6"/>
  <c r="Y81" i="6"/>
  <c r="X81" i="6"/>
  <c r="Y80" i="6"/>
  <c r="X80" i="6"/>
  <c r="Y79" i="6"/>
  <c r="X79" i="6"/>
  <c r="Y78" i="6"/>
  <c r="X78" i="6"/>
  <c r="Y77" i="6"/>
  <c r="X77" i="6"/>
  <c r="Y60" i="6"/>
  <c r="X60" i="6"/>
  <c r="Y59" i="6"/>
  <c r="X59" i="6"/>
  <c r="Y58" i="6"/>
  <c r="X58" i="6"/>
  <c r="Y57" i="6"/>
  <c r="X57" i="6"/>
  <c r="Y56" i="6"/>
  <c r="X56" i="6"/>
  <c r="Y55" i="6"/>
  <c r="X55" i="6"/>
  <c r="Y38" i="6"/>
  <c r="X38" i="6"/>
  <c r="Y37" i="6"/>
  <c r="X37" i="6"/>
  <c r="Y36" i="6"/>
  <c r="X36" i="6"/>
  <c r="Y35" i="6"/>
  <c r="X35" i="6"/>
  <c r="Y34" i="6"/>
  <c r="X34" i="6"/>
  <c r="Y33" i="6"/>
  <c r="X33" i="6"/>
  <c r="H28" i="6"/>
  <c r="G28" i="6"/>
  <c r="C28" i="6"/>
  <c r="H27" i="6"/>
  <c r="G27" i="6"/>
  <c r="C27" i="6"/>
  <c r="H26" i="6"/>
  <c r="G26" i="6"/>
  <c r="C26" i="6"/>
  <c r="H25" i="6"/>
  <c r="G25" i="6"/>
  <c r="C25" i="6"/>
  <c r="Y17" i="6"/>
  <c r="X17" i="6"/>
  <c r="Y16" i="6"/>
  <c r="X16" i="6"/>
  <c r="Y15" i="6"/>
  <c r="X15" i="6"/>
  <c r="Y14" i="6"/>
  <c r="X14" i="6"/>
  <c r="F275" i="6" s="1"/>
  <c r="Y13" i="6"/>
  <c r="E25" i="6" s="1"/>
  <c r="X13" i="6"/>
  <c r="Y12" i="6"/>
  <c r="E28" i="6" s="1"/>
  <c r="X12" i="6"/>
  <c r="F276" i="6" s="1"/>
  <c r="H278" i="5"/>
  <c r="G278" i="5"/>
  <c r="C278" i="5"/>
  <c r="H277" i="5"/>
  <c r="G277" i="5"/>
  <c r="C277" i="5"/>
  <c r="H276" i="5"/>
  <c r="G276" i="5"/>
  <c r="C276" i="5"/>
  <c r="H275" i="5"/>
  <c r="G275" i="5"/>
  <c r="C275" i="5"/>
  <c r="H274" i="5"/>
  <c r="G274" i="5"/>
  <c r="C274" i="5"/>
  <c r="H273" i="5"/>
  <c r="G273" i="5"/>
  <c r="C273" i="5"/>
  <c r="H272" i="5"/>
  <c r="G272" i="5"/>
  <c r="C272" i="5"/>
  <c r="H271" i="5"/>
  <c r="G271" i="5"/>
  <c r="C271" i="5"/>
  <c r="H270" i="5"/>
  <c r="G270" i="5"/>
  <c r="C270" i="5"/>
  <c r="H269" i="5"/>
  <c r="G269" i="5"/>
  <c r="C269" i="5"/>
  <c r="H268" i="5"/>
  <c r="G268" i="5"/>
  <c r="C268" i="5"/>
  <c r="H267" i="5"/>
  <c r="G267" i="5"/>
  <c r="C267" i="5"/>
  <c r="H266" i="5"/>
  <c r="G266" i="5"/>
  <c r="C266" i="5"/>
  <c r="H265" i="5"/>
  <c r="G265" i="5"/>
  <c r="C265" i="5"/>
  <c r="H264" i="5"/>
  <c r="G264" i="5"/>
  <c r="C264" i="5"/>
  <c r="H263" i="5"/>
  <c r="G263" i="5"/>
  <c r="C263" i="5"/>
  <c r="H262" i="5"/>
  <c r="G262" i="5"/>
  <c r="C262" i="5"/>
  <c r="H261" i="5"/>
  <c r="G261" i="5"/>
  <c r="C261" i="5"/>
  <c r="H260" i="5"/>
  <c r="G260" i="5"/>
  <c r="C260" i="5"/>
  <c r="H259" i="5"/>
  <c r="G259" i="5"/>
  <c r="C259" i="5"/>
  <c r="H258" i="5"/>
  <c r="G258" i="5"/>
  <c r="C258" i="5"/>
  <c r="H257" i="5"/>
  <c r="G257" i="5"/>
  <c r="C257" i="5"/>
  <c r="H256" i="5"/>
  <c r="G256" i="5"/>
  <c r="C256" i="5"/>
  <c r="H255" i="5"/>
  <c r="G255" i="5"/>
  <c r="C255" i="5"/>
  <c r="H254" i="5"/>
  <c r="G254" i="5"/>
  <c r="C254" i="5"/>
  <c r="H253" i="5"/>
  <c r="G253" i="5"/>
  <c r="C253" i="5"/>
  <c r="H252" i="5"/>
  <c r="G252" i="5"/>
  <c r="C252" i="5"/>
  <c r="H251" i="5"/>
  <c r="G251" i="5"/>
  <c r="C251" i="5"/>
  <c r="H250" i="5"/>
  <c r="G250" i="5"/>
  <c r="C250" i="5"/>
  <c r="H249" i="5"/>
  <c r="G249" i="5"/>
  <c r="E249" i="5"/>
  <c r="C249" i="5"/>
  <c r="H248" i="5"/>
  <c r="G248" i="5"/>
  <c r="D248" i="5"/>
  <c r="C248" i="5"/>
  <c r="H247" i="5"/>
  <c r="G247" i="5"/>
  <c r="C247" i="5"/>
  <c r="Y239" i="5"/>
  <c r="X239" i="5"/>
  <c r="Y231" i="5"/>
  <c r="X231" i="5"/>
  <c r="Y223" i="5"/>
  <c r="X223" i="5"/>
  <c r="Y222" i="5"/>
  <c r="X222" i="5"/>
  <c r="Y211" i="5"/>
  <c r="X211" i="5"/>
  <c r="Y210" i="5"/>
  <c r="X210" i="5"/>
  <c r="Y209" i="5"/>
  <c r="X209" i="5"/>
  <c r="Y208" i="5"/>
  <c r="X208" i="5"/>
  <c r="Y192" i="5"/>
  <c r="X192" i="5"/>
  <c r="Y191" i="5"/>
  <c r="X191" i="5"/>
  <c r="Y190" i="5"/>
  <c r="X190" i="5"/>
  <c r="Y189" i="5"/>
  <c r="X189" i="5"/>
  <c r="Y188" i="5"/>
  <c r="X188" i="5"/>
  <c r="Y187" i="5"/>
  <c r="X187" i="5"/>
  <c r="Y186" i="5"/>
  <c r="X186" i="5"/>
  <c r="Y185" i="5"/>
  <c r="X185" i="5"/>
  <c r="Y168" i="5"/>
  <c r="X168" i="5"/>
  <c r="Y167" i="5"/>
  <c r="X167" i="5"/>
  <c r="Y166" i="5"/>
  <c r="X166" i="5"/>
  <c r="Y165" i="5"/>
  <c r="X165" i="5"/>
  <c r="Y164" i="5"/>
  <c r="X164" i="5"/>
  <c r="Y163" i="5"/>
  <c r="X163" i="5"/>
  <c r="Y146" i="5"/>
  <c r="X146" i="5"/>
  <c r="Y145" i="5"/>
  <c r="X145" i="5"/>
  <c r="Y144" i="5"/>
  <c r="X144" i="5"/>
  <c r="Y143" i="5"/>
  <c r="X143" i="5"/>
  <c r="Y142" i="5"/>
  <c r="X142" i="5"/>
  <c r="Y141" i="5"/>
  <c r="X141" i="5"/>
  <c r="Y124" i="5"/>
  <c r="X124" i="5"/>
  <c r="Y123" i="5"/>
  <c r="X123" i="5"/>
  <c r="Y122" i="5"/>
  <c r="X122" i="5"/>
  <c r="Y121" i="5"/>
  <c r="X121" i="5"/>
  <c r="Y120" i="5"/>
  <c r="X120" i="5"/>
  <c r="Y119" i="5"/>
  <c r="X119" i="5"/>
  <c r="Y103" i="5"/>
  <c r="X103" i="5"/>
  <c r="Y102" i="5"/>
  <c r="X102" i="5"/>
  <c r="Y101" i="5"/>
  <c r="X101" i="5"/>
  <c r="Y100" i="5"/>
  <c r="X100" i="5"/>
  <c r="Y99" i="5"/>
  <c r="X99" i="5"/>
  <c r="Y98" i="5"/>
  <c r="X98" i="5"/>
  <c r="Y83" i="5"/>
  <c r="X83" i="5"/>
  <c r="Y82" i="5"/>
  <c r="X82" i="5"/>
  <c r="Y81" i="5"/>
  <c r="X81" i="5"/>
  <c r="Y80" i="5"/>
  <c r="X80" i="5"/>
  <c r="Y79" i="5"/>
  <c r="X79" i="5"/>
  <c r="Y78" i="5"/>
  <c r="X78" i="5"/>
  <c r="Y61" i="5"/>
  <c r="X61" i="5"/>
  <c r="Y60" i="5"/>
  <c r="X60" i="5"/>
  <c r="Y59" i="5"/>
  <c r="X59" i="5"/>
  <c r="Y58" i="5"/>
  <c r="X58" i="5"/>
  <c r="Y57" i="5"/>
  <c r="X57" i="5"/>
  <c r="Y56" i="5"/>
  <c r="X56" i="5"/>
  <c r="Y39" i="5"/>
  <c r="X39" i="5"/>
  <c r="Y38" i="5"/>
  <c r="X38" i="5"/>
  <c r="Y37" i="5"/>
  <c r="X37" i="5"/>
  <c r="Y36" i="5"/>
  <c r="X36" i="5"/>
  <c r="Y35" i="5"/>
  <c r="X35" i="5"/>
  <c r="Y34" i="5"/>
  <c r="X34" i="5"/>
  <c r="H29" i="5"/>
  <c r="G29" i="5"/>
  <c r="C29" i="5"/>
  <c r="H28" i="5"/>
  <c r="G28" i="5"/>
  <c r="C28" i="5"/>
  <c r="H27" i="5"/>
  <c r="G27" i="5"/>
  <c r="C27" i="5"/>
  <c r="H26" i="5"/>
  <c r="G26" i="5"/>
  <c r="C26" i="5"/>
  <c r="Y17" i="5"/>
  <c r="X17" i="5"/>
  <c r="Y16" i="5"/>
  <c r="X16" i="5"/>
  <c r="Y15" i="5"/>
  <c r="X15" i="5"/>
  <c r="Y14" i="5"/>
  <c r="X14" i="5"/>
  <c r="F26" i="5" s="1"/>
  <c r="Y13" i="5"/>
  <c r="X13" i="5"/>
  <c r="Y12" i="5"/>
  <c r="X12" i="5"/>
  <c r="F275" i="5" s="1"/>
  <c r="H244" i="4"/>
  <c r="G244" i="4"/>
  <c r="C244" i="4"/>
  <c r="H243" i="4"/>
  <c r="G243" i="4"/>
  <c r="C243" i="4"/>
  <c r="H242" i="4"/>
  <c r="G242" i="4"/>
  <c r="E242" i="4"/>
  <c r="C242" i="4"/>
  <c r="H241" i="4"/>
  <c r="G241" i="4"/>
  <c r="C241" i="4"/>
  <c r="H240" i="4"/>
  <c r="G240" i="4"/>
  <c r="C240" i="4"/>
  <c r="H239" i="4"/>
  <c r="G239" i="4"/>
  <c r="C239" i="4"/>
  <c r="H238" i="4"/>
  <c r="G238" i="4"/>
  <c r="C238" i="4"/>
  <c r="H237" i="4"/>
  <c r="G237" i="4"/>
  <c r="C237" i="4"/>
  <c r="H236" i="4"/>
  <c r="G236" i="4"/>
  <c r="C236" i="4"/>
  <c r="H235" i="4"/>
  <c r="G235" i="4"/>
  <c r="C235" i="4"/>
  <c r="H234" i="4"/>
  <c r="G234" i="4"/>
  <c r="C234" i="4"/>
  <c r="H233" i="4"/>
  <c r="G233" i="4"/>
  <c r="C233" i="4"/>
  <c r="H232" i="4"/>
  <c r="G232" i="4"/>
  <c r="C232" i="4"/>
  <c r="H231" i="4"/>
  <c r="G231" i="4"/>
  <c r="C231" i="4"/>
  <c r="H230" i="4"/>
  <c r="G230" i="4"/>
  <c r="C230" i="4"/>
  <c r="H229" i="4"/>
  <c r="G229" i="4"/>
  <c r="C229" i="4"/>
  <c r="H228" i="4"/>
  <c r="G228" i="4"/>
  <c r="C228" i="4"/>
  <c r="H227" i="4"/>
  <c r="G227" i="4"/>
  <c r="C227" i="4"/>
  <c r="H226" i="4"/>
  <c r="G226" i="4"/>
  <c r="C226" i="4"/>
  <c r="H225" i="4"/>
  <c r="G225" i="4"/>
  <c r="D225" i="4"/>
  <c r="C225" i="4"/>
  <c r="H224" i="4"/>
  <c r="G224" i="4"/>
  <c r="C224" i="4"/>
  <c r="H223" i="4"/>
  <c r="G223" i="4"/>
  <c r="C223" i="4"/>
  <c r="H222" i="4"/>
  <c r="G222" i="4"/>
  <c r="C222" i="4"/>
  <c r="H221" i="4"/>
  <c r="C221" i="4"/>
  <c r="Y211" i="4"/>
  <c r="X211" i="4"/>
  <c r="Y203" i="4"/>
  <c r="X203" i="4"/>
  <c r="Y197" i="4"/>
  <c r="X197" i="4"/>
  <c r="Y196" i="4"/>
  <c r="X196" i="4"/>
  <c r="Y185" i="4"/>
  <c r="X185" i="4"/>
  <c r="Y184" i="4"/>
  <c r="X184" i="4"/>
  <c r="Y183" i="4"/>
  <c r="X183" i="4"/>
  <c r="Y182" i="4"/>
  <c r="X182" i="4"/>
  <c r="Y166" i="4"/>
  <c r="X166" i="4"/>
  <c r="Y165" i="4"/>
  <c r="X165" i="4"/>
  <c r="Y164" i="4"/>
  <c r="X164" i="4"/>
  <c r="Y163" i="4"/>
  <c r="X163" i="4"/>
  <c r="Y162" i="4"/>
  <c r="X162" i="4"/>
  <c r="Y161" i="4"/>
  <c r="X161" i="4"/>
  <c r="Y160" i="4"/>
  <c r="X160" i="4"/>
  <c r="Y159" i="4"/>
  <c r="X159" i="4"/>
  <c r="Y129" i="4"/>
  <c r="X129" i="4"/>
  <c r="Y128" i="4"/>
  <c r="X128" i="4"/>
  <c r="Y127" i="4"/>
  <c r="X127" i="4"/>
  <c r="Y126" i="4"/>
  <c r="X126" i="4"/>
  <c r="Y125" i="4"/>
  <c r="X125" i="4"/>
  <c r="Y124" i="4"/>
  <c r="X124" i="4"/>
  <c r="Y106" i="4"/>
  <c r="X106" i="4"/>
  <c r="Y105" i="4"/>
  <c r="X105" i="4"/>
  <c r="Y104" i="4"/>
  <c r="X104" i="4"/>
  <c r="Y103" i="4"/>
  <c r="X103" i="4"/>
  <c r="Y102" i="4"/>
  <c r="X102" i="4"/>
  <c r="Y101" i="4"/>
  <c r="X101" i="4"/>
  <c r="Y82" i="4"/>
  <c r="X82" i="4"/>
  <c r="Y81" i="4"/>
  <c r="X81" i="4"/>
  <c r="Y80" i="4"/>
  <c r="X80" i="4"/>
  <c r="Y79" i="4"/>
  <c r="X79" i="4"/>
  <c r="Y78" i="4"/>
  <c r="X78" i="4"/>
  <c r="Y77" i="4"/>
  <c r="X77" i="4"/>
  <c r="Y61" i="4"/>
  <c r="X61" i="4"/>
  <c r="Y60" i="4"/>
  <c r="X60" i="4"/>
  <c r="Y59" i="4"/>
  <c r="X59" i="4"/>
  <c r="Y58" i="4"/>
  <c r="X58" i="4"/>
  <c r="Y57" i="4"/>
  <c r="X57" i="4"/>
  <c r="Y56" i="4"/>
  <c r="X56" i="4"/>
  <c r="Y39" i="4"/>
  <c r="X39" i="4"/>
  <c r="Y38" i="4"/>
  <c r="X38" i="4"/>
  <c r="Y37" i="4"/>
  <c r="X37" i="4"/>
  <c r="Y36" i="4"/>
  <c r="X36" i="4"/>
  <c r="Y35" i="4"/>
  <c r="X35" i="4"/>
  <c r="Y34" i="4"/>
  <c r="X34" i="4"/>
  <c r="H29" i="4"/>
  <c r="G29" i="4"/>
  <c r="C29" i="4"/>
  <c r="H28" i="4"/>
  <c r="G28" i="4"/>
  <c r="C28" i="4"/>
  <c r="H27" i="4"/>
  <c r="G27" i="4"/>
  <c r="C27" i="4"/>
  <c r="H26" i="4"/>
  <c r="G26" i="4"/>
  <c r="C26" i="4"/>
  <c r="Y17" i="4"/>
  <c r="X17" i="4"/>
  <c r="Y16" i="4"/>
  <c r="X16" i="4"/>
  <c r="Y15" i="4"/>
  <c r="X15" i="4"/>
  <c r="Y14" i="4"/>
  <c r="X14" i="4"/>
  <c r="Y13" i="4"/>
  <c r="X13" i="4"/>
  <c r="Y12" i="4"/>
  <c r="F235" i="4" s="1"/>
  <c r="X12" i="4"/>
  <c r="F241" i="4" s="1"/>
  <c r="H249" i="3"/>
  <c r="G249" i="3"/>
  <c r="C249" i="3"/>
  <c r="H248" i="3"/>
  <c r="G248" i="3"/>
  <c r="C248" i="3"/>
  <c r="H247" i="3"/>
  <c r="G247" i="3"/>
  <c r="C247" i="3"/>
  <c r="H246" i="3"/>
  <c r="G246" i="3"/>
  <c r="C246" i="3"/>
  <c r="H245" i="3"/>
  <c r="G245" i="3"/>
  <c r="C245" i="3"/>
  <c r="H244" i="3"/>
  <c r="G244" i="3"/>
  <c r="C244" i="3"/>
  <c r="H243" i="3"/>
  <c r="G243" i="3"/>
  <c r="C243" i="3"/>
  <c r="H242" i="3"/>
  <c r="G242" i="3"/>
  <c r="F242" i="3"/>
  <c r="C242" i="3"/>
  <c r="H241" i="3"/>
  <c r="G241" i="3"/>
  <c r="C241" i="3"/>
  <c r="H240" i="3"/>
  <c r="G240" i="3"/>
  <c r="C240" i="3"/>
  <c r="H239" i="3"/>
  <c r="G239" i="3"/>
  <c r="C239" i="3"/>
  <c r="H238" i="3"/>
  <c r="G238" i="3"/>
  <c r="C238" i="3"/>
  <c r="H237" i="3"/>
  <c r="G237" i="3"/>
  <c r="C237" i="3"/>
  <c r="H236" i="3"/>
  <c r="G236" i="3"/>
  <c r="C236" i="3"/>
  <c r="H235" i="3"/>
  <c r="G235" i="3"/>
  <c r="C235" i="3"/>
  <c r="H234" i="3"/>
  <c r="G234" i="3"/>
  <c r="C234" i="3"/>
  <c r="H233" i="3"/>
  <c r="G233" i="3"/>
  <c r="C233" i="3"/>
  <c r="H232" i="3"/>
  <c r="G232" i="3"/>
  <c r="C232" i="3"/>
  <c r="H231" i="3"/>
  <c r="G231" i="3"/>
  <c r="C231" i="3"/>
  <c r="H230" i="3"/>
  <c r="G230" i="3"/>
  <c r="C230" i="3"/>
  <c r="H229" i="3"/>
  <c r="G229" i="3"/>
  <c r="C229" i="3"/>
  <c r="H228" i="3"/>
  <c r="G228" i="3"/>
  <c r="C228" i="3"/>
  <c r="H227" i="3"/>
  <c r="G227" i="3"/>
  <c r="C227" i="3"/>
  <c r="H226" i="3"/>
  <c r="G226" i="3"/>
  <c r="C226" i="3"/>
  <c r="Y218" i="3"/>
  <c r="X218" i="3"/>
  <c r="Y210" i="3"/>
  <c r="X210" i="3"/>
  <c r="Y200" i="3"/>
  <c r="X200" i="3"/>
  <c r="Y199" i="3"/>
  <c r="X199" i="3"/>
  <c r="Y187" i="3"/>
  <c r="X187" i="3"/>
  <c r="Y186" i="3"/>
  <c r="X186" i="3"/>
  <c r="Y185" i="3"/>
  <c r="X185" i="3"/>
  <c r="Y184" i="3"/>
  <c r="X184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H141" i="3"/>
  <c r="G141" i="3"/>
  <c r="C141" i="3"/>
  <c r="H140" i="3"/>
  <c r="G140" i="3"/>
  <c r="C140" i="3"/>
  <c r="H139" i="3"/>
  <c r="G139" i="3"/>
  <c r="C139" i="3"/>
  <c r="H138" i="3"/>
  <c r="G138" i="3"/>
  <c r="C138" i="3"/>
  <c r="Y131" i="3"/>
  <c r="X131" i="3"/>
  <c r="Y130" i="3"/>
  <c r="X130" i="3"/>
  <c r="Y129" i="3"/>
  <c r="X129" i="3"/>
  <c r="Y128" i="3"/>
  <c r="X128" i="3"/>
  <c r="E141" i="3" s="1"/>
  <c r="Y127" i="3"/>
  <c r="X127" i="3"/>
  <c r="Y126" i="3"/>
  <c r="X126" i="3"/>
  <c r="H121" i="3"/>
  <c r="G121" i="3"/>
  <c r="C121" i="3"/>
  <c r="H120" i="3"/>
  <c r="G120" i="3"/>
  <c r="C120" i="3"/>
  <c r="H119" i="3"/>
  <c r="G119" i="3"/>
  <c r="C119" i="3"/>
  <c r="H118" i="3"/>
  <c r="G118" i="3"/>
  <c r="C118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F121" i="3" s="1"/>
  <c r="H99" i="3"/>
  <c r="G99" i="3"/>
  <c r="C99" i="3"/>
  <c r="H98" i="3"/>
  <c r="G98" i="3"/>
  <c r="C98" i="3"/>
  <c r="H97" i="3"/>
  <c r="G97" i="3"/>
  <c r="C97" i="3"/>
  <c r="H96" i="3"/>
  <c r="G96" i="3"/>
  <c r="C96" i="3"/>
  <c r="Y86" i="3"/>
  <c r="X86" i="3"/>
  <c r="Y85" i="3"/>
  <c r="X85" i="3"/>
  <c r="Y84" i="3"/>
  <c r="X84" i="3"/>
  <c r="Y83" i="3"/>
  <c r="X83" i="3"/>
  <c r="F97" i="3" s="1"/>
  <c r="Y82" i="3"/>
  <c r="X82" i="3"/>
  <c r="Y81" i="3"/>
  <c r="X81" i="3"/>
  <c r="H76" i="3"/>
  <c r="G76" i="3"/>
  <c r="C76" i="3"/>
  <c r="H75" i="3"/>
  <c r="G75" i="3"/>
  <c r="C75" i="3"/>
  <c r="H74" i="3"/>
  <c r="G74" i="3"/>
  <c r="C74" i="3"/>
  <c r="H73" i="3"/>
  <c r="G73" i="3"/>
  <c r="C73" i="3"/>
  <c r="Y63" i="3"/>
  <c r="X63" i="3"/>
  <c r="Y62" i="3"/>
  <c r="X62" i="3"/>
  <c r="Y61" i="3"/>
  <c r="X61" i="3"/>
  <c r="Y60" i="3"/>
  <c r="X60" i="3"/>
  <c r="Y59" i="3"/>
  <c r="X59" i="3"/>
  <c r="Y58" i="3"/>
  <c r="X58" i="3"/>
  <c r="F76" i="3" s="1"/>
  <c r="H53" i="3"/>
  <c r="G53" i="3"/>
  <c r="C53" i="3"/>
  <c r="H52" i="3"/>
  <c r="G52" i="3"/>
  <c r="C52" i="3"/>
  <c r="H51" i="3"/>
  <c r="G51" i="3"/>
  <c r="C51" i="3"/>
  <c r="H50" i="3"/>
  <c r="G50" i="3"/>
  <c r="C50" i="3"/>
  <c r="Y40" i="3"/>
  <c r="X40" i="3"/>
  <c r="Y39" i="3"/>
  <c r="X39" i="3"/>
  <c r="Y38" i="3"/>
  <c r="X38" i="3"/>
  <c r="Y37" i="3"/>
  <c r="X37" i="3"/>
  <c r="E53" i="3" s="1"/>
  <c r="Y36" i="3"/>
  <c r="X36" i="3"/>
  <c r="Y35" i="3"/>
  <c r="X35" i="3"/>
  <c r="H30" i="3"/>
  <c r="G30" i="3"/>
  <c r="C30" i="3"/>
  <c r="H29" i="3"/>
  <c r="G29" i="3"/>
  <c r="C29" i="3"/>
  <c r="H28" i="3"/>
  <c r="G28" i="3"/>
  <c r="C28" i="3"/>
  <c r="H27" i="3"/>
  <c r="G27" i="3"/>
  <c r="C27" i="3"/>
  <c r="Y17" i="3"/>
  <c r="X17" i="3"/>
  <c r="Y16" i="3"/>
  <c r="X16" i="3"/>
  <c r="Y15" i="3"/>
  <c r="X15" i="3"/>
  <c r="Y14" i="3"/>
  <c r="X14" i="3"/>
  <c r="Y13" i="3"/>
  <c r="X13" i="3"/>
  <c r="Y12" i="3"/>
  <c r="X12" i="3"/>
  <c r="F30" i="3" s="1"/>
  <c r="H239" i="2"/>
  <c r="G239" i="2"/>
  <c r="C239" i="2"/>
  <c r="H238" i="2"/>
  <c r="G238" i="2"/>
  <c r="C238" i="2"/>
  <c r="H237" i="2"/>
  <c r="G237" i="2"/>
  <c r="C237" i="2"/>
  <c r="H236" i="2"/>
  <c r="G236" i="2"/>
  <c r="C236" i="2"/>
  <c r="H235" i="2"/>
  <c r="G235" i="2"/>
  <c r="C235" i="2"/>
  <c r="H234" i="2"/>
  <c r="G234" i="2"/>
  <c r="C234" i="2"/>
  <c r="H233" i="2"/>
  <c r="G233" i="2"/>
  <c r="C233" i="2"/>
  <c r="H232" i="2"/>
  <c r="G232" i="2"/>
  <c r="C232" i="2"/>
  <c r="H231" i="2"/>
  <c r="G231" i="2"/>
  <c r="C231" i="2"/>
  <c r="H230" i="2"/>
  <c r="G230" i="2"/>
  <c r="C230" i="2"/>
  <c r="H229" i="2"/>
  <c r="G229" i="2"/>
  <c r="C229" i="2"/>
  <c r="H228" i="2"/>
  <c r="G228" i="2"/>
  <c r="C228" i="2"/>
  <c r="H227" i="2"/>
  <c r="G227" i="2"/>
  <c r="C227" i="2"/>
  <c r="H226" i="2"/>
  <c r="G226" i="2"/>
  <c r="C226" i="2"/>
  <c r="H225" i="2"/>
  <c r="G225" i="2"/>
  <c r="C225" i="2"/>
  <c r="H224" i="2"/>
  <c r="G224" i="2"/>
  <c r="C224" i="2"/>
  <c r="H223" i="2"/>
  <c r="G223" i="2"/>
  <c r="C223" i="2"/>
  <c r="H222" i="2"/>
  <c r="G222" i="2"/>
  <c r="C222" i="2"/>
  <c r="H221" i="2"/>
  <c r="G221" i="2"/>
  <c r="C221" i="2"/>
  <c r="H220" i="2"/>
  <c r="G220" i="2"/>
  <c r="C220" i="2"/>
  <c r="H219" i="2"/>
  <c r="G219" i="2"/>
  <c r="C219" i="2"/>
  <c r="H218" i="2"/>
  <c r="G218" i="2"/>
  <c r="C218" i="2"/>
  <c r="H217" i="2"/>
  <c r="G217" i="2"/>
  <c r="C217" i="2"/>
  <c r="H216" i="2"/>
  <c r="G216" i="2"/>
  <c r="C216" i="2"/>
  <c r="Y208" i="2"/>
  <c r="X208" i="2"/>
  <c r="Y199" i="2"/>
  <c r="X199" i="2"/>
  <c r="Y193" i="2"/>
  <c r="X193" i="2"/>
  <c r="Y192" i="2"/>
  <c r="X192" i="2"/>
  <c r="Y177" i="2"/>
  <c r="X177" i="2"/>
  <c r="Y176" i="2"/>
  <c r="X176" i="2"/>
  <c r="Y175" i="2"/>
  <c r="X175" i="2"/>
  <c r="Y174" i="2"/>
  <c r="X174" i="2"/>
  <c r="Y160" i="2"/>
  <c r="X160" i="2"/>
  <c r="Y159" i="2"/>
  <c r="X159" i="2"/>
  <c r="Y158" i="2"/>
  <c r="X158" i="2"/>
  <c r="Y157" i="2"/>
  <c r="X157" i="2"/>
  <c r="Y156" i="2"/>
  <c r="X156" i="2"/>
  <c r="Y155" i="2"/>
  <c r="X155" i="2"/>
  <c r="Y154" i="2"/>
  <c r="X154" i="2"/>
  <c r="Y153" i="2"/>
  <c r="X153" i="2"/>
  <c r="H137" i="2"/>
  <c r="G137" i="2"/>
  <c r="C137" i="2"/>
  <c r="H136" i="2"/>
  <c r="G136" i="2"/>
  <c r="C136" i="2"/>
  <c r="H135" i="2"/>
  <c r="G135" i="2"/>
  <c r="C135" i="2"/>
  <c r="H134" i="2"/>
  <c r="G134" i="2"/>
  <c r="D134" i="2"/>
  <c r="C134" i="2"/>
  <c r="Y127" i="2"/>
  <c r="X127" i="2"/>
  <c r="Y126" i="2"/>
  <c r="X126" i="2"/>
  <c r="Y125" i="2"/>
  <c r="X125" i="2"/>
  <c r="Y124" i="2"/>
  <c r="F136" i="2" s="1"/>
  <c r="X124" i="2"/>
  <c r="Y123" i="2"/>
  <c r="X123" i="2"/>
  <c r="Y122" i="2"/>
  <c r="X122" i="2"/>
  <c r="H117" i="2"/>
  <c r="G117" i="2"/>
  <c r="C117" i="2"/>
  <c r="H116" i="2"/>
  <c r="G116" i="2"/>
  <c r="C116" i="2"/>
  <c r="H115" i="2"/>
  <c r="G115" i="2"/>
  <c r="C115" i="2"/>
  <c r="H114" i="2"/>
  <c r="G114" i="2"/>
  <c r="C114" i="2"/>
  <c r="Y105" i="2"/>
  <c r="X105" i="2"/>
  <c r="Y104" i="2"/>
  <c r="X104" i="2"/>
  <c r="Y103" i="2"/>
  <c r="X103" i="2"/>
  <c r="Y102" i="2"/>
  <c r="X102" i="2"/>
  <c r="Y101" i="2"/>
  <c r="X101" i="2"/>
  <c r="Y100" i="2"/>
  <c r="D114" i="2" s="1"/>
  <c r="X100" i="2"/>
  <c r="F117" i="2" s="1"/>
  <c r="H95" i="2"/>
  <c r="G95" i="2"/>
  <c r="C95" i="2"/>
  <c r="H94" i="2"/>
  <c r="G94" i="2"/>
  <c r="C94" i="2"/>
  <c r="H93" i="2"/>
  <c r="G93" i="2"/>
  <c r="C93" i="2"/>
  <c r="H92" i="2"/>
  <c r="G92" i="2"/>
  <c r="D92" i="2"/>
  <c r="C92" i="2"/>
  <c r="Y83" i="2"/>
  <c r="X83" i="2"/>
  <c r="Y82" i="2"/>
  <c r="X82" i="2"/>
  <c r="Y81" i="2"/>
  <c r="X81" i="2"/>
  <c r="Y80" i="2"/>
  <c r="F94" i="2" s="1"/>
  <c r="X80" i="2"/>
  <c r="Y79" i="2"/>
  <c r="X79" i="2"/>
  <c r="Y78" i="2"/>
  <c r="X78" i="2"/>
  <c r="H73" i="2"/>
  <c r="G73" i="2"/>
  <c r="C73" i="2"/>
  <c r="H72" i="2"/>
  <c r="G72" i="2"/>
  <c r="C72" i="2"/>
  <c r="H71" i="2"/>
  <c r="G71" i="2"/>
  <c r="C71" i="2"/>
  <c r="H70" i="2"/>
  <c r="G70" i="2"/>
  <c r="C70" i="2"/>
  <c r="Y61" i="2"/>
  <c r="X61" i="2"/>
  <c r="Y60" i="2"/>
  <c r="X60" i="2"/>
  <c r="Y59" i="2"/>
  <c r="X59" i="2"/>
  <c r="Y58" i="2"/>
  <c r="X58" i="2"/>
  <c r="Y57" i="2"/>
  <c r="X57" i="2"/>
  <c r="Y56" i="2"/>
  <c r="D72" i="2" s="1"/>
  <c r="X56" i="2"/>
  <c r="F73" i="2" s="1"/>
  <c r="H51" i="2"/>
  <c r="G51" i="2"/>
  <c r="C51" i="2"/>
  <c r="H50" i="2"/>
  <c r="G50" i="2"/>
  <c r="C50" i="2"/>
  <c r="H49" i="2"/>
  <c r="G49" i="2"/>
  <c r="C49" i="2"/>
  <c r="H48" i="2"/>
  <c r="G48" i="2"/>
  <c r="D48" i="2"/>
  <c r="C48" i="2"/>
  <c r="Y39" i="2"/>
  <c r="X39" i="2"/>
  <c r="Y38" i="2"/>
  <c r="X38" i="2"/>
  <c r="Y37" i="2"/>
  <c r="X37" i="2"/>
  <c r="Y36" i="2"/>
  <c r="E48" i="2" s="1"/>
  <c r="X36" i="2"/>
  <c r="Y35" i="2"/>
  <c r="X35" i="2"/>
  <c r="Y34" i="2"/>
  <c r="X34" i="2"/>
  <c r="H29" i="2"/>
  <c r="G29" i="2"/>
  <c r="C29" i="2"/>
  <c r="H28" i="2"/>
  <c r="G28" i="2"/>
  <c r="C28" i="2"/>
  <c r="H27" i="2"/>
  <c r="G27" i="2"/>
  <c r="C27" i="2"/>
  <c r="H26" i="2"/>
  <c r="G26" i="2"/>
  <c r="C26" i="2"/>
  <c r="Y17" i="2"/>
  <c r="X17" i="2"/>
  <c r="Y16" i="2"/>
  <c r="X16" i="2"/>
  <c r="Y15" i="2"/>
  <c r="X15" i="2"/>
  <c r="Y14" i="2"/>
  <c r="X14" i="2"/>
  <c r="Y13" i="2"/>
  <c r="X13" i="2"/>
  <c r="Y12" i="2"/>
  <c r="D28" i="2" s="1"/>
  <c r="X12" i="2"/>
  <c r="F29" i="2" s="1"/>
  <c r="D10" i="7" a="1"/>
  <c r="D9" i="7" a="1"/>
  <c r="D8" i="7" a="1"/>
  <c r="D7" i="7" a="1"/>
  <c r="D6" i="7" a="1"/>
  <c r="D5" i="7" a="1"/>
  <c r="L8" i="7" l="1"/>
  <c r="B11" i="7"/>
  <c r="Q12" i="7"/>
  <c r="J20" i="7"/>
  <c r="B23" i="7"/>
  <c r="K10" i="7"/>
  <c r="J11" i="7"/>
  <c r="Q20" i="7"/>
  <c r="J7" i="7"/>
  <c r="Q8" i="7"/>
  <c r="Q16" i="7"/>
  <c r="L18" i="7"/>
  <c r="L6" i="7"/>
  <c r="Q11" i="7"/>
  <c r="K15" i="7"/>
  <c r="R11" i="7"/>
  <c r="J6" i="7"/>
  <c r="Q7" i="7"/>
  <c r="R7" i="7" s="1"/>
  <c r="K8" i="7"/>
  <c r="L9" i="7"/>
  <c r="L12" i="7"/>
  <c r="D10" i="7"/>
  <c r="D9" i="7"/>
  <c r="D8" i="7"/>
  <c r="D7" i="7"/>
  <c r="D6" i="7"/>
  <c r="J8" i="7"/>
  <c r="J9" i="7"/>
  <c r="Q17" i="7"/>
  <c r="L22" i="7"/>
  <c r="L24" i="7"/>
  <c r="J10" i="7"/>
  <c r="K13" i="7"/>
  <c r="L14" i="7"/>
  <c r="K21" i="7"/>
  <c r="J24" i="7"/>
  <c r="K12" i="7"/>
  <c r="R12" i="7" s="1"/>
  <c r="Q5" i="7"/>
  <c r="R5" i="7" s="1"/>
  <c r="Q6" i="7"/>
  <c r="R6" i="7" s="1"/>
  <c r="Q10" i="7"/>
  <c r="R10" i="7" s="1"/>
  <c r="J13" i="7"/>
  <c r="J16" i="7"/>
  <c r="J17" i="7"/>
  <c r="K20" i="7"/>
  <c r="J21" i="7"/>
  <c r="Q24" i="7"/>
  <c r="R24" i="7" s="1"/>
  <c r="R15" i="7"/>
  <c r="Q9" i="7"/>
  <c r="L11" i="7"/>
  <c r="J12" i="7"/>
  <c r="R17" i="7"/>
  <c r="L20" i="7"/>
  <c r="Q22" i="7"/>
  <c r="R22" i="7" s="1"/>
  <c r="Q13" i="7"/>
  <c r="Q14" i="7"/>
  <c r="R14" i="7" s="1"/>
  <c r="Q18" i="7"/>
  <c r="R18" i="7" s="1"/>
  <c r="K19" i="7"/>
  <c r="R19" i="7" s="1"/>
  <c r="R23" i="7"/>
  <c r="D5" i="7"/>
  <c r="R20" i="7"/>
  <c r="R21" i="7"/>
  <c r="R9" i="7"/>
  <c r="R16" i="7"/>
  <c r="E266" i="6"/>
  <c r="F27" i="6"/>
  <c r="D248" i="6"/>
  <c r="E249" i="6"/>
  <c r="F250" i="6"/>
  <c r="D256" i="6"/>
  <c r="E257" i="6"/>
  <c r="I257" i="6" s="1"/>
  <c r="F258" i="6"/>
  <c r="D264" i="6"/>
  <c r="E265" i="6"/>
  <c r="F266" i="6"/>
  <c r="D272" i="6"/>
  <c r="E273" i="6"/>
  <c r="F274" i="6"/>
  <c r="D26" i="6"/>
  <c r="F28" i="6"/>
  <c r="D265" i="6"/>
  <c r="I265" i="6" s="1"/>
  <c r="D273" i="6"/>
  <c r="F26" i="6"/>
  <c r="E248" i="6"/>
  <c r="F249" i="6"/>
  <c r="D255" i="6"/>
  <c r="E256" i="6"/>
  <c r="F257" i="6"/>
  <c r="D263" i="6"/>
  <c r="E264" i="6"/>
  <c r="F265" i="6"/>
  <c r="D271" i="6"/>
  <c r="E272" i="6"/>
  <c r="F273" i="6"/>
  <c r="D279" i="6"/>
  <c r="I279" i="6" s="1"/>
  <c r="D25" i="6"/>
  <c r="I25" i="6" s="1"/>
  <c r="F25" i="6"/>
  <c r="F248" i="6"/>
  <c r="D254" i="6"/>
  <c r="E255" i="6"/>
  <c r="F256" i="6"/>
  <c r="D262" i="6"/>
  <c r="E263" i="6"/>
  <c r="F264" i="6"/>
  <c r="D270" i="6"/>
  <c r="E271" i="6"/>
  <c r="F272" i="6"/>
  <c r="D278" i="6"/>
  <c r="E279" i="6"/>
  <c r="F251" i="6"/>
  <c r="E26" i="6"/>
  <c r="D253" i="6"/>
  <c r="E254" i="6"/>
  <c r="F255" i="6"/>
  <c r="D261" i="6"/>
  <c r="E262" i="6"/>
  <c r="F263" i="6"/>
  <c r="D269" i="6"/>
  <c r="E270" i="6"/>
  <c r="F271" i="6"/>
  <c r="D277" i="6"/>
  <c r="E278" i="6"/>
  <c r="F279" i="6"/>
  <c r="E27" i="6"/>
  <c r="E258" i="6"/>
  <c r="F267" i="6"/>
  <c r="D252" i="6"/>
  <c r="I252" i="6" s="1"/>
  <c r="E253" i="6"/>
  <c r="F254" i="6"/>
  <c r="D260" i="6"/>
  <c r="E261" i="6"/>
  <c r="F262" i="6"/>
  <c r="D268" i="6"/>
  <c r="E269" i="6"/>
  <c r="F270" i="6"/>
  <c r="D276" i="6"/>
  <c r="E277" i="6"/>
  <c r="F278" i="6"/>
  <c r="D249" i="6"/>
  <c r="I249" i="6" s="1"/>
  <c r="F259" i="6"/>
  <c r="E274" i="6"/>
  <c r="D28" i="6"/>
  <c r="I28" i="6" s="1"/>
  <c r="D251" i="6"/>
  <c r="I251" i="6" s="1"/>
  <c r="E252" i="6"/>
  <c r="F253" i="6"/>
  <c r="D259" i="6"/>
  <c r="E260" i="6"/>
  <c r="F261" i="6"/>
  <c r="D267" i="6"/>
  <c r="I267" i="6" s="1"/>
  <c r="E268" i="6"/>
  <c r="F269" i="6"/>
  <c r="D275" i="6"/>
  <c r="E276" i="6"/>
  <c r="F277" i="6"/>
  <c r="E250" i="6"/>
  <c r="D27" i="6"/>
  <c r="I27" i="6" s="1"/>
  <c r="D250" i="6"/>
  <c r="I250" i="6" s="1"/>
  <c r="E251" i="6"/>
  <c r="F252" i="6"/>
  <c r="D258" i="6"/>
  <c r="I258" i="6" s="1"/>
  <c r="E259" i="6"/>
  <c r="F260" i="6"/>
  <c r="D266" i="6"/>
  <c r="I266" i="6" s="1"/>
  <c r="E267" i="6"/>
  <c r="F268" i="6"/>
  <c r="D274" i="6"/>
  <c r="I274" i="6" s="1"/>
  <c r="E275" i="6"/>
  <c r="D264" i="5"/>
  <c r="E265" i="5"/>
  <c r="F266" i="5"/>
  <c r="D272" i="5"/>
  <c r="E273" i="5"/>
  <c r="F274" i="5"/>
  <c r="D27" i="5"/>
  <c r="F29" i="5"/>
  <c r="E257" i="5"/>
  <c r="D26" i="5"/>
  <c r="E27" i="5"/>
  <c r="F28" i="5"/>
  <c r="D247" i="5"/>
  <c r="E248" i="5"/>
  <c r="I248" i="5" s="1"/>
  <c r="F249" i="5"/>
  <c r="D255" i="5"/>
  <c r="E256" i="5"/>
  <c r="F257" i="5"/>
  <c r="D263" i="5"/>
  <c r="E264" i="5"/>
  <c r="F265" i="5"/>
  <c r="D271" i="5"/>
  <c r="E272" i="5"/>
  <c r="F273" i="5"/>
  <c r="E26" i="5"/>
  <c r="F27" i="5"/>
  <c r="E247" i="5"/>
  <c r="F248" i="5"/>
  <c r="D254" i="5"/>
  <c r="E255" i="5"/>
  <c r="F256" i="5"/>
  <c r="D262" i="5"/>
  <c r="E263" i="5"/>
  <c r="F264" i="5"/>
  <c r="D270" i="5"/>
  <c r="E271" i="5"/>
  <c r="F272" i="5"/>
  <c r="D278" i="5"/>
  <c r="F247" i="5"/>
  <c r="D253" i="5"/>
  <c r="E254" i="5"/>
  <c r="F255" i="5"/>
  <c r="D261" i="5"/>
  <c r="E262" i="5"/>
  <c r="F263" i="5"/>
  <c r="D269" i="5"/>
  <c r="E270" i="5"/>
  <c r="F271" i="5"/>
  <c r="D277" i="5"/>
  <c r="E278" i="5"/>
  <c r="F250" i="5"/>
  <c r="D252" i="5"/>
  <c r="E253" i="5"/>
  <c r="F254" i="5"/>
  <c r="D260" i="5"/>
  <c r="E261" i="5"/>
  <c r="F262" i="5"/>
  <c r="D268" i="5"/>
  <c r="E269" i="5"/>
  <c r="F270" i="5"/>
  <c r="D276" i="5"/>
  <c r="E277" i="5"/>
  <c r="F278" i="5"/>
  <c r="D251" i="5"/>
  <c r="E252" i="5"/>
  <c r="F253" i="5"/>
  <c r="D259" i="5"/>
  <c r="E260" i="5"/>
  <c r="F261" i="5"/>
  <c r="D267" i="5"/>
  <c r="E268" i="5"/>
  <c r="F269" i="5"/>
  <c r="D275" i="5"/>
  <c r="E276" i="5"/>
  <c r="F277" i="5"/>
  <c r="E28" i="5"/>
  <c r="D256" i="5"/>
  <c r="I256" i="5" s="1"/>
  <c r="D29" i="5"/>
  <c r="D250" i="5"/>
  <c r="E251" i="5"/>
  <c r="F252" i="5"/>
  <c r="D258" i="5"/>
  <c r="E259" i="5"/>
  <c r="F260" i="5"/>
  <c r="D266" i="5"/>
  <c r="E267" i="5"/>
  <c r="F268" i="5"/>
  <c r="D274" i="5"/>
  <c r="E275" i="5"/>
  <c r="F276" i="5"/>
  <c r="F258" i="5"/>
  <c r="D28" i="5"/>
  <c r="I28" i="5" s="1"/>
  <c r="E29" i="5"/>
  <c r="D249" i="5"/>
  <c r="I249" i="5" s="1"/>
  <c r="E250" i="5"/>
  <c r="F251" i="5"/>
  <c r="D257" i="5"/>
  <c r="I257" i="5" s="1"/>
  <c r="E258" i="5"/>
  <c r="F259" i="5"/>
  <c r="D265" i="5"/>
  <c r="I265" i="5" s="1"/>
  <c r="E266" i="5"/>
  <c r="F267" i="5"/>
  <c r="D273" i="5"/>
  <c r="I273" i="5" s="1"/>
  <c r="E274" i="5"/>
  <c r="D233" i="4"/>
  <c r="E231" i="4"/>
  <c r="F232" i="4"/>
  <c r="D238" i="4"/>
  <c r="E239" i="4"/>
  <c r="F240" i="4"/>
  <c r="F227" i="4"/>
  <c r="F224" i="4"/>
  <c r="D221" i="4"/>
  <c r="E222" i="4"/>
  <c r="F223" i="4"/>
  <c r="D229" i="4"/>
  <c r="E230" i="4"/>
  <c r="F231" i="4"/>
  <c r="D237" i="4"/>
  <c r="I237" i="4" s="1"/>
  <c r="E238" i="4"/>
  <c r="F239" i="4"/>
  <c r="E234" i="4"/>
  <c r="D27" i="4"/>
  <c r="E28" i="4"/>
  <c r="F29" i="4"/>
  <c r="D230" i="4"/>
  <c r="I230" i="4" s="1"/>
  <c r="F28" i="4"/>
  <c r="E26" i="4"/>
  <c r="F27" i="4"/>
  <c r="E221" i="4"/>
  <c r="F222" i="4"/>
  <c r="D228" i="4"/>
  <c r="E229" i="4"/>
  <c r="F230" i="4"/>
  <c r="D236" i="4"/>
  <c r="I236" i="4" s="1"/>
  <c r="E237" i="4"/>
  <c r="F238" i="4"/>
  <c r="D244" i="4"/>
  <c r="D222" i="4"/>
  <c r="I222" i="4" s="1"/>
  <c r="D26" i="4"/>
  <c r="I26" i="4" s="1"/>
  <c r="F221" i="4"/>
  <c r="D227" i="4"/>
  <c r="E228" i="4"/>
  <c r="F229" i="4"/>
  <c r="D235" i="4"/>
  <c r="E236" i="4"/>
  <c r="F237" i="4"/>
  <c r="D243" i="4"/>
  <c r="E244" i="4"/>
  <c r="E223" i="4"/>
  <c r="E27" i="4"/>
  <c r="F26" i="4"/>
  <c r="D226" i="4"/>
  <c r="E227" i="4"/>
  <c r="F228" i="4"/>
  <c r="D234" i="4"/>
  <c r="I234" i="4" s="1"/>
  <c r="E235" i="4"/>
  <c r="F236" i="4"/>
  <c r="D242" i="4"/>
  <c r="I242" i="4" s="1"/>
  <c r="E243" i="4"/>
  <c r="F244" i="4"/>
  <c r="F243" i="4"/>
  <c r="D241" i="4"/>
  <c r="I241" i="4" s="1"/>
  <c r="D29" i="4"/>
  <c r="D224" i="4"/>
  <c r="E225" i="4"/>
  <c r="I225" i="4" s="1"/>
  <c r="F226" i="4"/>
  <c r="D232" i="4"/>
  <c r="I232" i="4" s="1"/>
  <c r="E233" i="4"/>
  <c r="F234" i="4"/>
  <c r="D240" i="4"/>
  <c r="E241" i="4"/>
  <c r="F242" i="4"/>
  <c r="E226" i="4"/>
  <c r="D28" i="4"/>
  <c r="I28" i="4" s="1"/>
  <c r="E29" i="4"/>
  <c r="D223" i="4"/>
  <c r="E224" i="4"/>
  <c r="F225" i="4"/>
  <c r="D231" i="4"/>
  <c r="I231" i="4" s="1"/>
  <c r="E232" i="4"/>
  <c r="F233" i="4"/>
  <c r="D239" i="4"/>
  <c r="I239" i="4" s="1"/>
  <c r="E240" i="4"/>
  <c r="D52" i="3"/>
  <c r="D97" i="3"/>
  <c r="D99" i="3"/>
  <c r="I99" i="3" s="1"/>
  <c r="D139" i="3"/>
  <c r="D141" i="3"/>
  <c r="I141" i="3" s="1"/>
  <c r="D230" i="3"/>
  <c r="D231" i="3"/>
  <c r="D232" i="3"/>
  <c r="D233" i="3"/>
  <c r="D234" i="3"/>
  <c r="I234" i="3" s="1"/>
  <c r="D235" i="3"/>
  <c r="I235" i="3" s="1"/>
  <c r="D236" i="3"/>
  <c r="D237" i="3"/>
  <c r="D238" i="3"/>
  <c r="D239" i="3"/>
  <c r="D240" i="3"/>
  <c r="D241" i="3"/>
  <c r="D242" i="3"/>
  <c r="I242" i="3" s="1"/>
  <c r="D243" i="3"/>
  <c r="I243" i="3" s="1"/>
  <c r="D244" i="3"/>
  <c r="D245" i="3"/>
  <c r="D246" i="3"/>
  <c r="D247" i="3"/>
  <c r="D248" i="3"/>
  <c r="D249" i="3"/>
  <c r="D226" i="3"/>
  <c r="E227" i="3"/>
  <c r="E229" i="3"/>
  <c r="E232" i="3"/>
  <c r="E233" i="3"/>
  <c r="E234" i="3"/>
  <c r="E235" i="3"/>
  <c r="E236" i="3"/>
  <c r="E237" i="3"/>
  <c r="E238" i="3"/>
  <c r="E239" i="3"/>
  <c r="E240" i="3"/>
  <c r="E241" i="3"/>
  <c r="E242" i="3"/>
  <c r="J242" i="3" s="1"/>
  <c r="E243" i="3"/>
  <c r="E244" i="3"/>
  <c r="E245" i="3"/>
  <c r="E246" i="3"/>
  <c r="E247" i="3"/>
  <c r="E248" i="3"/>
  <c r="E249" i="3"/>
  <c r="F243" i="3"/>
  <c r="J243" i="3" s="1"/>
  <c r="F244" i="3"/>
  <c r="J244" i="3" s="1"/>
  <c r="F245" i="3"/>
  <c r="F246" i="3"/>
  <c r="F247" i="3"/>
  <c r="J247" i="3" s="1"/>
  <c r="F248" i="3"/>
  <c r="J248" i="3" s="1"/>
  <c r="F249" i="3"/>
  <c r="D51" i="3"/>
  <c r="I51" i="3" s="1"/>
  <c r="D96" i="3"/>
  <c r="D98" i="3"/>
  <c r="D138" i="3"/>
  <c r="D140" i="3"/>
  <c r="I140" i="3" s="1"/>
  <c r="E226" i="3"/>
  <c r="E231" i="3"/>
  <c r="F51" i="3"/>
  <c r="F52" i="3"/>
  <c r="J52" i="3" s="1"/>
  <c r="F96" i="3"/>
  <c r="F98" i="3"/>
  <c r="F99" i="3"/>
  <c r="F138" i="3"/>
  <c r="J138" i="3" s="1"/>
  <c r="F139" i="3"/>
  <c r="J139" i="3" s="1"/>
  <c r="F140" i="3"/>
  <c r="J140" i="3" s="1"/>
  <c r="F141" i="3"/>
  <c r="J141" i="3" s="1"/>
  <c r="F229" i="3"/>
  <c r="J229" i="3" s="1"/>
  <c r="F233" i="3"/>
  <c r="J233" i="3" s="1"/>
  <c r="F237" i="3"/>
  <c r="F241" i="3"/>
  <c r="J241" i="3" s="1"/>
  <c r="D53" i="3"/>
  <c r="I53" i="3" s="1"/>
  <c r="D227" i="3"/>
  <c r="I227" i="3" s="1"/>
  <c r="E50" i="3"/>
  <c r="E52" i="3"/>
  <c r="E97" i="3"/>
  <c r="J97" i="3" s="1"/>
  <c r="E98" i="3"/>
  <c r="E138" i="3"/>
  <c r="E140" i="3"/>
  <c r="E228" i="3"/>
  <c r="F226" i="3"/>
  <c r="J226" i="3" s="1"/>
  <c r="F231" i="3"/>
  <c r="J231" i="3" s="1"/>
  <c r="F235" i="3"/>
  <c r="J235" i="3" s="1"/>
  <c r="F238" i="3"/>
  <c r="D73" i="3"/>
  <c r="I73" i="3" s="1"/>
  <c r="D76" i="3"/>
  <c r="D118" i="3"/>
  <c r="D119" i="3"/>
  <c r="I119" i="3" s="1"/>
  <c r="D121" i="3"/>
  <c r="I121" i="3" s="1"/>
  <c r="D229" i="3"/>
  <c r="I229" i="3" s="1"/>
  <c r="E51" i="3"/>
  <c r="E96" i="3"/>
  <c r="E99" i="3"/>
  <c r="E139" i="3"/>
  <c r="E230" i="3"/>
  <c r="F50" i="3"/>
  <c r="J50" i="3" s="1"/>
  <c r="F53" i="3"/>
  <c r="J53" i="3" s="1"/>
  <c r="F228" i="3"/>
  <c r="J228" i="3" s="1"/>
  <c r="F232" i="3"/>
  <c r="J232" i="3" s="1"/>
  <c r="F236" i="3"/>
  <c r="J236" i="3" s="1"/>
  <c r="F240" i="3"/>
  <c r="J240" i="3" s="1"/>
  <c r="D27" i="3"/>
  <c r="D28" i="3"/>
  <c r="D29" i="3"/>
  <c r="I29" i="3" s="1"/>
  <c r="D74" i="3"/>
  <c r="I74" i="3" s="1"/>
  <c r="E27" i="3"/>
  <c r="E28" i="3"/>
  <c r="E29" i="3"/>
  <c r="E30" i="3"/>
  <c r="J30" i="3" s="1"/>
  <c r="E73" i="3"/>
  <c r="E74" i="3"/>
  <c r="E75" i="3"/>
  <c r="E76" i="3"/>
  <c r="J76" i="3" s="1"/>
  <c r="E118" i="3"/>
  <c r="E119" i="3"/>
  <c r="E120" i="3"/>
  <c r="E121" i="3"/>
  <c r="J121" i="3" s="1"/>
  <c r="D50" i="3"/>
  <c r="D228" i="3"/>
  <c r="F227" i="3"/>
  <c r="F230" i="3"/>
  <c r="J230" i="3" s="1"/>
  <c r="F234" i="3"/>
  <c r="J234" i="3" s="1"/>
  <c r="F239" i="3"/>
  <c r="J239" i="3" s="1"/>
  <c r="D30" i="3"/>
  <c r="I30" i="3" s="1"/>
  <c r="D75" i="3"/>
  <c r="D120" i="3"/>
  <c r="F27" i="3"/>
  <c r="F28" i="3"/>
  <c r="J28" i="3" s="1"/>
  <c r="F29" i="3"/>
  <c r="J29" i="3" s="1"/>
  <c r="F73" i="3"/>
  <c r="J73" i="3" s="1"/>
  <c r="F74" i="3"/>
  <c r="J74" i="3" s="1"/>
  <c r="F75" i="3"/>
  <c r="F118" i="3"/>
  <c r="F119" i="3"/>
  <c r="F120" i="3"/>
  <c r="I48" i="2"/>
  <c r="D49" i="2"/>
  <c r="D51" i="2"/>
  <c r="D93" i="2"/>
  <c r="D95" i="2"/>
  <c r="D135" i="2"/>
  <c r="D137" i="2"/>
  <c r="E217" i="2"/>
  <c r="F216" i="2"/>
  <c r="F222" i="2"/>
  <c r="D27" i="2"/>
  <c r="D73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19" i="2"/>
  <c r="E50" i="2"/>
  <c r="E93" i="2"/>
  <c r="E95" i="2"/>
  <c r="E134" i="2"/>
  <c r="I134" i="2" s="1"/>
  <c r="E135" i="2"/>
  <c r="E136" i="2"/>
  <c r="J136" i="2" s="1"/>
  <c r="E137" i="2"/>
  <c r="E220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D50" i="2"/>
  <c r="I50" i="2" s="1"/>
  <c r="D94" i="2"/>
  <c r="D136" i="2"/>
  <c r="I136" i="2" s="1"/>
  <c r="E216" i="2"/>
  <c r="E223" i="2"/>
  <c r="F50" i="2"/>
  <c r="J50" i="2" s="1"/>
  <c r="F219" i="2"/>
  <c r="F225" i="2"/>
  <c r="J225" i="2" s="1"/>
  <c r="F226" i="2"/>
  <c r="J226" i="2" s="1"/>
  <c r="F227" i="2"/>
  <c r="J227" i="2" s="1"/>
  <c r="F228" i="2"/>
  <c r="J228" i="2" s="1"/>
  <c r="F229" i="2"/>
  <c r="J229" i="2" s="1"/>
  <c r="F230" i="2"/>
  <c r="J230" i="2" s="1"/>
  <c r="F231" i="2"/>
  <c r="J231" i="2" s="1"/>
  <c r="F232" i="2"/>
  <c r="J232" i="2" s="1"/>
  <c r="F233" i="2"/>
  <c r="J233" i="2" s="1"/>
  <c r="F234" i="2"/>
  <c r="J234" i="2" s="1"/>
  <c r="F235" i="2"/>
  <c r="J235" i="2" s="1"/>
  <c r="F236" i="2"/>
  <c r="J236" i="2" s="1"/>
  <c r="F237" i="2"/>
  <c r="J237" i="2" s="1"/>
  <c r="F238" i="2"/>
  <c r="J238" i="2" s="1"/>
  <c r="F239" i="2"/>
  <c r="J239" i="2" s="1"/>
  <c r="D218" i="2"/>
  <c r="E49" i="2"/>
  <c r="E92" i="2"/>
  <c r="I92" i="2" s="1"/>
  <c r="E221" i="2"/>
  <c r="F48" i="2"/>
  <c r="J48" i="2" s="1"/>
  <c r="F51" i="2"/>
  <c r="J51" i="2" s="1"/>
  <c r="F93" i="2"/>
  <c r="J93" i="2" s="1"/>
  <c r="F95" i="2"/>
  <c r="J95" i="2" s="1"/>
  <c r="F135" i="2"/>
  <c r="J135" i="2" s="1"/>
  <c r="F137" i="2"/>
  <c r="J137" i="2" s="1"/>
  <c r="F221" i="2"/>
  <c r="J221" i="2" s="1"/>
  <c r="D220" i="2"/>
  <c r="I220" i="2" s="1"/>
  <c r="E51" i="2"/>
  <c r="E94" i="2"/>
  <c r="J94" i="2" s="1"/>
  <c r="E222" i="2"/>
  <c r="F49" i="2"/>
  <c r="F92" i="2"/>
  <c r="J92" i="2" s="1"/>
  <c r="F134" i="2"/>
  <c r="J134" i="2" s="1"/>
  <c r="F220" i="2"/>
  <c r="J220" i="2" s="1"/>
  <c r="D26" i="2"/>
  <c r="D29" i="2"/>
  <c r="D71" i="2"/>
  <c r="D115" i="2"/>
  <c r="I115" i="2" s="1"/>
  <c r="D116" i="2"/>
  <c r="D117" i="2"/>
  <c r="I117" i="2" s="1"/>
  <c r="D216" i="2"/>
  <c r="I216" i="2" s="1"/>
  <c r="E218" i="2"/>
  <c r="F217" i="2"/>
  <c r="J217" i="2" s="1"/>
  <c r="F224" i="2"/>
  <c r="J224" i="2" s="1"/>
  <c r="E117" i="2"/>
  <c r="J117" i="2" s="1"/>
  <c r="D217" i="2"/>
  <c r="I217" i="2" s="1"/>
  <c r="E219" i="2"/>
  <c r="F218" i="2"/>
  <c r="F223" i="2"/>
  <c r="J223" i="2" s="1"/>
  <c r="D70" i="2"/>
  <c r="I70" i="2" s="1"/>
  <c r="E26" i="2"/>
  <c r="E27" i="2"/>
  <c r="E28" i="2"/>
  <c r="I28" i="2" s="1"/>
  <c r="E29" i="2"/>
  <c r="J29" i="2" s="1"/>
  <c r="E70" i="2"/>
  <c r="E71" i="2"/>
  <c r="E72" i="2"/>
  <c r="I72" i="2" s="1"/>
  <c r="E73" i="2"/>
  <c r="J73" i="2" s="1"/>
  <c r="E114" i="2"/>
  <c r="I114" i="2" s="1"/>
  <c r="E115" i="2"/>
  <c r="E116" i="2"/>
  <c r="F26" i="2"/>
  <c r="F27" i="2"/>
  <c r="J27" i="2" s="1"/>
  <c r="F28" i="2"/>
  <c r="J28" i="2" s="1"/>
  <c r="F70" i="2"/>
  <c r="J70" i="2" s="1"/>
  <c r="F71" i="2"/>
  <c r="J71" i="2" s="1"/>
  <c r="F72" i="2"/>
  <c r="J72" i="2" s="1"/>
  <c r="F114" i="2"/>
  <c r="F115" i="2"/>
  <c r="J115" i="2" s="1"/>
  <c r="F116" i="2"/>
  <c r="J116" i="2" s="1"/>
  <c r="R8" i="7" l="1"/>
  <c r="R13" i="7"/>
  <c r="I269" i="6"/>
  <c r="I262" i="6"/>
  <c r="I255" i="6"/>
  <c r="I256" i="6"/>
  <c r="I268" i="6"/>
  <c r="I278" i="6"/>
  <c r="I271" i="6"/>
  <c r="I272" i="6"/>
  <c r="I261" i="6"/>
  <c r="I254" i="6"/>
  <c r="I248" i="6"/>
  <c r="I259" i="6"/>
  <c r="I260" i="6"/>
  <c r="I273" i="6"/>
  <c r="I277" i="6"/>
  <c r="I270" i="6"/>
  <c r="I263" i="6"/>
  <c r="I264" i="6"/>
  <c r="I26" i="6"/>
  <c r="I275" i="6"/>
  <c r="I276" i="6"/>
  <c r="I253" i="6"/>
  <c r="I250" i="5"/>
  <c r="I260" i="5"/>
  <c r="I27" i="5"/>
  <c r="I29" i="5"/>
  <c r="I267" i="5"/>
  <c r="I269" i="5"/>
  <c r="I278" i="5"/>
  <c r="I271" i="5"/>
  <c r="I266" i="5"/>
  <c r="I276" i="5"/>
  <c r="I254" i="5"/>
  <c r="I247" i="5"/>
  <c r="I252" i="5"/>
  <c r="I272" i="5"/>
  <c r="I259" i="5"/>
  <c r="I261" i="5"/>
  <c r="I270" i="5"/>
  <c r="I263" i="5"/>
  <c r="I258" i="5"/>
  <c r="I268" i="5"/>
  <c r="I26" i="5"/>
  <c r="I275" i="5"/>
  <c r="I277" i="5"/>
  <c r="I264" i="5"/>
  <c r="I274" i="5"/>
  <c r="I251" i="5"/>
  <c r="I253" i="5"/>
  <c r="I262" i="5"/>
  <c r="I255" i="5"/>
  <c r="I227" i="4"/>
  <c r="I224" i="4"/>
  <c r="I29" i="4"/>
  <c r="I243" i="4"/>
  <c r="I228" i="4"/>
  <c r="I229" i="4"/>
  <c r="I238" i="4"/>
  <c r="I240" i="4"/>
  <c r="I27" i="4"/>
  <c r="I244" i="4"/>
  <c r="I223" i="4"/>
  <c r="I226" i="4"/>
  <c r="I235" i="4"/>
  <c r="I221" i="4"/>
  <c r="I233" i="4"/>
  <c r="I97" i="3"/>
  <c r="J120" i="3"/>
  <c r="J27" i="3"/>
  <c r="I228" i="3"/>
  <c r="I28" i="3"/>
  <c r="I118" i="3"/>
  <c r="J99" i="3"/>
  <c r="I138" i="3"/>
  <c r="J245" i="3"/>
  <c r="I249" i="3"/>
  <c r="I241" i="3"/>
  <c r="I233" i="3"/>
  <c r="I52" i="3"/>
  <c r="I226" i="3"/>
  <c r="J119" i="3"/>
  <c r="I120" i="3"/>
  <c r="I50" i="3"/>
  <c r="I27" i="3"/>
  <c r="I76" i="3"/>
  <c r="J237" i="3"/>
  <c r="J98" i="3"/>
  <c r="I98" i="3"/>
  <c r="I248" i="3"/>
  <c r="I240" i="3"/>
  <c r="I232" i="3"/>
  <c r="J118" i="3"/>
  <c r="I75" i="3"/>
  <c r="J96" i="3"/>
  <c r="I96" i="3"/>
  <c r="I247" i="3"/>
  <c r="I239" i="3"/>
  <c r="I231" i="3"/>
  <c r="J227" i="3"/>
  <c r="J75" i="3"/>
  <c r="J238" i="3"/>
  <c r="I246" i="3"/>
  <c r="I238" i="3"/>
  <c r="I230" i="3"/>
  <c r="J246" i="3"/>
  <c r="J51" i="3"/>
  <c r="J249" i="3"/>
  <c r="I245" i="3"/>
  <c r="I237" i="3"/>
  <c r="I244" i="3"/>
  <c r="I236" i="3"/>
  <c r="I139" i="3"/>
  <c r="I116" i="2"/>
  <c r="J49" i="2"/>
  <c r="I238" i="2"/>
  <c r="I230" i="2"/>
  <c r="I222" i="2"/>
  <c r="I135" i="2"/>
  <c r="J26" i="2"/>
  <c r="I237" i="2"/>
  <c r="I229" i="2"/>
  <c r="I221" i="2"/>
  <c r="I95" i="2"/>
  <c r="I26" i="2"/>
  <c r="I71" i="2"/>
  <c r="I236" i="2"/>
  <c r="I228" i="2"/>
  <c r="I73" i="2"/>
  <c r="I93" i="2"/>
  <c r="J114" i="2"/>
  <c r="I29" i="2"/>
  <c r="I235" i="2"/>
  <c r="I227" i="2"/>
  <c r="I27" i="2"/>
  <c r="I51" i="2"/>
  <c r="I94" i="2"/>
  <c r="I234" i="2"/>
  <c r="I226" i="2"/>
  <c r="J222" i="2"/>
  <c r="I49" i="2"/>
  <c r="I233" i="2"/>
  <c r="I225" i="2"/>
  <c r="J216" i="2"/>
  <c r="I219" i="2"/>
  <c r="I232" i="2"/>
  <c r="I224" i="2"/>
  <c r="J218" i="2"/>
  <c r="I218" i="2"/>
  <c r="J219" i="2"/>
  <c r="I239" i="2"/>
  <c r="I231" i="2"/>
  <c r="I223" i="2"/>
  <c r="I137" i="2"/>
</calcChain>
</file>

<file path=xl/sharedStrings.xml><?xml version="1.0" encoding="utf-8"?>
<sst xmlns="http://schemas.openxmlformats.org/spreadsheetml/2006/main" count="2883" uniqueCount="193">
  <si>
    <t>13. WM 1986 in Mexiko</t>
  </si>
  <si>
    <t>31. Mai-29. Juni 1986</t>
  </si>
  <si>
    <t>Teilnehmende Nationen: 24 --- Bewerbungen: 121</t>
  </si>
  <si>
    <t>Gruppe A</t>
  </si>
  <si>
    <t>Bulgarien</t>
  </si>
  <si>
    <t>Italien</t>
  </si>
  <si>
    <t>Mexiko-Stadt (Aztekenstadion)</t>
  </si>
  <si>
    <t>Argentinien</t>
  </si>
  <si>
    <t>(0</t>
  </si>
  <si>
    <t>1)</t>
  </si>
  <si>
    <t>Südkorea</t>
  </si>
  <si>
    <t>Frankreich</t>
  </si>
  <si>
    <t>Mexiko-Stadt (Olympiastadion)</t>
  </si>
  <si>
    <t>BRD</t>
  </si>
  <si>
    <t>(2</t>
  </si>
  <si>
    <t>0)</t>
  </si>
  <si>
    <t>Brasilien</t>
  </si>
  <si>
    <t>Puebla</t>
  </si>
  <si>
    <t>Mexiko</t>
  </si>
  <si>
    <t>(1</t>
  </si>
  <si>
    <t>Belgien</t>
  </si>
  <si>
    <t>Dänemark</t>
  </si>
  <si>
    <t>Spanien</t>
  </si>
  <si>
    <t>UdSSR</t>
  </si>
  <si>
    <t>England</t>
  </si>
  <si>
    <t>Paraguay</t>
  </si>
  <si>
    <t>Marokko</t>
  </si>
  <si>
    <t>Spiele</t>
  </si>
  <si>
    <t>gew</t>
  </si>
  <si>
    <t>unent</t>
  </si>
  <si>
    <t>verl</t>
  </si>
  <si>
    <t>Tore+</t>
  </si>
  <si>
    <t>Tore-</t>
  </si>
  <si>
    <t>Punkte+</t>
  </si>
  <si>
    <t>Punkte-</t>
  </si>
  <si>
    <t>Polen</t>
  </si>
  <si>
    <t>Portugal</t>
  </si>
  <si>
    <t>Ungarn</t>
  </si>
  <si>
    <t>Uruguay</t>
  </si>
  <si>
    <t>Nordirland</t>
  </si>
  <si>
    <t>Gruppe B</t>
  </si>
  <si>
    <t>Schottland</t>
  </si>
  <si>
    <t>Algerien</t>
  </si>
  <si>
    <t>Irak</t>
  </si>
  <si>
    <t>2)</t>
  </si>
  <si>
    <t>Kanada</t>
  </si>
  <si>
    <t>Toluca</t>
  </si>
  <si>
    <t>Gruppe C</t>
  </si>
  <si>
    <t>León</t>
  </si>
  <si>
    <t>Irapuato</t>
  </si>
  <si>
    <t>(3</t>
  </si>
  <si>
    <t>Gruppe D</t>
  </si>
  <si>
    <t>Guadalajara (Estadio Jalisco)</t>
  </si>
  <si>
    <t>Guadalajara (Tres de Marzo)</t>
  </si>
  <si>
    <t>Monterrey (Tecnológico)</t>
  </si>
  <si>
    <t>Gruppe E</t>
  </si>
  <si>
    <t>Querétaro</t>
  </si>
  <si>
    <t>Nezahualcóyotl</t>
  </si>
  <si>
    <t>Gruppe F</t>
  </si>
  <si>
    <t>Monterrey (Universitario)</t>
  </si>
  <si>
    <t>Guadalajara (Estadio Tres de Marzo)</t>
  </si>
  <si>
    <t>Rangliste der Gruppendritten:</t>
  </si>
  <si>
    <t>Nation</t>
  </si>
  <si>
    <t>Achtelfinale:</t>
  </si>
  <si>
    <t>Mexiko-Stadt</t>
  </si>
  <si>
    <t>n.V.</t>
  </si>
  <si>
    <t>Guadalajara</t>
  </si>
  <si>
    <t>Viertelfinale:</t>
  </si>
  <si>
    <t>n.E.</t>
  </si>
  <si>
    <t>Halbfinale:</t>
  </si>
  <si>
    <t>Spiel um Platz 3 am 28. Juli 1986 in Puebla:</t>
  </si>
  <si>
    <t>Endspiel am 29. Juli 1986 in Mexiko-Stadt</t>
  </si>
  <si>
    <t>VR-Gruppe</t>
  </si>
  <si>
    <t>14. WM 1990 in Italien</t>
  </si>
  <si>
    <t>8. Juni-8. Juli 1990</t>
  </si>
  <si>
    <t>Teilnehmende Nationen: 24 --- Bewerbungen: 112</t>
  </si>
  <si>
    <t>Österreich</t>
  </si>
  <si>
    <t>Rom</t>
  </si>
  <si>
    <t>USA</t>
  </si>
  <si>
    <r>
      <rPr>
        <sz val="11"/>
        <color theme="1"/>
        <rFont val="Calibri"/>
        <family val="2"/>
      </rPr>
      <t>Č</t>
    </r>
    <r>
      <rPr>
        <sz val="11"/>
        <color theme="1"/>
        <rFont val="Calibri"/>
        <family val="2"/>
        <scheme val="minor"/>
      </rPr>
      <t>SFR</t>
    </r>
  </si>
  <si>
    <r>
      <rPr>
        <b/>
        <sz val="11"/>
        <color theme="5" tint="-0.249977111117893"/>
        <rFont val="Calibri"/>
        <family val="2"/>
      </rPr>
      <t>Č</t>
    </r>
    <r>
      <rPr>
        <b/>
        <sz val="11"/>
        <color theme="5" tint="-0.249977111117893"/>
        <rFont val="Calibri"/>
        <family val="2"/>
        <scheme val="minor"/>
      </rPr>
      <t>SFR</t>
    </r>
  </si>
  <si>
    <t>Florenz</t>
  </si>
  <si>
    <t>ČSFR</t>
  </si>
  <si>
    <t>Jugoslawien</t>
  </si>
  <si>
    <t>Kamerun</t>
  </si>
  <si>
    <t>Irland</t>
  </si>
  <si>
    <t>Costa Rica</t>
  </si>
  <si>
    <t>Rumänien</t>
  </si>
  <si>
    <t>Kolumbien</t>
  </si>
  <si>
    <t>Niederlande</t>
  </si>
  <si>
    <t>Tabelle:</t>
  </si>
  <si>
    <t>Ägypten</t>
  </si>
  <si>
    <t>Schweden</t>
  </si>
  <si>
    <t>VAE</t>
  </si>
  <si>
    <t>Mailand</t>
  </si>
  <si>
    <t>Bari</t>
  </si>
  <si>
    <t>Neapel</t>
  </si>
  <si>
    <t>Turin</t>
  </si>
  <si>
    <t>Genua</t>
  </si>
  <si>
    <t>Bologna</t>
  </si>
  <si>
    <t>Verona</t>
  </si>
  <si>
    <t>Udine</t>
  </si>
  <si>
    <t>Cagliari</t>
  </si>
  <si>
    <t>Palermo</t>
  </si>
  <si>
    <t>Irland durch Losentscheid Gruppenzweiter</t>
  </si>
  <si>
    <t>Spiel um Platz 3 am 7. Juli 1990 in Bari:</t>
  </si>
  <si>
    <t>---</t>
  </si>
  <si>
    <t>Endspiel am 8. Juli 1990 in Rom:</t>
  </si>
  <si>
    <t>15. WM 1994 in den USA</t>
  </si>
  <si>
    <t>17. Juni-17. Juli 1994</t>
  </si>
  <si>
    <t>Teilnehmende Nationen: 24 --- Bewerbungen: 143</t>
  </si>
  <si>
    <t>Ab dieser WM gibt es für einen Sieg 3 Punkte, für ein Unentschieden 1 Punkt</t>
  </si>
  <si>
    <t>Schweiz</t>
  </si>
  <si>
    <t>Pontiac</t>
  </si>
  <si>
    <t>Pasadena</t>
  </si>
  <si>
    <t>Nigeria</t>
  </si>
  <si>
    <t>Palo Alto</t>
  </si>
  <si>
    <t>Saudi-Arabien</t>
  </si>
  <si>
    <t>Punkte</t>
  </si>
  <si>
    <t>Norwegen</t>
  </si>
  <si>
    <t>Russland</t>
  </si>
  <si>
    <t>Bolivien</t>
  </si>
  <si>
    <t>Griechenland</t>
  </si>
  <si>
    <t>Chicago</t>
  </si>
  <si>
    <t>Dallas</t>
  </si>
  <si>
    <t>Foxborough</t>
  </si>
  <si>
    <t>Bulgarien durch direkten Vergleich vor Argentinien Gruppenzweiter</t>
  </si>
  <si>
    <t>East Rutherford</t>
  </si>
  <si>
    <t>Washington, D.C.</t>
  </si>
  <si>
    <t>Orlando</t>
  </si>
  <si>
    <t>Irland durch direkten Vergleich vor Italien Gruppenzweiter</t>
  </si>
  <si>
    <t>Niederlande durch direkten Vergleich vor Saudi-Arabien Gruppensieger</t>
  </si>
  <si>
    <t>Spiel um Platz 3 am 16. Juli 1994 in Pasadena:</t>
  </si>
  <si>
    <t>(4</t>
  </si>
  <si>
    <t>16. WM 1998 in Frankreich</t>
  </si>
  <si>
    <t>10. Juni-12. Juli 1998</t>
  </si>
  <si>
    <t>Teilnehmende Nationen: 32 --- Bewerbungen: 166</t>
  </si>
  <si>
    <t>Kroatien</t>
  </si>
  <si>
    <t>Chile</t>
  </si>
  <si>
    <t>Jamaika</t>
  </si>
  <si>
    <t>Iran</t>
  </si>
  <si>
    <t>Südafrika</t>
  </si>
  <si>
    <t>Tunesien</t>
  </si>
  <si>
    <t>Japan</t>
  </si>
  <si>
    <t>Gruppe G</t>
  </si>
  <si>
    <t>Gruppe H</t>
  </si>
  <si>
    <t>n.GG.</t>
  </si>
  <si>
    <t>3)</t>
  </si>
  <si>
    <t>Spiel um Platz 3 am 11. Juli 1998 in Paris:</t>
  </si>
  <si>
    <t>Endspiel am 12. Juli 1998 in Paris:</t>
  </si>
  <si>
    <t>17. WM 2002 in Südkorea und Japan</t>
  </si>
  <si>
    <t>31. Mai-30. Juni 2002</t>
  </si>
  <si>
    <t>Teilnehmende Nationen: 32 --- Bewerbungen: 198</t>
  </si>
  <si>
    <t>Senegal</t>
  </si>
  <si>
    <t>Seoul</t>
  </si>
  <si>
    <t>Ulsan</t>
  </si>
  <si>
    <t>Daegu</t>
  </si>
  <si>
    <t>Busan</t>
  </si>
  <si>
    <t>Incheon</t>
  </si>
  <si>
    <t>Slowenien</t>
  </si>
  <si>
    <t>Suwon</t>
  </si>
  <si>
    <t>Türkei</t>
  </si>
  <si>
    <t>China</t>
  </si>
  <si>
    <t>Gwangju</t>
  </si>
  <si>
    <t>Jeonju</t>
  </si>
  <si>
    <t>Ecuador</t>
  </si>
  <si>
    <t>Daejeon</t>
  </si>
  <si>
    <t>Seogwipo</t>
  </si>
  <si>
    <t>Niigata</t>
  </si>
  <si>
    <t>Sapporo</t>
  </si>
  <si>
    <t>Kashima</t>
  </si>
  <si>
    <t>Saitama</t>
  </si>
  <si>
    <t>Shizuoka</t>
  </si>
  <si>
    <t>Yokohama</t>
  </si>
  <si>
    <t>Kobe</t>
  </si>
  <si>
    <t>Miyagi</t>
  </si>
  <si>
    <t>Osaka</t>
  </si>
  <si>
    <t>Oita</t>
  </si>
  <si>
    <t>Mivagi</t>
  </si>
  <si>
    <t>Spiel um Platz 3 am 29. Juni 2002 in Daegu:</t>
  </si>
  <si>
    <t>Endspiel am 30. Juni in Yokohama:</t>
  </si>
  <si>
    <t>Č</t>
  </si>
  <si>
    <t>Länder existieren nicht mehr</t>
  </si>
  <si>
    <t>Teilnehmer</t>
  </si>
  <si>
    <t>Teilnahme</t>
  </si>
  <si>
    <t>diff. +/-</t>
  </si>
  <si>
    <t>Gesamt</t>
  </si>
  <si>
    <t>bis 1990</t>
  </si>
  <si>
    <t>Ergebnisse bis 1990</t>
  </si>
  <si>
    <t>Punkte +/- bis 1990</t>
  </si>
  <si>
    <t>ab 1994</t>
  </si>
  <si>
    <t>Ergebnisse ab 1994</t>
  </si>
  <si>
    <t>Punkte ab 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</si>
</sst>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7]d/\ mmmm\ 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202122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5" tint="-0.249977111117893"/>
      <name val="Calibri"/>
      <family val="2"/>
    </font>
    <font>
      <b/>
      <i/>
      <sz val="11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212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8" xfId="0" applyBorder="1"/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NumberFormat="1" applyBorder="1" applyAlignment="1" applyProtection="1">
      <alignment horizontal="center"/>
    </xf>
    <xf numFmtId="0" fontId="0" fillId="0" borderId="10" xfId="0" applyNumberFormat="1" applyBorder="1" applyAlignment="1" applyProtection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11" xfId="0" applyNumberFormat="1" applyBorder="1" applyAlignment="1">
      <alignment horizontal="left"/>
    </xf>
    <xf numFmtId="0" fontId="0" fillId="0" borderId="11" xfId="0" applyNumberFormat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4" xfId="0" applyNumberFormat="1" applyFill="1" applyBorder="1" applyAlignment="1">
      <alignment horizontal="center"/>
    </xf>
    <xf numFmtId="0" fontId="0" fillId="0" borderId="0" xfId="0" applyFill="1"/>
    <xf numFmtId="0" fontId="0" fillId="0" borderId="15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16" xfId="0" applyNumberFormat="1" applyFill="1" applyBorder="1" applyAlignment="1">
      <alignment horizontal="center"/>
    </xf>
    <xf numFmtId="0" fontId="0" fillId="0" borderId="8" xfId="0" applyFill="1" applyBorder="1"/>
    <xf numFmtId="0" fontId="0" fillId="0" borderId="17" xfId="0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0" fillId="0" borderId="18" xfId="0" applyNumberFormat="1" applyFill="1" applyBorder="1" applyAlignment="1">
      <alignment horizontal="center"/>
    </xf>
    <xf numFmtId="0" fontId="0" fillId="0" borderId="19" xfId="0" applyBorder="1"/>
    <xf numFmtId="0" fontId="0" fillId="0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/>
    <xf numFmtId="0" fontId="7" fillId="0" borderId="11" xfId="0" applyFont="1" applyBorder="1"/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0" fillId="0" borderId="0" xfId="0" applyBorder="1"/>
    <xf numFmtId="0" fontId="4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10" xfId="0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0" fillId="2" borderId="13" xfId="0" applyNumberFormat="1" applyFill="1" applyBorder="1" applyAlignment="1">
      <alignment horizontal="center"/>
    </xf>
    <xf numFmtId="0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2" borderId="16" xfId="0" applyNumberForma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7" xfId="0" applyFont="1" applyFill="1" applyBorder="1"/>
    <xf numFmtId="0" fontId="6" fillId="0" borderId="0" xfId="0" applyFont="1" applyFill="1" applyBorder="1"/>
    <xf numFmtId="164" fontId="6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6" fillId="0" borderId="8" xfId="0" applyFont="1" applyFill="1" applyBorder="1"/>
    <xf numFmtId="0" fontId="6" fillId="0" borderId="0" xfId="0" applyFont="1" applyFill="1"/>
    <xf numFmtId="164" fontId="6" fillId="0" borderId="11" xfId="0" applyNumberFormat="1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0" xfId="0" applyFont="1" applyBorder="1"/>
    <xf numFmtId="164" fontId="6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0" xfId="0" applyFont="1"/>
    <xf numFmtId="164" fontId="6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9" fillId="0" borderId="0" xfId="0" applyFont="1" applyFill="1" applyBorder="1"/>
    <xf numFmtId="0" fontId="9" fillId="0" borderId="11" xfId="0" applyFont="1" applyFill="1" applyBorder="1"/>
    <xf numFmtId="0" fontId="9" fillId="0" borderId="0" xfId="0" applyFont="1" applyBorder="1"/>
    <xf numFmtId="0" fontId="9" fillId="0" borderId="11" xfId="0" applyFont="1" applyBorder="1"/>
    <xf numFmtId="0" fontId="10" fillId="0" borderId="0" xfId="0" applyFont="1" applyBorder="1" applyAlignment="1">
      <alignment horizontal="center"/>
    </xf>
    <xf numFmtId="0" fontId="6" fillId="0" borderId="9" xfId="0" applyFont="1" applyFill="1" applyBorder="1"/>
    <xf numFmtId="0" fontId="10" fillId="0" borderId="0" xfId="0" applyFon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1" xfId="0" applyFill="1" applyBorder="1"/>
    <xf numFmtId="0" fontId="0" fillId="0" borderId="8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9" xfId="0" applyFill="1" applyBorder="1"/>
    <xf numFmtId="0" fontId="11" fillId="3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11" fillId="4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7" xfId="0" applyFill="1" applyBorder="1"/>
    <xf numFmtId="164" fontId="0" fillId="0" borderId="0" xfId="0" applyNumberFormat="1" applyFill="1" applyBorder="1" applyAlignment="1">
      <alignment horizontal="center"/>
    </xf>
    <xf numFmtId="164" fontId="0" fillId="0" borderId="11" xfId="0" applyNumberForma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11" fillId="4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0" xfId="0" applyNumberFormat="1" applyFill="1" applyBorder="1" applyAlignment="1">
      <alignment horizontal="center"/>
    </xf>
    <xf numFmtId="0" fontId="0" fillId="5" borderId="11" xfId="0" applyNumberFormat="1" applyFill="1" applyBorder="1" applyAlignment="1">
      <alignment horizontal="center"/>
    </xf>
    <xf numFmtId="0" fontId="0" fillId="0" borderId="15" xfId="0" applyNumberFormat="1" applyFill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3" xfId="0" applyNumberFormat="1" applyFon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5" xfId="0" applyNumberFormat="1" applyFont="1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0" fillId="0" borderId="25" xfId="0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21" xfId="0" applyBorder="1"/>
    <xf numFmtId="0" fontId="6" fillId="0" borderId="0" xfId="0" applyFon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4" fillId="0" borderId="0" xfId="0" applyFont="1" applyFill="1" applyAlignment="1">
      <alignment horizontal="right"/>
    </xf>
    <xf numFmtId="0" fontId="0" fillId="0" borderId="26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6" xfId="0" applyNumberFormat="1" applyFill="1" applyBorder="1" applyAlignment="1">
      <alignment horizontal="center"/>
    </xf>
    <xf numFmtId="0" fontId="0" fillId="0" borderId="26" xfId="0" applyNumberFormat="1" applyBorder="1" applyAlignment="1">
      <alignment horizontal="center"/>
    </xf>
    <xf numFmtId="0" fontId="0" fillId="0" borderId="27" xfId="0" applyNumberFormat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0" fillId="0" borderId="31" xfId="0" applyNumberFormat="1" applyFill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1" xfId="0" applyNumberFormat="1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32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6" fillId="7" borderId="28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8" xfId="0" applyBorder="1" applyAlignment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0" fillId="0" borderId="29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15" fillId="0" borderId="29" xfId="0" applyNumberFormat="1" applyFont="1" applyBorder="1" applyAlignment="1">
      <alignment horizontal="center"/>
    </xf>
    <xf numFmtId="0" fontId="16" fillId="0" borderId="0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u&#223;ball-WM/WM_1930-2026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30"/>
      <sheetName val="1934"/>
      <sheetName val="1938"/>
      <sheetName val="1950"/>
      <sheetName val="1954"/>
      <sheetName val="1958"/>
      <sheetName val="1962"/>
      <sheetName val="1966"/>
      <sheetName val="1970"/>
      <sheetName val="1974"/>
      <sheetName val="1978"/>
      <sheetName val="1982"/>
      <sheetName val="1986"/>
      <sheetName val="1990"/>
      <sheetName val="1994"/>
      <sheetName val="1998"/>
      <sheetName val="2002"/>
      <sheetName val="2006"/>
      <sheetName val="2010"/>
      <sheetName val="2014"/>
      <sheetName val="2018"/>
      <sheetName val="2022"/>
      <sheetName val="2026"/>
      <sheetName val="2030"/>
      <sheetName val="Gesamt"/>
    </sheetNames>
    <sheetDataSet>
      <sheetData sheetId="0">
        <row r="12">
          <cell r="AA12" t="str">
            <v>Uruguay</v>
          </cell>
        </row>
        <row r="101">
          <cell r="D101">
            <v>4</v>
          </cell>
          <cell r="E101">
            <v>0</v>
          </cell>
          <cell r="F101">
            <v>0</v>
          </cell>
          <cell r="G101">
            <v>15</v>
          </cell>
          <cell r="H101">
            <v>3</v>
          </cell>
        </row>
        <row r="102">
          <cell r="D102">
            <v>4</v>
          </cell>
          <cell r="E102">
            <v>0</v>
          </cell>
          <cell r="F102">
            <v>1</v>
          </cell>
          <cell r="G102">
            <v>18</v>
          </cell>
          <cell r="H102">
            <v>9</v>
          </cell>
        </row>
        <row r="104">
          <cell r="D104">
            <v>2</v>
          </cell>
          <cell r="E104">
            <v>0</v>
          </cell>
          <cell r="F104">
            <v>1</v>
          </cell>
          <cell r="G104">
            <v>7</v>
          </cell>
          <cell r="H104">
            <v>7</v>
          </cell>
        </row>
        <row r="105">
          <cell r="D105">
            <v>2</v>
          </cell>
          <cell r="E105">
            <v>0</v>
          </cell>
          <cell r="F105">
            <v>1</v>
          </cell>
          <cell r="G105">
            <v>5</v>
          </cell>
          <cell r="H105">
            <v>3</v>
          </cell>
        </row>
        <row r="108">
          <cell r="D108">
            <v>1</v>
          </cell>
          <cell r="E108">
            <v>0</v>
          </cell>
          <cell r="F108">
            <v>1</v>
          </cell>
          <cell r="G108">
            <v>1</v>
          </cell>
          <cell r="H108">
            <v>3</v>
          </cell>
        </row>
        <row r="109">
          <cell r="D109">
            <v>1</v>
          </cell>
          <cell r="E109">
            <v>0</v>
          </cell>
          <cell r="F109">
            <v>2</v>
          </cell>
          <cell r="G109">
            <v>4</v>
          </cell>
          <cell r="H109">
            <v>3</v>
          </cell>
        </row>
        <row r="111">
          <cell r="D111">
            <v>0</v>
          </cell>
          <cell r="E111">
            <v>0</v>
          </cell>
          <cell r="F111">
            <v>2</v>
          </cell>
          <cell r="G111">
            <v>0</v>
          </cell>
          <cell r="H111">
            <v>4</v>
          </cell>
        </row>
        <row r="113">
          <cell r="D113">
            <v>0</v>
          </cell>
          <cell r="E113">
            <v>0</v>
          </cell>
          <cell r="F113">
            <v>3</v>
          </cell>
          <cell r="G113">
            <v>4</v>
          </cell>
          <cell r="H113">
            <v>13</v>
          </cell>
        </row>
      </sheetData>
      <sheetData sheetId="1">
        <row r="76">
          <cell r="D76">
            <v>4</v>
          </cell>
          <cell r="E76">
            <v>1</v>
          </cell>
          <cell r="F76">
            <v>0</v>
          </cell>
          <cell r="G76">
            <v>12</v>
          </cell>
          <cell r="H76">
            <v>3</v>
          </cell>
        </row>
        <row r="80">
          <cell r="D80">
            <v>1</v>
          </cell>
          <cell r="E80">
            <v>1</v>
          </cell>
          <cell r="F80">
            <v>1</v>
          </cell>
          <cell r="G80">
            <v>4</v>
          </cell>
          <cell r="H80">
            <v>3</v>
          </cell>
        </row>
        <row r="81">
          <cell r="D81">
            <v>1</v>
          </cell>
          <cell r="E81">
            <v>0</v>
          </cell>
          <cell r="F81">
            <v>1</v>
          </cell>
          <cell r="G81">
            <v>5</v>
          </cell>
          <cell r="H81">
            <v>4</v>
          </cell>
        </row>
        <row r="82">
          <cell r="D82">
            <v>1</v>
          </cell>
          <cell r="E82">
            <v>0</v>
          </cell>
          <cell r="F82">
            <v>1</v>
          </cell>
          <cell r="G82">
            <v>5</v>
          </cell>
          <cell r="H82">
            <v>5</v>
          </cell>
        </row>
        <row r="83">
          <cell r="D83">
            <v>1</v>
          </cell>
          <cell r="E83">
            <v>0</v>
          </cell>
          <cell r="F83">
            <v>1</v>
          </cell>
          <cell r="G83">
            <v>4</v>
          </cell>
          <cell r="H83">
            <v>4</v>
          </cell>
        </row>
        <row r="84">
          <cell r="D84">
            <v>0</v>
          </cell>
          <cell r="E84">
            <v>0</v>
          </cell>
          <cell r="F84">
            <v>1</v>
          </cell>
          <cell r="G84">
            <v>2</v>
          </cell>
          <cell r="H84">
            <v>3</v>
          </cell>
        </row>
        <row r="85">
          <cell r="D85">
            <v>0</v>
          </cell>
          <cell r="E85">
            <v>0</v>
          </cell>
          <cell r="F85">
            <v>1</v>
          </cell>
          <cell r="G85">
            <v>2</v>
          </cell>
          <cell r="H85">
            <v>3</v>
          </cell>
        </row>
        <row r="86">
          <cell r="D86">
            <v>0</v>
          </cell>
          <cell r="E86">
            <v>0</v>
          </cell>
          <cell r="F86">
            <v>1</v>
          </cell>
          <cell r="G86">
            <v>2</v>
          </cell>
          <cell r="H86">
            <v>3</v>
          </cell>
        </row>
        <row r="88">
          <cell r="D88">
            <v>0</v>
          </cell>
          <cell r="E88">
            <v>0</v>
          </cell>
          <cell r="F88">
            <v>1</v>
          </cell>
          <cell r="G88">
            <v>2</v>
          </cell>
          <cell r="H88">
            <v>5</v>
          </cell>
        </row>
      </sheetData>
      <sheetData sheetId="2">
        <row r="85">
          <cell r="D85">
            <v>4</v>
          </cell>
          <cell r="E85">
            <v>0</v>
          </cell>
          <cell r="F85">
            <v>0</v>
          </cell>
          <cell r="G85">
            <v>11</v>
          </cell>
          <cell r="H85">
            <v>5</v>
          </cell>
        </row>
        <row r="87">
          <cell r="D87">
            <v>3</v>
          </cell>
          <cell r="E87">
            <v>0</v>
          </cell>
          <cell r="F87">
            <v>1</v>
          </cell>
          <cell r="G87">
            <v>15</v>
          </cell>
          <cell r="H87">
            <v>5</v>
          </cell>
        </row>
        <row r="89">
          <cell r="D89">
            <v>1</v>
          </cell>
          <cell r="E89">
            <v>1</v>
          </cell>
          <cell r="F89">
            <v>1</v>
          </cell>
          <cell r="G89">
            <v>5</v>
          </cell>
          <cell r="H89">
            <v>5</v>
          </cell>
        </row>
        <row r="91">
          <cell r="D91">
            <v>1</v>
          </cell>
          <cell r="E91">
            <v>0</v>
          </cell>
          <cell r="F91">
            <v>1</v>
          </cell>
          <cell r="G91">
            <v>4</v>
          </cell>
          <cell r="H91">
            <v>4</v>
          </cell>
        </row>
        <row r="92">
          <cell r="D92">
            <v>1</v>
          </cell>
          <cell r="E92">
            <v>0</v>
          </cell>
          <cell r="F92">
            <v>2</v>
          </cell>
          <cell r="G92">
            <v>11</v>
          </cell>
          <cell r="H92">
            <v>9</v>
          </cell>
        </row>
        <row r="95">
          <cell r="D95">
            <v>0</v>
          </cell>
          <cell r="E95">
            <v>0</v>
          </cell>
          <cell r="F95">
            <v>1</v>
          </cell>
          <cell r="G95">
            <v>5</v>
          </cell>
          <cell r="H95">
            <v>6</v>
          </cell>
        </row>
        <row r="97">
          <cell r="D97">
            <v>0</v>
          </cell>
          <cell r="E97">
            <v>0</v>
          </cell>
          <cell r="F97">
            <v>1</v>
          </cell>
          <cell r="G97">
            <v>1</v>
          </cell>
          <cell r="H97">
            <v>3</v>
          </cell>
        </row>
        <row r="98">
          <cell r="D98">
            <v>0</v>
          </cell>
          <cell r="E98">
            <v>0</v>
          </cell>
          <cell r="F98">
            <v>1</v>
          </cell>
          <cell r="G98">
            <v>0</v>
          </cell>
          <cell r="H98">
            <v>3</v>
          </cell>
        </row>
      </sheetData>
      <sheetData sheetId="3">
        <row r="108">
          <cell r="D108">
            <v>3</v>
          </cell>
          <cell r="E108">
            <v>1</v>
          </cell>
          <cell r="F108">
            <v>0</v>
          </cell>
          <cell r="G108">
            <v>15</v>
          </cell>
          <cell r="H108">
            <v>5</v>
          </cell>
        </row>
        <row r="109">
          <cell r="D109">
            <v>3</v>
          </cell>
          <cell r="E109">
            <v>1</v>
          </cell>
          <cell r="F109">
            <v>2</v>
          </cell>
          <cell r="G109">
            <v>10</v>
          </cell>
          <cell r="H109">
            <v>12</v>
          </cell>
        </row>
        <row r="110">
          <cell r="D110">
            <v>2</v>
          </cell>
          <cell r="E110">
            <v>1</v>
          </cell>
          <cell r="F110">
            <v>2</v>
          </cell>
          <cell r="G110">
            <v>11</v>
          </cell>
          <cell r="H110">
            <v>15</v>
          </cell>
        </row>
        <row r="111">
          <cell r="D111">
            <v>2</v>
          </cell>
          <cell r="E111">
            <v>0</v>
          </cell>
          <cell r="F111">
            <v>1</v>
          </cell>
          <cell r="G111">
            <v>7</v>
          </cell>
          <cell r="H111">
            <v>3</v>
          </cell>
        </row>
        <row r="112">
          <cell r="D112">
            <v>1</v>
          </cell>
          <cell r="E112">
            <v>1</v>
          </cell>
          <cell r="F112">
            <v>1</v>
          </cell>
          <cell r="G112">
            <v>4</v>
          </cell>
          <cell r="H112">
            <v>6</v>
          </cell>
        </row>
        <row r="113">
          <cell r="D113">
            <v>1</v>
          </cell>
          <cell r="E113">
            <v>0</v>
          </cell>
          <cell r="F113">
            <v>1</v>
          </cell>
          <cell r="G113">
            <v>4</v>
          </cell>
          <cell r="H113">
            <v>3</v>
          </cell>
        </row>
        <row r="114">
          <cell r="D114">
            <v>1</v>
          </cell>
          <cell r="E114">
            <v>0</v>
          </cell>
          <cell r="F114">
            <v>2</v>
          </cell>
          <cell r="G114">
            <v>5</v>
          </cell>
          <cell r="H114">
            <v>6</v>
          </cell>
        </row>
        <row r="116">
          <cell r="D116">
            <v>1</v>
          </cell>
          <cell r="E116">
            <v>0</v>
          </cell>
          <cell r="F116">
            <v>2</v>
          </cell>
          <cell r="G116">
            <v>2</v>
          </cell>
          <cell r="H116">
            <v>2</v>
          </cell>
        </row>
        <row r="117">
          <cell r="D117">
            <v>0</v>
          </cell>
          <cell r="E117">
            <v>1</v>
          </cell>
          <cell r="F117">
            <v>1</v>
          </cell>
          <cell r="G117">
            <v>2</v>
          </cell>
          <cell r="H117">
            <v>4</v>
          </cell>
        </row>
        <row r="119">
          <cell r="D119">
            <v>0</v>
          </cell>
          <cell r="E119">
            <v>0</v>
          </cell>
          <cell r="F119">
            <v>3</v>
          </cell>
          <cell r="G119">
            <v>2</v>
          </cell>
          <cell r="H119">
            <v>10</v>
          </cell>
        </row>
      </sheetData>
      <sheetData sheetId="4">
        <row r="134">
          <cell r="D134">
            <v>5</v>
          </cell>
          <cell r="E134">
            <v>0</v>
          </cell>
          <cell r="F134">
            <v>1</v>
          </cell>
          <cell r="G134">
            <v>25</v>
          </cell>
          <cell r="H134">
            <v>14</v>
          </cell>
        </row>
        <row r="135">
          <cell r="D135">
            <v>4</v>
          </cell>
          <cell r="E135">
            <v>0</v>
          </cell>
          <cell r="F135">
            <v>1</v>
          </cell>
          <cell r="G135">
            <v>27</v>
          </cell>
          <cell r="H135">
            <v>10</v>
          </cell>
        </row>
        <row r="137">
          <cell r="D137">
            <v>3</v>
          </cell>
          <cell r="E137">
            <v>0</v>
          </cell>
          <cell r="F137">
            <v>2</v>
          </cell>
          <cell r="G137">
            <v>16</v>
          </cell>
          <cell r="H137">
            <v>9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11</v>
          </cell>
          <cell r="H138">
            <v>11</v>
          </cell>
        </row>
        <row r="140">
          <cell r="D140">
            <v>1</v>
          </cell>
          <cell r="E140">
            <v>1</v>
          </cell>
          <cell r="F140">
            <v>1</v>
          </cell>
          <cell r="G140">
            <v>8</v>
          </cell>
          <cell r="H140">
            <v>8</v>
          </cell>
        </row>
        <row r="141">
          <cell r="D141">
            <v>1</v>
          </cell>
          <cell r="E141">
            <v>1</v>
          </cell>
          <cell r="F141">
            <v>1</v>
          </cell>
          <cell r="G141">
            <v>2</v>
          </cell>
          <cell r="H141">
            <v>3</v>
          </cell>
        </row>
        <row r="142">
          <cell r="D142">
            <v>1</v>
          </cell>
          <cell r="E142">
            <v>0</v>
          </cell>
          <cell r="F142">
            <v>1</v>
          </cell>
          <cell r="G142">
            <v>3</v>
          </cell>
          <cell r="H142">
            <v>3</v>
          </cell>
        </row>
        <row r="144">
          <cell r="D144">
            <v>1</v>
          </cell>
          <cell r="E144">
            <v>0</v>
          </cell>
          <cell r="F144">
            <v>2</v>
          </cell>
          <cell r="G144">
            <v>6</v>
          </cell>
          <cell r="H144">
            <v>7</v>
          </cell>
        </row>
        <row r="145">
          <cell r="D145">
            <v>0</v>
          </cell>
          <cell r="E145">
            <v>1</v>
          </cell>
          <cell r="F145">
            <v>1</v>
          </cell>
          <cell r="G145">
            <v>5</v>
          </cell>
          <cell r="H145">
            <v>8</v>
          </cell>
        </row>
        <row r="146">
          <cell r="D146">
            <v>0</v>
          </cell>
          <cell r="E146">
            <v>0</v>
          </cell>
          <cell r="F146">
            <v>2</v>
          </cell>
          <cell r="G146">
            <v>2</v>
          </cell>
          <cell r="H146">
            <v>8</v>
          </cell>
        </row>
      </sheetData>
      <sheetData sheetId="5">
        <row r="153">
          <cell r="D153">
            <v>4</v>
          </cell>
          <cell r="E153">
            <v>1</v>
          </cell>
          <cell r="F153">
            <v>1</v>
          </cell>
          <cell r="G153">
            <v>12</v>
          </cell>
          <cell r="H153">
            <v>7</v>
          </cell>
        </row>
        <row r="154">
          <cell r="D154">
            <v>4</v>
          </cell>
          <cell r="E154">
            <v>0</v>
          </cell>
          <cell r="F154">
            <v>2</v>
          </cell>
          <cell r="G154">
            <v>23</v>
          </cell>
          <cell r="H154">
            <v>15</v>
          </cell>
        </row>
        <row r="155">
          <cell r="D155">
            <v>2</v>
          </cell>
          <cell r="E155">
            <v>2</v>
          </cell>
          <cell r="F155">
            <v>2</v>
          </cell>
          <cell r="G155">
            <v>12</v>
          </cell>
          <cell r="H155">
            <v>14</v>
          </cell>
        </row>
        <row r="157">
          <cell r="D157">
            <v>2</v>
          </cell>
          <cell r="E157">
            <v>1</v>
          </cell>
          <cell r="F157">
            <v>2</v>
          </cell>
          <cell r="G157">
            <v>5</v>
          </cell>
          <cell r="H157">
            <v>6</v>
          </cell>
        </row>
        <row r="159">
          <cell r="D159">
            <v>1</v>
          </cell>
          <cell r="E159">
            <v>2</v>
          </cell>
          <cell r="F159">
            <v>1</v>
          </cell>
          <cell r="G159">
            <v>7</v>
          </cell>
          <cell r="H159">
            <v>7</v>
          </cell>
        </row>
        <row r="160">
          <cell r="D160">
            <v>1</v>
          </cell>
          <cell r="E160">
            <v>1</v>
          </cell>
          <cell r="F160">
            <v>1</v>
          </cell>
          <cell r="G160">
            <v>9</v>
          </cell>
          <cell r="H160">
            <v>12</v>
          </cell>
        </row>
        <row r="162">
          <cell r="D162">
            <v>1</v>
          </cell>
          <cell r="E162">
            <v>1</v>
          </cell>
          <cell r="F162">
            <v>2</v>
          </cell>
          <cell r="G162">
            <v>7</v>
          </cell>
          <cell r="H162">
            <v>5</v>
          </cell>
        </row>
        <row r="163">
          <cell r="D163">
            <v>0</v>
          </cell>
          <cell r="E163">
            <v>3</v>
          </cell>
          <cell r="F163">
            <v>1</v>
          </cell>
          <cell r="G163">
            <v>4</v>
          </cell>
          <cell r="H163">
            <v>5</v>
          </cell>
        </row>
        <row r="164">
          <cell r="D164">
            <v>1</v>
          </cell>
          <cell r="E164">
            <v>0</v>
          </cell>
          <cell r="F164">
            <v>2</v>
          </cell>
          <cell r="G164">
            <v>5</v>
          </cell>
          <cell r="H164">
            <v>10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8</v>
          </cell>
        </row>
      </sheetData>
      <sheetData sheetId="6">
        <row r="132">
          <cell r="D132">
            <v>4</v>
          </cell>
          <cell r="E132">
            <v>0</v>
          </cell>
          <cell r="F132">
            <v>2</v>
          </cell>
          <cell r="G132">
            <v>10</v>
          </cell>
          <cell r="H132">
            <v>8</v>
          </cell>
        </row>
        <row r="134">
          <cell r="D134">
            <v>3</v>
          </cell>
          <cell r="E134">
            <v>0</v>
          </cell>
          <cell r="F134">
            <v>3</v>
          </cell>
          <cell r="G134">
            <v>10</v>
          </cell>
          <cell r="H134">
            <v>7</v>
          </cell>
        </row>
        <row r="135">
          <cell r="D135">
            <v>2</v>
          </cell>
          <cell r="E135">
            <v>1</v>
          </cell>
          <cell r="F135">
            <v>1</v>
          </cell>
          <cell r="G135">
            <v>9</v>
          </cell>
          <cell r="H135">
            <v>7</v>
          </cell>
        </row>
        <row r="136">
          <cell r="D136">
            <v>2</v>
          </cell>
          <cell r="E136">
            <v>1</v>
          </cell>
          <cell r="F136">
            <v>1</v>
          </cell>
          <cell r="G136">
            <v>8</v>
          </cell>
          <cell r="H136">
            <v>3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1</v>
          </cell>
          <cell r="E138">
            <v>1</v>
          </cell>
          <cell r="F138">
            <v>1</v>
          </cell>
          <cell r="G138">
            <v>3</v>
          </cell>
          <cell r="H138">
            <v>2</v>
          </cell>
        </row>
        <row r="139">
          <cell r="D139">
            <v>1</v>
          </cell>
          <cell r="E139">
            <v>1</v>
          </cell>
          <cell r="F139">
            <v>1</v>
          </cell>
          <cell r="G139">
            <v>2</v>
          </cell>
          <cell r="H139">
            <v>3</v>
          </cell>
        </row>
        <row r="140">
          <cell r="D140">
            <v>1</v>
          </cell>
          <cell r="E140">
            <v>1</v>
          </cell>
          <cell r="F140">
            <v>2</v>
          </cell>
          <cell r="G140">
            <v>5</v>
          </cell>
          <cell r="H140">
            <v>6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6</v>
          </cell>
        </row>
        <row r="142">
          <cell r="D142">
            <v>1</v>
          </cell>
          <cell r="E142">
            <v>0</v>
          </cell>
          <cell r="F142">
            <v>2</v>
          </cell>
          <cell r="G142">
            <v>3</v>
          </cell>
          <cell r="H142">
            <v>4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3</v>
          </cell>
        </row>
        <row r="146">
          <cell r="D146">
            <v>0</v>
          </cell>
          <cell r="E146">
            <v>0</v>
          </cell>
          <cell r="F146">
            <v>3</v>
          </cell>
          <cell r="G146">
            <v>2</v>
          </cell>
          <cell r="H146">
            <v>8</v>
          </cell>
        </row>
      </sheetData>
      <sheetData sheetId="7">
        <row r="133">
          <cell r="D133">
            <v>5</v>
          </cell>
          <cell r="E133">
            <v>1</v>
          </cell>
          <cell r="F133">
            <v>0</v>
          </cell>
          <cell r="G133">
            <v>11</v>
          </cell>
          <cell r="H133">
            <v>3</v>
          </cell>
        </row>
        <row r="134">
          <cell r="D134">
            <v>5</v>
          </cell>
          <cell r="E134">
            <v>0</v>
          </cell>
          <cell r="F134">
            <v>1</v>
          </cell>
          <cell r="G134">
            <v>17</v>
          </cell>
          <cell r="H134">
            <v>8</v>
          </cell>
        </row>
        <row r="135">
          <cell r="D135">
            <v>4</v>
          </cell>
          <cell r="E135">
            <v>1</v>
          </cell>
          <cell r="F135">
            <v>1</v>
          </cell>
          <cell r="G135">
            <v>15</v>
          </cell>
          <cell r="H135">
            <v>6</v>
          </cell>
        </row>
        <row r="136">
          <cell r="D136">
            <v>4</v>
          </cell>
          <cell r="E136">
            <v>0</v>
          </cell>
          <cell r="F136">
            <v>2</v>
          </cell>
          <cell r="G136">
            <v>10</v>
          </cell>
          <cell r="H136">
            <v>6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8</v>
          </cell>
          <cell r="H138">
            <v>7</v>
          </cell>
        </row>
        <row r="139">
          <cell r="D139">
            <v>1</v>
          </cell>
          <cell r="E139">
            <v>2</v>
          </cell>
          <cell r="F139">
            <v>1</v>
          </cell>
          <cell r="G139">
            <v>2</v>
          </cell>
          <cell r="H139">
            <v>5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5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2</v>
          </cell>
        </row>
        <row r="144">
          <cell r="D144">
            <v>0</v>
          </cell>
          <cell r="E144">
            <v>2</v>
          </cell>
          <cell r="F144">
            <v>1</v>
          </cell>
          <cell r="G144">
            <v>1</v>
          </cell>
          <cell r="H144">
            <v>3</v>
          </cell>
        </row>
        <row r="145">
          <cell r="D145">
            <v>0</v>
          </cell>
          <cell r="E145">
            <v>1</v>
          </cell>
          <cell r="F145">
            <v>2</v>
          </cell>
          <cell r="G145">
            <v>2</v>
          </cell>
          <cell r="H145">
            <v>5</v>
          </cell>
        </row>
        <row r="146">
          <cell r="D146">
            <v>0</v>
          </cell>
          <cell r="E146">
            <v>1</v>
          </cell>
          <cell r="F146">
            <v>2</v>
          </cell>
          <cell r="G146">
            <v>2</v>
          </cell>
          <cell r="H146">
            <v>5</v>
          </cell>
        </row>
        <row r="148">
          <cell r="D148">
            <v>0</v>
          </cell>
          <cell r="E148">
            <v>0</v>
          </cell>
          <cell r="F148">
            <v>3</v>
          </cell>
          <cell r="G148">
            <v>1</v>
          </cell>
          <cell r="H148">
            <v>9</v>
          </cell>
        </row>
      </sheetData>
      <sheetData sheetId="8">
        <row r="137">
          <cell r="D137">
            <v>5</v>
          </cell>
          <cell r="E137">
            <v>0</v>
          </cell>
          <cell r="F137">
            <v>1</v>
          </cell>
          <cell r="G137">
            <v>17</v>
          </cell>
          <cell r="H137">
            <v>10</v>
          </cell>
        </row>
        <row r="138">
          <cell r="D138">
            <v>3</v>
          </cell>
          <cell r="E138">
            <v>2</v>
          </cell>
          <cell r="F138">
            <v>1</v>
          </cell>
          <cell r="G138">
            <v>10</v>
          </cell>
          <cell r="H138">
            <v>8</v>
          </cell>
        </row>
        <row r="139">
          <cell r="D139">
            <v>2</v>
          </cell>
          <cell r="E139">
            <v>1</v>
          </cell>
          <cell r="F139">
            <v>1</v>
          </cell>
          <cell r="G139">
            <v>6</v>
          </cell>
          <cell r="H139">
            <v>2</v>
          </cell>
        </row>
        <row r="140">
          <cell r="D140">
            <v>2</v>
          </cell>
          <cell r="E140">
            <v>1</v>
          </cell>
          <cell r="F140">
            <v>1</v>
          </cell>
          <cell r="G140">
            <v>6</v>
          </cell>
          <cell r="H140">
            <v>4</v>
          </cell>
        </row>
        <row r="141">
          <cell r="D141">
            <v>2</v>
          </cell>
          <cell r="E141">
            <v>1</v>
          </cell>
          <cell r="F141">
            <v>3</v>
          </cell>
          <cell r="G141">
            <v>4</v>
          </cell>
          <cell r="H141">
            <v>5</v>
          </cell>
        </row>
        <row r="143">
          <cell r="D143">
            <v>2</v>
          </cell>
          <cell r="E143">
            <v>0</v>
          </cell>
          <cell r="F143">
            <v>2</v>
          </cell>
          <cell r="G143">
            <v>4</v>
          </cell>
          <cell r="H143">
            <v>4</v>
          </cell>
        </row>
        <row r="144">
          <cell r="D144">
            <v>1</v>
          </cell>
          <cell r="E144">
            <v>1</v>
          </cell>
          <cell r="F144">
            <v>1</v>
          </cell>
          <cell r="G144">
            <v>2</v>
          </cell>
          <cell r="H144">
            <v>2</v>
          </cell>
        </row>
        <row r="145">
          <cell r="D145">
            <v>1</v>
          </cell>
          <cell r="E145">
            <v>0</v>
          </cell>
          <cell r="F145">
            <v>2</v>
          </cell>
          <cell r="G145">
            <v>4</v>
          </cell>
          <cell r="H145">
            <v>5</v>
          </cell>
        </row>
      </sheetData>
      <sheetData sheetId="9">
        <row r="154">
          <cell r="D154">
            <v>6</v>
          </cell>
          <cell r="E154">
            <v>0</v>
          </cell>
          <cell r="F154">
            <v>1</v>
          </cell>
          <cell r="G154">
            <v>16</v>
          </cell>
          <cell r="H154">
            <v>5</v>
          </cell>
        </row>
        <row r="155">
          <cell r="D155">
            <v>6</v>
          </cell>
          <cell r="E155">
            <v>0</v>
          </cell>
          <cell r="F155">
            <v>1</v>
          </cell>
          <cell r="G155">
            <v>13</v>
          </cell>
          <cell r="H155">
            <v>4</v>
          </cell>
        </row>
        <row r="156">
          <cell r="D156">
            <v>5</v>
          </cell>
          <cell r="E156">
            <v>1</v>
          </cell>
          <cell r="F156">
            <v>1</v>
          </cell>
          <cell r="G156">
            <v>15</v>
          </cell>
          <cell r="H156">
            <v>3</v>
          </cell>
        </row>
        <row r="158">
          <cell r="D158">
            <v>2</v>
          </cell>
          <cell r="E158">
            <v>2</v>
          </cell>
          <cell r="F158">
            <v>2</v>
          </cell>
          <cell r="G158">
            <v>7</v>
          </cell>
          <cell r="H158">
            <v>6</v>
          </cell>
        </row>
        <row r="161">
          <cell r="D161">
            <v>1</v>
          </cell>
          <cell r="E161">
            <v>2</v>
          </cell>
          <cell r="F161">
            <v>3</v>
          </cell>
          <cell r="G161">
            <v>12</v>
          </cell>
          <cell r="H161">
            <v>7</v>
          </cell>
        </row>
        <row r="162">
          <cell r="D162">
            <v>1</v>
          </cell>
          <cell r="E162">
            <v>2</v>
          </cell>
          <cell r="F162">
            <v>3</v>
          </cell>
          <cell r="G162">
            <v>9</v>
          </cell>
          <cell r="H162">
            <v>12</v>
          </cell>
        </row>
        <row r="163">
          <cell r="D163">
            <v>1</v>
          </cell>
          <cell r="E163">
            <v>1</v>
          </cell>
          <cell r="F163">
            <v>1</v>
          </cell>
          <cell r="G163">
            <v>5</v>
          </cell>
          <cell r="H163">
            <v>4</v>
          </cell>
        </row>
        <row r="165">
          <cell r="D165">
            <v>0</v>
          </cell>
          <cell r="E165">
            <v>2</v>
          </cell>
          <cell r="F165">
            <v>1</v>
          </cell>
          <cell r="G165">
            <v>1</v>
          </cell>
          <cell r="H165">
            <v>2</v>
          </cell>
        </row>
        <row r="166">
          <cell r="D166">
            <v>0</v>
          </cell>
          <cell r="E166">
            <v>1</v>
          </cell>
          <cell r="F166">
            <v>2</v>
          </cell>
          <cell r="G166">
            <v>1</v>
          </cell>
          <cell r="H166">
            <v>6</v>
          </cell>
        </row>
      </sheetData>
      <sheetData sheetId="10">
        <row r="154">
          <cell r="D154">
            <v>5</v>
          </cell>
          <cell r="E154">
            <v>1</v>
          </cell>
          <cell r="F154">
            <v>1</v>
          </cell>
          <cell r="G154">
            <v>15</v>
          </cell>
          <cell r="H154">
            <v>4</v>
          </cell>
        </row>
        <row r="156">
          <cell r="D156">
            <v>4</v>
          </cell>
          <cell r="E156">
            <v>1</v>
          </cell>
          <cell r="F156">
            <v>2</v>
          </cell>
          <cell r="G156">
            <v>9</v>
          </cell>
          <cell r="H156">
            <v>6</v>
          </cell>
        </row>
        <row r="157">
          <cell r="D157">
            <v>3</v>
          </cell>
          <cell r="E157">
            <v>2</v>
          </cell>
          <cell r="F157">
            <v>2</v>
          </cell>
          <cell r="G157">
            <v>15</v>
          </cell>
          <cell r="H157">
            <v>10</v>
          </cell>
        </row>
        <row r="158">
          <cell r="D158">
            <v>3</v>
          </cell>
          <cell r="E158">
            <v>1</v>
          </cell>
          <cell r="F158">
            <v>2</v>
          </cell>
          <cell r="G158">
            <v>6</v>
          </cell>
          <cell r="H158">
            <v>6</v>
          </cell>
        </row>
        <row r="159">
          <cell r="D159">
            <v>1</v>
          </cell>
          <cell r="E159">
            <v>4</v>
          </cell>
          <cell r="F159">
            <v>1</v>
          </cell>
          <cell r="G159">
            <v>10</v>
          </cell>
          <cell r="H159">
            <v>5</v>
          </cell>
        </row>
        <row r="164">
          <cell r="D164">
            <v>1</v>
          </cell>
          <cell r="E164">
            <v>1</v>
          </cell>
          <cell r="F164">
            <v>1</v>
          </cell>
          <cell r="G164">
            <v>2</v>
          </cell>
          <cell r="H164">
            <v>2</v>
          </cell>
        </row>
        <row r="165">
          <cell r="D165">
            <v>1</v>
          </cell>
          <cell r="E165">
            <v>0</v>
          </cell>
          <cell r="F165">
            <v>2</v>
          </cell>
          <cell r="G165">
            <v>5</v>
          </cell>
          <cell r="H165">
            <v>5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3</v>
          </cell>
        </row>
        <row r="168">
          <cell r="D168">
            <v>0</v>
          </cell>
          <cell r="E168">
            <v>0</v>
          </cell>
          <cell r="F168">
            <v>3</v>
          </cell>
          <cell r="G168">
            <v>3</v>
          </cell>
          <cell r="H168">
            <v>8</v>
          </cell>
        </row>
        <row r="169">
          <cell r="D169">
            <v>0</v>
          </cell>
          <cell r="E169">
            <v>0</v>
          </cell>
          <cell r="F169">
            <v>3</v>
          </cell>
          <cell r="G169">
            <v>2</v>
          </cell>
          <cell r="H169">
            <v>12</v>
          </cell>
        </row>
      </sheetData>
      <sheetData sheetId="11">
        <row r="224">
          <cell r="D224">
            <v>4</v>
          </cell>
          <cell r="E224">
            <v>3</v>
          </cell>
          <cell r="F224">
            <v>0</v>
          </cell>
          <cell r="G224">
            <v>12</v>
          </cell>
          <cell r="H224">
            <v>6</v>
          </cell>
        </row>
        <row r="225">
          <cell r="D225">
            <v>4</v>
          </cell>
          <cell r="E225">
            <v>1</v>
          </cell>
          <cell r="F225">
            <v>2</v>
          </cell>
          <cell r="G225">
            <v>17</v>
          </cell>
          <cell r="H225">
            <v>14</v>
          </cell>
        </row>
        <row r="226">
          <cell r="D226">
            <v>3</v>
          </cell>
          <cell r="E226">
            <v>3</v>
          </cell>
          <cell r="F226">
            <v>1</v>
          </cell>
          <cell r="G226">
            <v>11</v>
          </cell>
          <cell r="H226">
            <v>5</v>
          </cell>
        </row>
        <row r="228">
          <cell r="D228">
            <v>3</v>
          </cell>
          <cell r="E228">
            <v>2</v>
          </cell>
          <cell r="F228">
            <v>0</v>
          </cell>
          <cell r="G228">
            <v>6</v>
          </cell>
          <cell r="H228">
            <v>1</v>
          </cell>
        </row>
        <row r="229">
          <cell r="D229">
            <v>3</v>
          </cell>
          <cell r="E229">
            <v>1</v>
          </cell>
          <cell r="F229">
            <v>3</v>
          </cell>
          <cell r="G229">
            <v>20</v>
          </cell>
          <cell r="H229">
            <v>17</v>
          </cell>
        </row>
        <row r="230">
          <cell r="D230">
            <v>2</v>
          </cell>
          <cell r="E230">
            <v>2</v>
          </cell>
          <cell r="F230">
            <v>1</v>
          </cell>
          <cell r="G230">
            <v>7</v>
          </cell>
          <cell r="H230">
            <v>4</v>
          </cell>
        </row>
        <row r="233">
          <cell r="D233">
            <v>2</v>
          </cell>
          <cell r="E233">
            <v>1</v>
          </cell>
          <cell r="F233">
            <v>2</v>
          </cell>
          <cell r="G233">
            <v>3</v>
          </cell>
          <cell r="H233">
            <v>5</v>
          </cell>
        </row>
        <row r="235">
          <cell r="D235">
            <v>2</v>
          </cell>
          <cell r="E235">
            <v>0</v>
          </cell>
          <cell r="F235">
            <v>3</v>
          </cell>
          <cell r="G235">
            <v>8</v>
          </cell>
          <cell r="H235">
            <v>7</v>
          </cell>
        </row>
        <row r="236">
          <cell r="D236">
            <v>1</v>
          </cell>
          <cell r="E236">
            <v>2</v>
          </cell>
          <cell r="F236">
            <v>2</v>
          </cell>
          <cell r="G236">
            <v>4</v>
          </cell>
          <cell r="H236">
            <v>5</v>
          </cell>
        </row>
        <row r="237">
          <cell r="D237">
            <v>1</v>
          </cell>
          <cell r="E237">
            <v>1</v>
          </cell>
          <cell r="F237">
            <v>1</v>
          </cell>
          <cell r="G237">
            <v>12</v>
          </cell>
          <cell r="H237">
            <v>6</v>
          </cell>
        </row>
        <row r="239">
          <cell r="D239">
            <v>1</v>
          </cell>
          <cell r="E239">
            <v>1</v>
          </cell>
          <cell r="F239">
            <v>1</v>
          </cell>
          <cell r="G239">
            <v>2</v>
          </cell>
          <cell r="H239">
            <v>2</v>
          </cell>
        </row>
        <row r="245">
          <cell r="D245">
            <v>0</v>
          </cell>
          <cell r="E245">
            <v>0</v>
          </cell>
          <cell r="F245">
            <v>3</v>
          </cell>
          <cell r="G245">
            <v>3</v>
          </cell>
          <cell r="H245">
            <v>8</v>
          </cell>
        </row>
      </sheetData>
      <sheetData sheetId="12">
        <row r="12">
          <cell r="AA12" t="str">
            <v>Argentinien</v>
          </cell>
        </row>
        <row r="216">
          <cell r="D216">
            <v>6</v>
          </cell>
          <cell r="E216">
            <v>1</v>
          </cell>
          <cell r="F216">
            <v>0</v>
          </cell>
          <cell r="G216">
            <v>14</v>
          </cell>
          <cell r="H216">
            <v>5</v>
          </cell>
        </row>
        <row r="217">
          <cell r="D217">
            <v>5</v>
          </cell>
          <cell r="E217">
            <v>1</v>
          </cell>
          <cell r="F217">
            <v>1</v>
          </cell>
          <cell r="G217">
            <v>16</v>
          </cell>
          <cell r="H217">
            <v>9</v>
          </cell>
        </row>
        <row r="218">
          <cell r="D218">
            <v>4</v>
          </cell>
          <cell r="E218">
            <v>1</v>
          </cell>
          <cell r="F218">
            <v>2</v>
          </cell>
          <cell r="G218">
            <v>12</v>
          </cell>
          <cell r="H218">
            <v>8</v>
          </cell>
        </row>
        <row r="220">
          <cell r="D220">
            <v>3</v>
          </cell>
          <cell r="E220">
            <v>1</v>
          </cell>
          <cell r="F220">
            <v>1</v>
          </cell>
          <cell r="G220">
            <v>7</v>
          </cell>
          <cell r="H220">
            <v>6</v>
          </cell>
        </row>
        <row r="221">
          <cell r="D221">
            <v>3</v>
          </cell>
          <cell r="E221">
            <v>1</v>
          </cell>
          <cell r="F221">
            <v>3</v>
          </cell>
          <cell r="G221">
            <v>17</v>
          </cell>
          <cell r="H221">
            <v>19</v>
          </cell>
        </row>
        <row r="223">
          <cell r="D223">
            <v>3</v>
          </cell>
          <cell r="E223">
            <v>0</v>
          </cell>
          <cell r="F223">
            <v>2</v>
          </cell>
          <cell r="G223">
            <v>15</v>
          </cell>
          <cell r="H223">
            <v>9</v>
          </cell>
        </row>
        <row r="224">
          <cell r="D224">
            <v>2</v>
          </cell>
          <cell r="E224">
            <v>1</v>
          </cell>
          <cell r="F224">
            <v>1</v>
          </cell>
          <cell r="G224">
            <v>12</v>
          </cell>
          <cell r="H224">
            <v>5</v>
          </cell>
        </row>
        <row r="225">
          <cell r="D225">
            <v>2</v>
          </cell>
          <cell r="E225">
            <v>1</v>
          </cell>
          <cell r="F225">
            <v>2</v>
          </cell>
          <cell r="G225">
            <v>7</v>
          </cell>
          <cell r="H225">
            <v>3</v>
          </cell>
        </row>
        <row r="226">
          <cell r="D226">
            <v>1</v>
          </cell>
          <cell r="E226">
            <v>2</v>
          </cell>
          <cell r="F226">
            <v>1</v>
          </cell>
          <cell r="G226">
            <v>5</v>
          </cell>
          <cell r="H226">
            <v>6</v>
          </cell>
        </row>
        <row r="227">
          <cell r="D227">
            <v>1</v>
          </cell>
          <cell r="E227">
            <v>2</v>
          </cell>
          <cell r="F227">
            <v>1</v>
          </cell>
          <cell r="G227">
            <v>4</v>
          </cell>
          <cell r="H227">
            <v>6</v>
          </cell>
        </row>
        <row r="229">
          <cell r="D229">
            <v>1</v>
          </cell>
          <cell r="E229">
            <v>1</v>
          </cell>
          <cell r="F229">
            <v>2</v>
          </cell>
          <cell r="G229">
            <v>1</v>
          </cell>
          <cell r="H229">
            <v>7</v>
          </cell>
        </row>
        <row r="230">
          <cell r="D230">
            <v>1</v>
          </cell>
          <cell r="E230">
            <v>0</v>
          </cell>
          <cell r="F230">
            <v>2</v>
          </cell>
          <cell r="G230">
            <v>2</v>
          </cell>
          <cell r="H230">
            <v>4</v>
          </cell>
        </row>
        <row r="231">
          <cell r="D231">
            <v>1</v>
          </cell>
          <cell r="E231">
            <v>0</v>
          </cell>
          <cell r="F231">
            <v>2</v>
          </cell>
          <cell r="G231">
            <v>2</v>
          </cell>
          <cell r="H231">
            <v>9</v>
          </cell>
        </row>
        <row r="233">
          <cell r="D233">
            <v>0</v>
          </cell>
          <cell r="E233">
            <v>2</v>
          </cell>
          <cell r="F233">
            <v>2</v>
          </cell>
          <cell r="G233">
            <v>2</v>
          </cell>
          <cell r="H233">
            <v>8</v>
          </cell>
        </row>
      </sheetData>
      <sheetData sheetId="13">
        <row r="12">
          <cell r="AA12" t="str">
            <v>BRD</v>
          </cell>
        </row>
        <row r="226">
          <cell r="D226">
            <v>6</v>
          </cell>
          <cell r="E226">
            <v>1</v>
          </cell>
          <cell r="F226">
            <v>0</v>
          </cell>
          <cell r="G226">
            <v>19</v>
          </cell>
          <cell r="H226">
            <v>8</v>
          </cell>
        </row>
        <row r="227">
          <cell r="D227">
            <v>6</v>
          </cell>
          <cell r="E227">
            <v>0</v>
          </cell>
          <cell r="F227">
            <v>1</v>
          </cell>
          <cell r="G227">
            <v>13</v>
          </cell>
          <cell r="H227">
            <v>6</v>
          </cell>
        </row>
        <row r="228">
          <cell r="D228">
            <v>4</v>
          </cell>
          <cell r="E228">
            <v>1</v>
          </cell>
          <cell r="F228">
            <v>2</v>
          </cell>
          <cell r="G228">
            <v>12</v>
          </cell>
          <cell r="H228">
            <v>9</v>
          </cell>
        </row>
        <row r="229">
          <cell r="D229">
            <v>3</v>
          </cell>
          <cell r="E229">
            <v>2</v>
          </cell>
          <cell r="F229">
            <v>2</v>
          </cell>
          <cell r="G229">
            <v>11</v>
          </cell>
          <cell r="H229">
            <v>10</v>
          </cell>
        </row>
        <row r="232">
          <cell r="D232">
            <v>3</v>
          </cell>
          <cell r="E232">
            <v>0</v>
          </cell>
          <cell r="F232">
            <v>2</v>
          </cell>
          <cell r="G232">
            <v>10</v>
          </cell>
          <cell r="H232">
            <v>9</v>
          </cell>
        </row>
        <row r="234">
          <cell r="D234">
            <v>2</v>
          </cell>
          <cell r="E234">
            <v>1</v>
          </cell>
          <cell r="F234">
            <v>1</v>
          </cell>
          <cell r="G234">
            <v>6</v>
          </cell>
          <cell r="H234">
            <v>4</v>
          </cell>
        </row>
        <row r="236">
          <cell r="D236">
            <v>2</v>
          </cell>
          <cell r="E236">
            <v>0</v>
          </cell>
          <cell r="F236">
            <v>2</v>
          </cell>
          <cell r="G236">
            <v>6</v>
          </cell>
          <cell r="H236">
            <v>4</v>
          </cell>
        </row>
        <row r="240">
          <cell r="D240">
            <v>0</v>
          </cell>
          <cell r="E240">
            <v>3</v>
          </cell>
          <cell r="F240">
            <v>1</v>
          </cell>
          <cell r="G240">
            <v>3</v>
          </cell>
          <cell r="H240">
            <v>4</v>
          </cell>
        </row>
        <row r="241">
          <cell r="D241">
            <v>1</v>
          </cell>
          <cell r="E241">
            <v>1</v>
          </cell>
          <cell r="F241">
            <v>2</v>
          </cell>
          <cell r="G241">
            <v>2</v>
          </cell>
          <cell r="H241">
            <v>5</v>
          </cell>
        </row>
        <row r="242">
          <cell r="D242">
            <v>1</v>
          </cell>
          <cell r="E242">
            <v>0</v>
          </cell>
          <cell r="F242">
            <v>2</v>
          </cell>
          <cell r="G242">
            <v>4</v>
          </cell>
          <cell r="H242">
            <v>4</v>
          </cell>
        </row>
        <row r="246">
          <cell r="D246">
            <v>0</v>
          </cell>
          <cell r="E246">
            <v>0</v>
          </cell>
          <cell r="F246">
            <v>3</v>
          </cell>
          <cell r="G246">
            <v>3</v>
          </cell>
          <cell r="H246">
            <v>6</v>
          </cell>
        </row>
      </sheetData>
      <sheetData sheetId="14">
        <row r="12">
          <cell r="AA12" t="str">
            <v>Brasilien</v>
          </cell>
        </row>
        <row r="222">
          <cell r="D222">
            <v>4</v>
          </cell>
          <cell r="E222">
            <v>2</v>
          </cell>
          <cell r="F222">
            <v>1</v>
          </cell>
          <cell r="G222">
            <v>20</v>
          </cell>
          <cell r="H222">
            <v>12</v>
          </cell>
        </row>
        <row r="223">
          <cell r="D223">
            <v>4</v>
          </cell>
          <cell r="E223">
            <v>1</v>
          </cell>
          <cell r="F223">
            <v>2</v>
          </cell>
          <cell r="G223">
            <v>10</v>
          </cell>
          <cell r="H223">
            <v>8</v>
          </cell>
        </row>
        <row r="225">
          <cell r="D225">
            <v>3</v>
          </cell>
          <cell r="E225">
            <v>1</v>
          </cell>
          <cell r="F225">
            <v>1</v>
          </cell>
          <cell r="G225">
            <v>9</v>
          </cell>
          <cell r="H225">
            <v>7</v>
          </cell>
        </row>
        <row r="227">
          <cell r="D227">
            <v>3</v>
          </cell>
          <cell r="E227">
            <v>0</v>
          </cell>
          <cell r="F227">
            <v>2</v>
          </cell>
          <cell r="G227">
            <v>8</v>
          </cell>
          <cell r="H227">
            <v>6</v>
          </cell>
        </row>
        <row r="228">
          <cell r="D228">
            <v>2</v>
          </cell>
          <cell r="E228">
            <v>2</v>
          </cell>
          <cell r="F228">
            <v>1</v>
          </cell>
          <cell r="G228">
            <v>10</v>
          </cell>
          <cell r="H228">
            <v>6</v>
          </cell>
        </row>
        <row r="229">
          <cell r="D229">
            <v>2</v>
          </cell>
          <cell r="E229">
            <v>0</v>
          </cell>
          <cell r="F229">
            <v>2</v>
          </cell>
          <cell r="G229">
            <v>8</v>
          </cell>
          <cell r="H229">
            <v>6</v>
          </cell>
        </row>
        <row r="232">
          <cell r="D232">
            <v>2</v>
          </cell>
          <cell r="E232">
            <v>0</v>
          </cell>
          <cell r="F232">
            <v>2</v>
          </cell>
          <cell r="G232">
            <v>4</v>
          </cell>
          <cell r="H232">
            <v>4</v>
          </cell>
        </row>
        <row r="233">
          <cell r="D233">
            <v>1</v>
          </cell>
          <cell r="E233">
            <v>1</v>
          </cell>
          <cell r="F233">
            <v>2</v>
          </cell>
          <cell r="G233">
            <v>5</v>
          </cell>
          <cell r="H233">
            <v>7</v>
          </cell>
        </row>
        <row r="234">
          <cell r="D234">
            <v>1</v>
          </cell>
          <cell r="E234">
            <v>1</v>
          </cell>
          <cell r="F234">
            <v>2</v>
          </cell>
          <cell r="G234">
            <v>5</v>
          </cell>
          <cell r="H234">
            <v>7</v>
          </cell>
        </row>
      </sheetData>
      <sheetData sheetId="15">
        <row r="12">
          <cell r="AA12" t="str">
            <v>Frankreich</v>
          </cell>
        </row>
        <row r="247">
          <cell r="D247">
            <v>7</v>
          </cell>
          <cell r="E247">
            <v>0</v>
          </cell>
          <cell r="F247">
            <v>0</v>
          </cell>
          <cell r="G247">
            <v>19</v>
          </cell>
          <cell r="H247">
            <v>5</v>
          </cell>
        </row>
        <row r="250">
          <cell r="D250">
            <v>4</v>
          </cell>
          <cell r="E250">
            <v>0</v>
          </cell>
          <cell r="F250">
            <v>1</v>
          </cell>
          <cell r="G250">
            <v>14</v>
          </cell>
          <cell r="H250">
            <v>7</v>
          </cell>
        </row>
        <row r="251">
          <cell r="D251">
            <v>3</v>
          </cell>
          <cell r="E251">
            <v>2</v>
          </cell>
          <cell r="F251">
            <v>2</v>
          </cell>
          <cell r="G251">
            <v>15</v>
          </cell>
          <cell r="H251">
            <v>11</v>
          </cell>
        </row>
        <row r="252">
          <cell r="D252">
            <v>3</v>
          </cell>
          <cell r="E252">
            <v>1</v>
          </cell>
          <cell r="F252">
            <v>1</v>
          </cell>
          <cell r="G252">
            <v>11</v>
          </cell>
          <cell r="H252">
            <v>7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8</v>
          </cell>
          <cell r="H253">
            <v>6</v>
          </cell>
        </row>
        <row r="255">
          <cell r="D255">
            <v>2</v>
          </cell>
          <cell r="E255">
            <v>1</v>
          </cell>
          <cell r="F255">
            <v>1</v>
          </cell>
          <cell r="G255">
            <v>5</v>
          </cell>
          <cell r="H255">
            <v>4</v>
          </cell>
        </row>
        <row r="257">
          <cell r="D257">
            <v>2</v>
          </cell>
          <cell r="E257">
            <v>0</v>
          </cell>
          <cell r="F257">
            <v>2</v>
          </cell>
          <cell r="G257">
            <v>10</v>
          </cell>
          <cell r="H257">
            <v>8</v>
          </cell>
        </row>
        <row r="259">
          <cell r="D259">
            <v>1</v>
          </cell>
          <cell r="E259">
            <v>2</v>
          </cell>
          <cell r="F259">
            <v>1</v>
          </cell>
          <cell r="G259">
            <v>8</v>
          </cell>
          <cell r="H259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2</v>
          </cell>
        </row>
        <row r="262">
          <cell r="D262">
            <v>1</v>
          </cell>
          <cell r="E262">
            <v>1</v>
          </cell>
          <cell r="F262">
            <v>1</v>
          </cell>
          <cell r="G262">
            <v>8</v>
          </cell>
          <cell r="H262">
            <v>4</v>
          </cell>
        </row>
        <row r="264">
          <cell r="D264">
            <v>0</v>
          </cell>
          <cell r="E264">
            <v>3</v>
          </cell>
          <cell r="F264">
            <v>1</v>
          </cell>
          <cell r="G264">
            <v>5</v>
          </cell>
          <cell r="H264">
            <v>8</v>
          </cell>
        </row>
        <row r="265">
          <cell r="D265">
            <v>0</v>
          </cell>
          <cell r="E265">
            <v>3</v>
          </cell>
          <cell r="F265">
            <v>0</v>
          </cell>
          <cell r="G265">
            <v>3</v>
          </cell>
          <cell r="H265">
            <v>3</v>
          </cell>
        </row>
      </sheetData>
      <sheetData sheetId="16">
        <row r="12">
          <cell r="AA12" t="str">
            <v>Frankreich</v>
          </cell>
        </row>
        <row r="249">
          <cell r="D249">
            <v>5</v>
          </cell>
          <cell r="E249">
            <v>1</v>
          </cell>
          <cell r="F249">
            <v>1</v>
          </cell>
          <cell r="G249">
            <v>14</v>
          </cell>
          <cell r="H249">
            <v>3</v>
          </cell>
        </row>
        <row r="252">
          <cell r="D252">
            <v>4</v>
          </cell>
          <cell r="E252">
            <v>0</v>
          </cell>
          <cell r="F252">
            <v>1</v>
          </cell>
          <cell r="G252">
            <v>16</v>
          </cell>
          <cell r="H252">
            <v>12</v>
          </cell>
        </row>
        <row r="254">
          <cell r="D254">
            <v>2</v>
          </cell>
          <cell r="E254">
            <v>2</v>
          </cell>
          <cell r="F254">
            <v>1</v>
          </cell>
          <cell r="G254">
            <v>6</v>
          </cell>
          <cell r="H254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4</v>
          </cell>
          <cell r="H258">
            <v>4</v>
          </cell>
        </row>
        <row r="260">
          <cell r="D260">
            <v>1</v>
          </cell>
          <cell r="E260">
            <v>2</v>
          </cell>
          <cell r="F260">
            <v>1</v>
          </cell>
          <cell r="G260">
            <v>6</v>
          </cell>
          <cell r="H260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5</v>
          </cell>
          <cell r="H261">
            <v>5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6</v>
          </cell>
          <cell r="H262">
            <v>7</v>
          </cell>
        </row>
        <row r="264">
          <cell r="D264">
            <v>1</v>
          </cell>
          <cell r="E264">
            <v>1</v>
          </cell>
          <cell r="F264">
            <v>2</v>
          </cell>
          <cell r="G264">
            <v>5</v>
          </cell>
          <cell r="H264">
            <v>5</v>
          </cell>
        </row>
        <row r="266">
          <cell r="D266">
            <v>1</v>
          </cell>
          <cell r="E266">
            <v>1</v>
          </cell>
          <cell r="F266">
            <v>1</v>
          </cell>
          <cell r="G266">
            <v>2</v>
          </cell>
          <cell r="H266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6</v>
          </cell>
          <cell r="H268">
            <v>4</v>
          </cell>
        </row>
        <row r="270">
          <cell r="D270">
            <v>1</v>
          </cell>
          <cell r="E270">
            <v>0</v>
          </cell>
          <cell r="F270">
            <v>2</v>
          </cell>
          <cell r="G270">
            <v>3</v>
          </cell>
          <cell r="H270">
            <v>7</v>
          </cell>
        </row>
        <row r="273">
          <cell r="D273">
            <v>0</v>
          </cell>
          <cell r="E273">
            <v>2</v>
          </cell>
          <cell r="F273">
            <v>1</v>
          </cell>
          <cell r="G273">
            <v>4</v>
          </cell>
          <cell r="H273">
            <v>5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0</v>
          </cell>
          <cell r="H276">
            <v>3</v>
          </cell>
        </row>
      </sheetData>
      <sheetData sheetId="17">
        <row r="248">
          <cell r="D248">
            <v>6</v>
          </cell>
          <cell r="E248">
            <v>1</v>
          </cell>
          <cell r="F248">
            <v>0</v>
          </cell>
          <cell r="G248">
            <v>17</v>
          </cell>
          <cell r="H248">
            <v>5</v>
          </cell>
        </row>
        <row r="249">
          <cell r="D249">
            <v>6</v>
          </cell>
          <cell r="E249">
            <v>0</v>
          </cell>
          <cell r="F249">
            <v>1</v>
          </cell>
          <cell r="G249">
            <v>18</v>
          </cell>
          <cell r="H249">
            <v>8</v>
          </cell>
        </row>
        <row r="250">
          <cell r="D250">
            <v>5</v>
          </cell>
          <cell r="E250">
            <v>0</v>
          </cell>
          <cell r="F250">
            <v>2</v>
          </cell>
          <cell r="G250">
            <v>10</v>
          </cell>
          <cell r="H250">
            <v>6</v>
          </cell>
        </row>
        <row r="251">
          <cell r="D251">
            <v>4</v>
          </cell>
          <cell r="E251">
            <v>2</v>
          </cell>
          <cell r="F251">
            <v>1</v>
          </cell>
          <cell r="G251">
            <v>12</v>
          </cell>
          <cell r="H251">
            <v>8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13</v>
          </cell>
          <cell r="H253">
            <v>7</v>
          </cell>
        </row>
        <row r="254">
          <cell r="D254">
            <v>3</v>
          </cell>
          <cell r="E254">
            <v>1</v>
          </cell>
          <cell r="F254">
            <v>1</v>
          </cell>
          <cell r="G254">
            <v>7</v>
          </cell>
          <cell r="H254">
            <v>5</v>
          </cell>
        </row>
        <row r="255">
          <cell r="D255">
            <v>3</v>
          </cell>
          <cell r="E255">
            <v>0</v>
          </cell>
          <cell r="F255">
            <v>1</v>
          </cell>
          <cell r="G255">
            <v>9</v>
          </cell>
          <cell r="H255">
            <v>4</v>
          </cell>
        </row>
        <row r="257">
          <cell r="D257">
            <v>2</v>
          </cell>
          <cell r="E257">
            <v>1</v>
          </cell>
          <cell r="F257">
            <v>1</v>
          </cell>
          <cell r="G257">
            <v>4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3</v>
          </cell>
          <cell r="H258">
            <v>2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4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5</v>
          </cell>
          <cell r="H262">
            <v>5</v>
          </cell>
        </row>
        <row r="267">
          <cell r="D267">
            <v>1</v>
          </cell>
          <cell r="E267">
            <v>0</v>
          </cell>
          <cell r="F267">
            <v>2</v>
          </cell>
          <cell r="G267">
            <v>2</v>
          </cell>
          <cell r="H267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2</v>
          </cell>
          <cell r="H268">
            <v>4</v>
          </cell>
        </row>
      </sheetData>
      <sheetData sheetId="18">
        <row r="243">
          <cell r="D243">
            <v>6</v>
          </cell>
          <cell r="E243">
            <v>0</v>
          </cell>
          <cell r="F243">
            <v>1</v>
          </cell>
          <cell r="G243">
            <v>12</v>
          </cell>
          <cell r="H243">
            <v>6</v>
          </cell>
        </row>
        <row r="244">
          <cell r="D244">
            <v>6</v>
          </cell>
          <cell r="E244">
            <v>0</v>
          </cell>
          <cell r="F244">
            <v>1</v>
          </cell>
          <cell r="G244">
            <v>8</v>
          </cell>
          <cell r="H244">
            <v>2</v>
          </cell>
        </row>
        <row r="245">
          <cell r="D245">
            <v>5</v>
          </cell>
          <cell r="E245">
            <v>0</v>
          </cell>
          <cell r="F245">
            <v>2</v>
          </cell>
          <cell r="G245">
            <v>16</v>
          </cell>
          <cell r="H245">
            <v>5</v>
          </cell>
        </row>
        <row r="246">
          <cell r="D246">
            <v>4</v>
          </cell>
          <cell r="E246">
            <v>1</v>
          </cell>
          <cell r="F246">
            <v>2</v>
          </cell>
          <cell r="G246">
            <v>14</v>
          </cell>
          <cell r="H246">
            <v>9</v>
          </cell>
        </row>
        <row r="247">
          <cell r="D247">
            <v>4</v>
          </cell>
          <cell r="E247">
            <v>0</v>
          </cell>
          <cell r="F247">
            <v>1</v>
          </cell>
          <cell r="G247">
            <v>10</v>
          </cell>
          <cell r="H247">
            <v>6</v>
          </cell>
        </row>
        <row r="249">
          <cell r="D249">
            <v>2</v>
          </cell>
          <cell r="E249">
            <v>2</v>
          </cell>
          <cell r="F249">
            <v>1</v>
          </cell>
          <cell r="G249">
            <v>8</v>
          </cell>
          <cell r="H249">
            <v>5</v>
          </cell>
        </row>
        <row r="252">
          <cell r="D252">
            <v>2</v>
          </cell>
          <cell r="E252">
            <v>0</v>
          </cell>
          <cell r="F252">
            <v>2</v>
          </cell>
          <cell r="G252">
            <v>3</v>
          </cell>
          <cell r="H252">
            <v>5</v>
          </cell>
        </row>
        <row r="253">
          <cell r="D253">
            <v>1</v>
          </cell>
          <cell r="E253">
            <v>2</v>
          </cell>
          <cell r="F253">
            <v>1</v>
          </cell>
          <cell r="G253">
            <v>7</v>
          </cell>
          <cell r="H253">
            <v>1</v>
          </cell>
        </row>
        <row r="255">
          <cell r="D255">
            <v>1</v>
          </cell>
          <cell r="E255">
            <v>2</v>
          </cell>
          <cell r="F255">
            <v>1</v>
          </cell>
          <cell r="G255">
            <v>3</v>
          </cell>
          <cell r="H255">
            <v>5</v>
          </cell>
        </row>
        <row r="259">
          <cell r="D259">
            <v>1</v>
          </cell>
          <cell r="E259">
            <v>1</v>
          </cell>
          <cell r="F259">
            <v>2</v>
          </cell>
          <cell r="G259">
            <v>4</v>
          </cell>
          <cell r="H259">
            <v>5</v>
          </cell>
        </row>
        <row r="263">
          <cell r="D263">
            <v>1</v>
          </cell>
          <cell r="E263">
            <v>1</v>
          </cell>
          <cell r="F263">
            <v>1</v>
          </cell>
          <cell r="G263">
            <v>1</v>
          </cell>
          <cell r="H263">
            <v>1</v>
          </cell>
        </row>
        <row r="268">
          <cell r="D268">
            <v>0</v>
          </cell>
          <cell r="E268">
            <v>2</v>
          </cell>
          <cell r="F268">
            <v>1</v>
          </cell>
          <cell r="G268">
            <v>4</v>
          </cell>
          <cell r="H268">
            <v>5</v>
          </cell>
        </row>
        <row r="270">
          <cell r="D270">
            <v>0</v>
          </cell>
          <cell r="E270">
            <v>1</v>
          </cell>
          <cell r="F270">
            <v>2</v>
          </cell>
          <cell r="G270">
            <v>1</v>
          </cell>
          <cell r="H270">
            <v>4</v>
          </cell>
        </row>
      </sheetData>
      <sheetData sheetId="19">
        <row r="250">
          <cell r="D250">
            <v>6</v>
          </cell>
          <cell r="E250">
            <v>1</v>
          </cell>
          <cell r="F250">
            <v>0</v>
          </cell>
          <cell r="G250">
            <v>18</v>
          </cell>
          <cell r="H250">
            <v>4</v>
          </cell>
        </row>
        <row r="251">
          <cell r="D251">
            <v>6</v>
          </cell>
          <cell r="E251">
            <v>0</v>
          </cell>
          <cell r="F251">
            <v>1</v>
          </cell>
          <cell r="G251">
            <v>21</v>
          </cell>
          <cell r="H251">
            <v>11</v>
          </cell>
        </row>
        <row r="252">
          <cell r="D252">
            <v>6</v>
          </cell>
          <cell r="E252">
            <v>0</v>
          </cell>
          <cell r="F252">
            <v>1</v>
          </cell>
          <cell r="G252">
            <v>12</v>
          </cell>
          <cell r="H252">
            <v>6</v>
          </cell>
        </row>
        <row r="255">
          <cell r="D255">
            <v>4</v>
          </cell>
          <cell r="E255">
            <v>0</v>
          </cell>
          <cell r="F255">
            <v>1</v>
          </cell>
          <cell r="G255">
            <v>6</v>
          </cell>
          <cell r="H255">
            <v>3</v>
          </cell>
        </row>
        <row r="257">
          <cell r="D257">
            <v>3</v>
          </cell>
          <cell r="E257">
            <v>1</v>
          </cell>
          <cell r="F257">
            <v>1</v>
          </cell>
          <cell r="G257">
            <v>10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5</v>
          </cell>
          <cell r="H258">
            <v>3</v>
          </cell>
        </row>
        <row r="259">
          <cell r="D259">
            <v>2</v>
          </cell>
          <cell r="E259">
            <v>0</v>
          </cell>
          <cell r="F259">
            <v>2</v>
          </cell>
          <cell r="G259">
            <v>8</v>
          </cell>
          <cell r="H259">
            <v>7</v>
          </cell>
        </row>
        <row r="260">
          <cell r="D260">
            <v>2</v>
          </cell>
          <cell r="E260">
            <v>0</v>
          </cell>
          <cell r="F260">
            <v>2</v>
          </cell>
          <cell r="G260">
            <v>7</v>
          </cell>
          <cell r="H260">
            <v>7</v>
          </cell>
        </row>
        <row r="261">
          <cell r="D261">
            <v>2</v>
          </cell>
          <cell r="E261">
            <v>0</v>
          </cell>
          <cell r="F261">
            <v>2</v>
          </cell>
          <cell r="G261">
            <v>4</v>
          </cell>
          <cell r="H261">
            <v>6</v>
          </cell>
        </row>
        <row r="265">
          <cell r="D265">
            <v>1</v>
          </cell>
          <cell r="E265">
            <v>1</v>
          </cell>
          <cell r="F265">
            <v>1</v>
          </cell>
          <cell r="G265">
            <v>4</v>
          </cell>
          <cell r="H265">
            <v>7</v>
          </cell>
        </row>
        <row r="271">
          <cell r="D271">
            <v>1</v>
          </cell>
          <cell r="E271">
            <v>0</v>
          </cell>
          <cell r="F271">
            <v>2</v>
          </cell>
          <cell r="G271">
            <v>4</v>
          </cell>
          <cell r="H271">
            <v>7</v>
          </cell>
        </row>
        <row r="272">
          <cell r="D272">
            <v>1</v>
          </cell>
          <cell r="E272">
            <v>0</v>
          </cell>
          <cell r="F272">
            <v>2</v>
          </cell>
          <cell r="G272">
            <v>2</v>
          </cell>
          <cell r="H272">
            <v>3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2</v>
          </cell>
          <cell r="H276">
            <v>4</v>
          </cell>
        </row>
      </sheetData>
      <sheetData sheetId="20">
        <row r="262">
          <cell r="D262">
            <v>1</v>
          </cell>
          <cell r="E262">
            <v>2</v>
          </cell>
          <cell r="F262">
            <v>1</v>
          </cell>
          <cell r="G262">
            <v>6</v>
          </cell>
          <cell r="H262">
            <v>6</v>
          </cell>
        </row>
        <row r="264">
          <cell r="D264">
            <v>1</v>
          </cell>
          <cell r="E264">
            <v>2</v>
          </cell>
          <cell r="F264">
            <v>1</v>
          </cell>
          <cell r="G264">
            <v>5</v>
          </cell>
          <cell r="H264">
            <v>5</v>
          </cell>
        </row>
        <row r="275">
          <cell r="D275">
            <v>1</v>
          </cell>
          <cell r="E275">
            <v>0</v>
          </cell>
          <cell r="F275">
            <v>2</v>
          </cell>
          <cell r="G275">
            <v>2</v>
          </cell>
          <cell r="H275">
            <v>5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42"/>
  <sheetViews>
    <sheetView topLeftCell="A213" workbookViewId="0">
      <selection activeCell="M232" sqref="M232"/>
    </sheetView>
  </sheetViews>
  <sheetFormatPr baseColWidth="10" defaultRowHeight="14.4" x14ac:dyDescent="0.3"/>
  <cols>
    <col min="1" max="1" width="11.77734375" style="99" customWidth="1"/>
    <col min="2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86" t="s">
        <v>0</v>
      </c>
      <c r="B2" s="187"/>
      <c r="C2" s="187"/>
      <c r="D2" s="187"/>
      <c r="E2" s="187"/>
      <c r="F2" s="187"/>
      <c r="G2" s="187"/>
      <c r="H2" s="187"/>
      <c r="I2" s="187"/>
      <c r="J2" s="187"/>
      <c r="K2" s="188"/>
      <c r="S2" s="8"/>
      <c r="T2" s="9"/>
      <c r="U2" s="9"/>
      <c r="V2" s="9"/>
      <c r="W2" s="9"/>
      <c r="X2" s="9"/>
      <c r="Y2" s="10"/>
    </row>
    <row r="3" spans="1:27" x14ac:dyDescent="0.3">
      <c r="A3" s="11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89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88"/>
      <c r="S4" s="8"/>
      <c r="T4" s="9"/>
      <c r="U4" s="9"/>
      <c r="V4" s="9"/>
      <c r="W4" s="9"/>
      <c r="X4" s="9"/>
      <c r="Y4" s="10"/>
    </row>
    <row r="5" spans="1:27" ht="21" x14ac:dyDescent="0.4">
      <c r="A5" s="191" t="s">
        <v>2</v>
      </c>
      <c r="B5" s="192"/>
      <c r="C5" s="192"/>
      <c r="D5" s="192"/>
      <c r="E5" s="192"/>
      <c r="F5" s="192"/>
      <c r="G5" s="192"/>
      <c r="H5" s="192"/>
      <c r="I5" s="192"/>
      <c r="J5" s="192"/>
      <c r="K5" s="188"/>
      <c r="S5" s="8"/>
      <c r="T5" s="9"/>
      <c r="U5" s="9"/>
      <c r="V5" s="9"/>
      <c r="W5" s="9"/>
      <c r="X5" s="9"/>
      <c r="Y5" s="10"/>
    </row>
    <row r="6" spans="1:27" x14ac:dyDescent="0.3">
      <c r="A6" s="11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"/>
      <c r="B12" s="9"/>
      <c r="C12" s="16">
        <v>31563</v>
      </c>
      <c r="D12" s="17" t="s">
        <v>4</v>
      </c>
      <c r="E12" s="17" t="s">
        <v>5</v>
      </c>
      <c r="F12" s="17">
        <v>1</v>
      </c>
      <c r="G12" s="17">
        <v>1</v>
      </c>
      <c r="H12" s="9"/>
      <c r="I12" s="18" t="s">
        <v>6</v>
      </c>
      <c r="J12" s="12"/>
      <c r="K12" s="13"/>
      <c r="S12" s="8" t="s">
        <v>4</v>
      </c>
      <c r="T12" s="9" t="s">
        <v>5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7</v>
      </c>
    </row>
    <row r="13" spans="1:27" ht="15" thickBot="1" x14ac:dyDescent="0.35">
      <c r="A13" s="11"/>
      <c r="B13" s="9"/>
      <c r="C13" s="21"/>
      <c r="D13" s="22"/>
      <c r="E13" s="22"/>
      <c r="F13" s="22" t="s">
        <v>8</v>
      </c>
      <c r="G13" s="22" t="s">
        <v>9</v>
      </c>
      <c r="H13" s="23"/>
      <c r="I13" s="24"/>
      <c r="J13" s="12"/>
      <c r="K13" s="13"/>
      <c r="S13" s="8" t="s">
        <v>7</v>
      </c>
      <c r="T13" s="9" t="s">
        <v>10</v>
      </c>
      <c r="U13" s="9">
        <v>3</v>
      </c>
      <c r="V13" s="9">
        <v>1</v>
      </c>
      <c r="W13" s="9"/>
      <c r="X13" s="19">
        <f t="shared" si="0"/>
        <v>3</v>
      </c>
      <c r="Y13" s="20">
        <f t="shared" si="1"/>
        <v>2</v>
      </c>
      <c r="AA13" t="s">
        <v>11</v>
      </c>
    </row>
    <row r="14" spans="1:27" x14ac:dyDescent="0.3">
      <c r="A14" s="11"/>
      <c r="B14" s="9"/>
      <c r="C14" s="16">
        <v>31565</v>
      </c>
      <c r="D14" s="25" t="s">
        <v>7</v>
      </c>
      <c r="E14" s="17" t="s">
        <v>10</v>
      </c>
      <c r="F14" s="25">
        <v>3</v>
      </c>
      <c r="G14" s="17">
        <v>1</v>
      </c>
      <c r="H14" s="9"/>
      <c r="I14" s="26" t="s">
        <v>12</v>
      </c>
      <c r="J14" s="12"/>
      <c r="K14" s="13"/>
      <c r="S14" s="8" t="s">
        <v>5</v>
      </c>
      <c r="T14" s="9" t="s">
        <v>7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</v>
      </c>
    </row>
    <row r="15" spans="1:27" ht="15" thickBot="1" x14ac:dyDescent="0.35">
      <c r="A15" s="11"/>
      <c r="B15" s="9"/>
      <c r="C15" s="21"/>
      <c r="D15" s="22"/>
      <c r="E15" s="22"/>
      <c r="F15" s="22" t="s">
        <v>14</v>
      </c>
      <c r="G15" s="22" t="s">
        <v>15</v>
      </c>
      <c r="H15" s="23"/>
      <c r="I15" s="27"/>
      <c r="J15" s="12"/>
      <c r="K15" s="13"/>
      <c r="S15" s="8" t="s">
        <v>10</v>
      </c>
      <c r="T15" s="9" t="s">
        <v>4</v>
      </c>
      <c r="U15" s="9">
        <v>1</v>
      </c>
      <c r="V15" s="9">
        <v>1</v>
      </c>
      <c r="W15" s="9"/>
      <c r="X15" s="19">
        <f t="shared" si="0"/>
        <v>1</v>
      </c>
      <c r="Y15" s="20">
        <f t="shared" si="1"/>
        <v>1</v>
      </c>
      <c r="AA15" t="s">
        <v>16</v>
      </c>
    </row>
    <row r="16" spans="1:27" x14ac:dyDescent="0.3">
      <c r="A16" s="11"/>
      <c r="B16" s="9"/>
      <c r="C16" s="16">
        <v>31568</v>
      </c>
      <c r="D16" s="17" t="s">
        <v>5</v>
      </c>
      <c r="E16" s="17" t="s">
        <v>7</v>
      </c>
      <c r="F16" s="17">
        <v>1</v>
      </c>
      <c r="G16" s="17">
        <v>1</v>
      </c>
      <c r="H16" s="9"/>
      <c r="I16" s="12" t="s">
        <v>17</v>
      </c>
      <c r="J16" s="12"/>
      <c r="K16" s="13"/>
      <c r="S16" s="8" t="s">
        <v>10</v>
      </c>
      <c r="T16" s="9" t="s">
        <v>5</v>
      </c>
      <c r="U16" s="9">
        <v>2</v>
      </c>
      <c r="V16" s="9">
        <v>3</v>
      </c>
      <c r="W16" s="9"/>
      <c r="X16" s="19">
        <f t="shared" si="0"/>
        <v>2</v>
      </c>
      <c r="Y16" s="20">
        <f t="shared" si="1"/>
        <v>3</v>
      </c>
      <c r="AA16" t="s">
        <v>18</v>
      </c>
    </row>
    <row r="17" spans="1:27" ht="15" thickBot="1" x14ac:dyDescent="0.35">
      <c r="A17" s="11"/>
      <c r="B17" s="9"/>
      <c r="C17" s="21"/>
      <c r="D17" s="22"/>
      <c r="E17" s="22"/>
      <c r="F17" s="22" t="s">
        <v>19</v>
      </c>
      <c r="G17" s="22" t="s">
        <v>9</v>
      </c>
      <c r="H17" s="23"/>
      <c r="I17" s="28"/>
      <c r="J17" s="12"/>
      <c r="K17" s="13"/>
      <c r="S17" s="8" t="s">
        <v>7</v>
      </c>
      <c r="T17" s="9" t="s">
        <v>4</v>
      </c>
      <c r="U17" s="9">
        <v>2</v>
      </c>
      <c r="V17" s="9">
        <v>0</v>
      </c>
      <c r="W17" s="9"/>
      <c r="X17" s="19">
        <f t="shared" si="0"/>
        <v>3</v>
      </c>
      <c r="Y17" s="20">
        <f t="shared" si="1"/>
        <v>2</v>
      </c>
      <c r="AA17" t="s">
        <v>20</v>
      </c>
    </row>
    <row r="18" spans="1:27" x14ac:dyDescent="0.3">
      <c r="A18" s="11"/>
      <c r="B18" s="9"/>
      <c r="C18" s="16">
        <v>31568</v>
      </c>
      <c r="D18" s="17" t="s">
        <v>10</v>
      </c>
      <c r="E18" s="17" t="s">
        <v>4</v>
      </c>
      <c r="F18" s="17">
        <v>1</v>
      </c>
      <c r="G18" s="17">
        <v>1</v>
      </c>
      <c r="H18" s="9"/>
      <c r="I18" s="26" t="s">
        <v>12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21</v>
      </c>
    </row>
    <row r="19" spans="1:27" ht="15" thickBot="1" x14ac:dyDescent="0.35">
      <c r="A19" s="11"/>
      <c r="B19" s="9"/>
      <c r="C19" s="21"/>
      <c r="D19" s="22"/>
      <c r="E19" s="22"/>
      <c r="F19" s="22" t="s">
        <v>8</v>
      </c>
      <c r="G19" s="22" t="s">
        <v>9</v>
      </c>
      <c r="H19" s="23"/>
      <c r="I19" s="27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"/>
      <c r="B20" s="9"/>
      <c r="C20" s="16">
        <v>31573</v>
      </c>
      <c r="D20" s="17" t="s">
        <v>10</v>
      </c>
      <c r="E20" s="25" t="s">
        <v>5</v>
      </c>
      <c r="F20" s="17">
        <v>2</v>
      </c>
      <c r="G20" s="25">
        <v>3</v>
      </c>
      <c r="H20" s="9"/>
      <c r="I20" s="12" t="s">
        <v>17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23</v>
      </c>
    </row>
    <row r="21" spans="1:27" ht="15" thickBot="1" x14ac:dyDescent="0.35">
      <c r="A21" s="11"/>
      <c r="B21" s="9"/>
      <c r="C21" s="21"/>
      <c r="D21" s="22"/>
      <c r="E21" s="22"/>
      <c r="F21" s="22" t="s">
        <v>8</v>
      </c>
      <c r="G21" s="22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24</v>
      </c>
    </row>
    <row r="22" spans="1:27" x14ac:dyDescent="0.3">
      <c r="A22" s="11"/>
      <c r="B22" s="9"/>
      <c r="C22" s="16">
        <v>31573</v>
      </c>
      <c r="D22" s="25" t="s">
        <v>7</v>
      </c>
      <c r="E22" s="17" t="s">
        <v>4</v>
      </c>
      <c r="F22" s="25">
        <v>2</v>
      </c>
      <c r="G22" s="17">
        <v>0</v>
      </c>
      <c r="H22" s="9"/>
      <c r="I22" s="26" t="s">
        <v>12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5</v>
      </c>
    </row>
    <row r="23" spans="1:27" x14ac:dyDescent="0.3">
      <c r="A23" s="29"/>
      <c r="B23" s="17"/>
      <c r="C23" s="17"/>
      <c r="D23" s="17"/>
      <c r="E23" s="17"/>
      <c r="F23" s="9" t="s">
        <v>19</v>
      </c>
      <c r="G23" s="12" t="s">
        <v>15</v>
      </c>
      <c r="H23" s="12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25</v>
      </c>
    </row>
    <row r="24" spans="1:27" x14ac:dyDescent="0.3">
      <c r="A24" s="29"/>
      <c r="B24" s="17"/>
      <c r="C24" s="17"/>
      <c r="D24" s="17"/>
      <c r="E24" s="17"/>
      <c r="F24" s="9"/>
      <c r="G24" s="12"/>
      <c r="H24" s="12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26</v>
      </c>
    </row>
    <row r="25" spans="1:27" ht="15" thickBot="1" x14ac:dyDescent="0.35">
      <c r="A25" s="11"/>
      <c r="B25" s="17"/>
      <c r="C25" s="17" t="s">
        <v>27</v>
      </c>
      <c r="D25" s="17" t="s">
        <v>28</v>
      </c>
      <c r="E25" s="17" t="s">
        <v>29</v>
      </c>
      <c r="F25" s="9" t="s">
        <v>30</v>
      </c>
      <c r="G25" s="12" t="s">
        <v>31</v>
      </c>
      <c r="H25" s="12" t="s">
        <v>32</v>
      </c>
      <c r="I25" s="12" t="s">
        <v>33</v>
      </c>
      <c r="J25" s="12" t="s">
        <v>34</v>
      </c>
      <c r="K25" s="13"/>
      <c r="S25" s="8"/>
      <c r="T25" s="9"/>
      <c r="U25" s="9"/>
      <c r="V25" s="9"/>
      <c r="W25" s="9"/>
      <c r="X25" s="9"/>
      <c r="Y25" s="10"/>
      <c r="AA25" t="s">
        <v>35</v>
      </c>
    </row>
    <row r="26" spans="1:27" s="35" customFormat="1" x14ac:dyDescent="0.3">
      <c r="A26" s="11"/>
      <c r="B26" s="30" t="s">
        <v>7</v>
      </c>
      <c r="C26" s="31">
        <f>COUNTIF($S$12:$T$17,"Argentinien")</f>
        <v>3</v>
      </c>
      <c r="D26" s="32">
        <f>SUMPRODUCT(($S$12:$T$17=B26)*($X$12:$Y$17=3))</f>
        <v>2</v>
      </c>
      <c r="E26" s="32">
        <f>SUMPRODUCT(($S$12:$T$17=B26)*($X$12:$Y$17=1))</f>
        <v>1</v>
      </c>
      <c r="F26" s="32">
        <f>SUMPRODUCT(($S$12:$T$17=B26)*($X$12:$Y$17=2))</f>
        <v>0</v>
      </c>
      <c r="G26" s="32">
        <f>SUMPRODUCT(($S$12:$S$17=B26)*($U$12:$U$17))+SUMPRODUCT(($T$12:$T$17=B26)*($V$12:$V$17))</f>
        <v>6</v>
      </c>
      <c r="H26" s="32">
        <f>SUMPRODUCT(($S$12:$S$17=B26)*($V$12:$V$17))+SUMPRODUCT(($T$12:$T$17=B26)*($U$12:$U$17))</f>
        <v>2</v>
      </c>
      <c r="I26" s="33">
        <f>(D26*2)+E26</f>
        <v>5</v>
      </c>
      <c r="J26" s="34">
        <f>(F26*2)+E26</f>
        <v>1</v>
      </c>
      <c r="K26" s="13"/>
      <c r="L26"/>
      <c r="M26"/>
      <c r="N26"/>
      <c r="O26"/>
      <c r="P26"/>
      <c r="Q26"/>
      <c r="R26"/>
      <c r="S26" s="8"/>
      <c r="T26" s="9"/>
      <c r="U26" s="9"/>
      <c r="V26" s="9"/>
      <c r="W26" s="9"/>
      <c r="X26" s="9"/>
      <c r="Y26" s="10"/>
      <c r="Z26"/>
      <c r="AA26" s="35" t="s">
        <v>36</v>
      </c>
    </row>
    <row r="27" spans="1:27" x14ac:dyDescent="0.3">
      <c r="A27" s="11"/>
      <c r="B27" s="36" t="s">
        <v>5</v>
      </c>
      <c r="C27" s="9">
        <f>COUNTIF($S$12:$T$17,"Italien")</f>
        <v>3</v>
      </c>
      <c r="D27" s="37">
        <f>SUMPRODUCT(($S$12:$T$17=B27)*($X$12:$Y$17=3))</f>
        <v>1</v>
      </c>
      <c r="E27" s="37">
        <f>SUMPRODUCT(($S$12:$T$17=B27)*($X$12:$Y$17=1))</f>
        <v>2</v>
      </c>
      <c r="F27" s="37">
        <f>SUMPRODUCT(($S$12:$T$17=B27)*($X$12:$Y$17=2))</f>
        <v>0</v>
      </c>
      <c r="G27" s="37">
        <f>SUMPRODUCT(($S$12:$S$17=B27)*($U$12:$U$17))+SUMPRODUCT(($T$12:$T$17=B27)*($V$12:$V$17))</f>
        <v>5</v>
      </c>
      <c r="H27" s="37">
        <f>SUMPRODUCT(($S$12:$S$17=B27)*($V$12:$V$17))+SUMPRODUCT(($T$12:$T$17=B27)*($U$12:$U$17))</f>
        <v>4</v>
      </c>
      <c r="I27" s="38">
        <f>(D27*2)+E27</f>
        <v>4</v>
      </c>
      <c r="J27" s="39">
        <f>(F27*2)+E27</f>
        <v>2</v>
      </c>
      <c r="K27" s="13"/>
      <c r="S27" s="8"/>
      <c r="T27" s="9"/>
      <c r="U27" s="9"/>
      <c r="V27" s="9"/>
      <c r="W27" s="9"/>
      <c r="X27" s="9"/>
      <c r="Y27" s="10"/>
      <c r="AA27" t="s">
        <v>37</v>
      </c>
    </row>
    <row r="28" spans="1:27" x14ac:dyDescent="0.3">
      <c r="A28" s="11"/>
      <c r="B28" s="36" t="s">
        <v>4</v>
      </c>
      <c r="C28" s="9">
        <f>COUNTIF($S$12:$T$17,"Bulgarien")</f>
        <v>3</v>
      </c>
      <c r="D28" s="37">
        <f>SUMPRODUCT(($S$12:$T$17=B28)*($X$12:$Y$17=3))</f>
        <v>0</v>
      </c>
      <c r="E28" s="37">
        <f>SUMPRODUCT(($S$12:$T$17=B28)*($X$12:$Y$17=1))</f>
        <v>2</v>
      </c>
      <c r="F28" s="37">
        <f>SUMPRODUCT(($S$12:$T$17=B28)*($X$12:$Y$17=2))</f>
        <v>1</v>
      </c>
      <c r="G28" s="37">
        <f>SUMPRODUCT(($S$12:$S$17=B28)*($U$12:$U$17))+SUMPRODUCT(($T$12:$T$17=B28)*($V$12:$V$17))</f>
        <v>2</v>
      </c>
      <c r="H28" s="37">
        <f>SUMPRODUCT(($S$12:$S$17=B28)*($V$12:$V$17))+SUMPRODUCT(($T$12:$T$17=B28)*($U$12:$U$17))</f>
        <v>4</v>
      </c>
      <c r="I28" s="38">
        <f>(D28*2)+E28</f>
        <v>2</v>
      </c>
      <c r="J28" s="39">
        <f>(F28*2)+E28</f>
        <v>4</v>
      </c>
      <c r="K28" s="40"/>
      <c r="L28" s="35"/>
      <c r="M28" s="35"/>
      <c r="N28" s="35"/>
      <c r="O28" s="35"/>
      <c r="P28" s="35"/>
      <c r="Q28" s="35"/>
      <c r="R28" s="35"/>
      <c r="S28" s="8"/>
      <c r="T28" s="9"/>
      <c r="U28" s="9"/>
      <c r="V28" s="9"/>
      <c r="W28" s="9"/>
      <c r="X28" s="19"/>
      <c r="Y28" s="20"/>
      <c r="Z28" s="35"/>
      <c r="AA28" t="s">
        <v>4</v>
      </c>
    </row>
    <row r="29" spans="1:27" ht="15" thickBot="1" x14ac:dyDescent="0.35">
      <c r="A29" s="11"/>
      <c r="B29" s="41" t="s">
        <v>10</v>
      </c>
      <c r="C29" s="23">
        <f>COUNTIF($S$12:$T$17,"Südkorea")</f>
        <v>3</v>
      </c>
      <c r="D29" s="42">
        <f>SUMPRODUCT(($S$12:$T$17=B29)*($X$12:$Y$17=3))</f>
        <v>0</v>
      </c>
      <c r="E29" s="42">
        <f>SUMPRODUCT(($S$12:$T$17=B29)*($X$12:$Y$17=1))</f>
        <v>1</v>
      </c>
      <c r="F29" s="42">
        <f>SUMPRODUCT(($S$12:$T$17=B29)*($X$12:$Y$17=2))</f>
        <v>2</v>
      </c>
      <c r="G29" s="42">
        <f>SUMPRODUCT(($S$12:$S$17=B29)*($U$12:$U$17))+SUMPRODUCT(($T$12:$T$17=B29)*($V$12:$V$17))</f>
        <v>4</v>
      </c>
      <c r="H29" s="42">
        <f>SUMPRODUCT(($S$12:$S$17=B29)*($V$12:$V$17))+SUMPRODUCT(($T$12:$T$17=B29)*($U$12:$U$17))</f>
        <v>7</v>
      </c>
      <c r="I29" s="43">
        <f>(D29*2)+E29</f>
        <v>1</v>
      </c>
      <c r="J29" s="44">
        <f>(F29*2)+E29</f>
        <v>5</v>
      </c>
      <c r="K29" s="13"/>
      <c r="S29" s="8"/>
      <c r="T29" s="9"/>
      <c r="U29" s="9"/>
      <c r="V29" s="9"/>
      <c r="W29" s="9"/>
      <c r="X29" s="19"/>
      <c r="Y29" s="20"/>
      <c r="AA29" t="s">
        <v>38</v>
      </c>
    </row>
    <row r="30" spans="1:27" ht="15" thickBot="1" x14ac:dyDescent="0.35">
      <c r="A30" s="11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19"/>
      <c r="Y30" s="20"/>
      <c r="AA30" t="s">
        <v>10</v>
      </c>
    </row>
    <row r="31" spans="1:27" ht="15" thickTop="1" x14ac:dyDescent="0.3">
      <c r="A31" s="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39</v>
      </c>
    </row>
    <row r="32" spans="1:27" ht="21" x14ac:dyDescent="0.4">
      <c r="A32" s="11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41</v>
      </c>
    </row>
    <row r="33" spans="1:27" x14ac:dyDescent="0.3">
      <c r="A33" s="11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42</v>
      </c>
    </row>
    <row r="34" spans="1:27" x14ac:dyDescent="0.3">
      <c r="A34" s="11"/>
      <c r="B34" s="9"/>
      <c r="C34" s="16">
        <v>31566</v>
      </c>
      <c r="D34" s="9" t="s">
        <v>20</v>
      </c>
      <c r="E34" s="15" t="s">
        <v>18</v>
      </c>
      <c r="F34" s="9">
        <v>1</v>
      </c>
      <c r="G34" s="15">
        <v>2</v>
      </c>
      <c r="H34" s="9"/>
      <c r="I34" s="48" t="s">
        <v>6</v>
      </c>
      <c r="J34" s="12"/>
      <c r="K34" s="13"/>
      <c r="S34" s="8" t="s">
        <v>20</v>
      </c>
      <c r="T34" s="9" t="s">
        <v>18</v>
      </c>
      <c r="U34" s="9">
        <v>1</v>
      </c>
      <c r="V34" s="9">
        <v>2</v>
      </c>
      <c r="X34" s="19">
        <f t="shared" ref="X34:X38" si="2">(IF(U34&gt;V34,3,IF(U34=V34,1,2)))</f>
        <v>2</v>
      </c>
      <c r="Y34" s="20">
        <f t="shared" ref="Y34:Y38" si="3">(IF(V34&gt;U34,3,IF(U34=V34,1,2)))</f>
        <v>3</v>
      </c>
      <c r="AA34" t="s">
        <v>43</v>
      </c>
    </row>
    <row r="35" spans="1:27" ht="15" thickBot="1" x14ac:dyDescent="0.35">
      <c r="A35" s="11"/>
      <c r="B35" s="9"/>
      <c r="C35" s="21"/>
      <c r="D35" s="23"/>
      <c r="E35" s="23"/>
      <c r="F35" s="23" t="s">
        <v>19</v>
      </c>
      <c r="G35" s="23" t="s">
        <v>44</v>
      </c>
      <c r="H35" s="23"/>
      <c r="I35" s="49"/>
      <c r="J35" s="12"/>
      <c r="K35" s="13"/>
      <c r="S35" s="8" t="s">
        <v>25</v>
      </c>
      <c r="T35" s="9" t="s">
        <v>43</v>
      </c>
      <c r="U35" s="9">
        <v>1</v>
      </c>
      <c r="V35" s="9">
        <v>0</v>
      </c>
      <c r="X35" s="19">
        <f t="shared" si="2"/>
        <v>3</v>
      </c>
      <c r="Y35" s="20">
        <f t="shared" si="3"/>
        <v>2</v>
      </c>
      <c r="AA35" t="s">
        <v>45</v>
      </c>
    </row>
    <row r="36" spans="1:27" x14ac:dyDescent="0.3">
      <c r="A36" s="11"/>
      <c r="B36" s="9"/>
      <c r="C36" s="16">
        <v>31567</v>
      </c>
      <c r="D36" s="15" t="s">
        <v>25</v>
      </c>
      <c r="E36" s="9" t="s">
        <v>43</v>
      </c>
      <c r="F36" s="15">
        <v>1</v>
      </c>
      <c r="G36" s="9">
        <v>0</v>
      </c>
      <c r="H36" s="9"/>
      <c r="I36" s="12" t="s">
        <v>46</v>
      </c>
      <c r="J36" s="12"/>
      <c r="K36" s="13"/>
      <c r="S36" s="8" t="s">
        <v>18</v>
      </c>
      <c r="T36" s="9" t="s">
        <v>25</v>
      </c>
      <c r="U36" s="9">
        <v>1</v>
      </c>
      <c r="V36" s="9">
        <v>1</v>
      </c>
      <c r="X36" s="19">
        <f t="shared" si="2"/>
        <v>1</v>
      </c>
      <c r="Y36" s="20">
        <f t="shared" si="3"/>
        <v>1</v>
      </c>
    </row>
    <row r="37" spans="1:27" ht="15" thickBot="1" x14ac:dyDescent="0.35">
      <c r="A37" s="11"/>
      <c r="B37" s="9"/>
      <c r="C37" s="21"/>
      <c r="D37" s="23"/>
      <c r="E37" s="23"/>
      <c r="F37" s="23" t="s">
        <v>19</v>
      </c>
      <c r="G37" s="23" t="s">
        <v>15</v>
      </c>
      <c r="H37" s="23"/>
      <c r="I37" s="28"/>
      <c r="J37" s="12"/>
      <c r="K37" s="13"/>
      <c r="S37" s="8" t="s">
        <v>43</v>
      </c>
      <c r="T37" s="9" t="s">
        <v>20</v>
      </c>
      <c r="U37" s="9">
        <v>1</v>
      </c>
      <c r="V37" s="9">
        <v>2</v>
      </c>
      <c r="X37" s="19">
        <f t="shared" si="2"/>
        <v>2</v>
      </c>
      <c r="Y37" s="20">
        <f t="shared" si="3"/>
        <v>3</v>
      </c>
    </row>
    <row r="38" spans="1:27" x14ac:dyDescent="0.3">
      <c r="A38" s="11"/>
      <c r="B38" s="9"/>
      <c r="C38" s="16">
        <v>31570</v>
      </c>
      <c r="D38" s="9" t="s">
        <v>18</v>
      </c>
      <c r="E38" s="9" t="s">
        <v>25</v>
      </c>
      <c r="F38" s="9">
        <v>1</v>
      </c>
      <c r="G38" s="9">
        <v>1</v>
      </c>
      <c r="H38" s="9"/>
      <c r="I38" s="48" t="s">
        <v>6</v>
      </c>
      <c r="J38" s="12"/>
      <c r="K38" s="13"/>
      <c r="S38" s="8" t="s">
        <v>43</v>
      </c>
      <c r="T38" s="9" t="s">
        <v>18</v>
      </c>
      <c r="U38" s="9">
        <v>0</v>
      </c>
      <c r="V38" s="9">
        <v>1</v>
      </c>
      <c r="X38" s="19">
        <f t="shared" si="2"/>
        <v>2</v>
      </c>
      <c r="Y38" s="20">
        <f t="shared" si="3"/>
        <v>3</v>
      </c>
    </row>
    <row r="39" spans="1:27" ht="15" thickBot="1" x14ac:dyDescent="0.35">
      <c r="A39" s="11"/>
      <c r="B39" s="9"/>
      <c r="C39" s="21"/>
      <c r="D39" s="23"/>
      <c r="E39" s="23"/>
      <c r="F39" s="23" t="s">
        <v>19</v>
      </c>
      <c r="G39" s="23" t="s">
        <v>15</v>
      </c>
      <c r="H39" s="23"/>
      <c r="I39" s="49"/>
      <c r="J39" s="12"/>
      <c r="K39" s="13"/>
      <c r="S39" s="8" t="s">
        <v>25</v>
      </c>
      <c r="T39" s="9" t="s">
        <v>20</v>
      </c>
      <c r="U39" s="9">
        <v>2</v>
      </c>
      <c r="V39" s="9">
        <v>2</v>
      </c>
      <c r="W39" s="9"/>
      <c r="X39" s="19">
        <f>(IF(U39&gt;V39,3,IF(U39=V39,1,2)))</f>
        <v>1</v>
      </c>
      <c r="Y39" s="20">
        <f>(IF(V39&gt;U39,3,IF(U39=V39,1,2)))</f>
        <v>1</v>
      </c>
    </row>
    <row r="40" spans="1:27" x14ac:dyDescent="0.3">
      <c r="A40" s="11"/>
      <c r="B40" s="9"/>
      <c r="C40" s="16">
        <v>31571</v>
      </c>
      <c r="D40" s="9" t="s">
        <v>43</v>
      </c>
      <c r="E40" s="15" t="s">
        <v>20</v>
      </c>
      <c r="F40" s="9">
        <v>1</v>
      </c>
      <c r="G40" s="15">
        <v>2</v>
      </c>
      <c r="H40" s="9"/>
      <c r="I40" s="12" t="s">
        <v>46</v>
      </c>
      <c r="J40" s="12"/>
      <c r="K40" s="13"/>
      <c r="S40" s="8"/>
      <c r="T40" s="9"/>
      <c r="U40" s="9"/>
      <c r="V40" s="9"/>
      <c r="W40" s="9"/>
      <c r="X40" s="9"/>
      <c r="Y40" s="10"/>
    </row>
    <row r="41" spans="1:27" ht="15" thickBot="1" x14ac:dyDescent="0.35">
      <c r="A41" s="11"/>
      <c r="B41" s="9"/>
      <c r="C41" s="21"/>
      <c r="D41" s="23"/>
      <c r="E41" s="23"/>
      <c r="F41" s="23" t="s">
        <v>8</v>
      </c>
      <c r="G41" s="23" t="s">
        <v>44</v>
      </c>
      <c r="H41" s="23"/>
      <c r="I41" s="28"/>
      <c r="J41" s="12"/>
      <c r="K41" s="13"/>
      <c r="S41" s="8"/>
      <c r="T41" s="9"/>
      <c r="U41" s="9"/>
      <c r="V41" s="9"/>
      <c r="W41" s="9"/>
      <c r="X41" s="19"/>
      <c r="Y41" s="20"/>
    </row>
    <row r="42" spans="1:27" x14ac:dyDescent="0.3">
      <c r="A42" s="11"/>
      <c r="B42" s="9"/>
      <c r="C42" s="16">
        <v>31574</v>
      </c>
      <c r="D42" s="17" t="s">
        <v>43</v>
      </c>
      <c r="E42" s="25" t="s">
        <v>18</v>
      </c>
      <c r="F42" s="17">
        <v>0</v>
      </c>
      <c r="G42" s="25">
        <v>1</v>
      </c>
      <c r="H42" s="17"/>
      <c r="I42" s="48" t="s">
        <v>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"/>
      <c r="B43" s="9"/>
      <c r="C43" s="21"/>
      <c r="D43" s="22"/>
      <c r="E43" s="22"/>
      <c r="F43" s="22" t="s">
        <v>8</v>
      </c>
      <c r="G43" s="22" t="s">
        <v>15</v>
      </c>
      <c r="H43" s="22"/>
      <c r="I43" s="49"/>
      <c r="J43" s="12"/>
      <c r="K43" s="13"/>
      <c r="S43" s="8"/>
      <c r="T43" s="9"/>
      <c r="U43" s="9"/>
      <c r="V43" s="9"/>
      <c r="X43" s="19"/>
      <c r="Y43" s="20"/>
    </row>
    <row r="44" spans="1:27" x14ac:dyDescent="0.3">
      <c r="A44" s="11"/>
      <c r="B44" s="9"/>
      <c r="C44" s="16">
        <v>31574</v>
      </c>
      <c r="D44" s="17" t="s">
        <v>25</v>
      </c>
      <c r="E44" s="17" t="s">
        <v>20</v>
      </c>
      <c r="F44" s="17">
        <v>2</v>
      </c>
      <c r="G44" s="17">
        <v>2</v>
      </c>
      <c r="H44" s="17"/>
      <c r="I44" s="12" t="s">
        <v>46</v>
      </c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29"/>
      <c r="B45" s="17"/>
      <c r="C45" s="17"/>
      <c r="D45" s="17"/>
      <c r="E45" s="17"/>
      <c r="F45" s="17" t="s">
        <v>8</v>
      </c>
      <c r="G45" s="38" t="s">
        <v>9</v>
      </c>
      <c r="H45" s="12"/>
      <c r="I45" s="12"/>
      <c r="J45" s="12"/>
      <c r="K45" s="13"/>
      <c r="S45" s="8"/>
      <c r="T45" s="9"/>
      <c r="U45" s="9"/>
      <c r="V45" s="9"/>
      <c r="X45" s="19"/>
      <c r="Y45" s="20"/>
    </row>
    <row r="46" spans="1:27" x14ac:dyDescent="0.3">
      <c r="A46" s="29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X46" s="19"/>
      <c r="Y46" s="20"/>
    </row>
    <row r="47" spans="1:27" ht="15" thickBot="1" x14ac:dyDescent="0.35">
      <c r="A47" s="11"/>
      <c r="B47" s="9"/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33</v>
      </c>
      <c r="J47" s="12" t="s">
        <v>34</v>
      </c>
      <c r="K47" s="13"/>
      <c r="S47" s="8"/>
      <c r="T47" s="9"/>
      <c r="U47" s="9"/>
      <c r="V47" s="9"/>
      <c r="X47" s="19"/>
      <c r="Y47" s="20"/>
    </row>
    <row r="48" spans="1:27" x14ac:dyDescent="0.3">
      <c r="A48" s="11"/>
      <c r="B48" s="30" t="s">
        <v>18</v>
      </c>
      <c r="C48" s="31">
        <f>COUNTIF($S$34:$T$39,"Mexiko")</f>
        <v>3</v>
      </c>
      <c r="D48" s="32">
        <f>SUMPRODUCT(($S$34:$T$39=B48)*($X$34:$Y$39=3))</f>
        <v>2</v>
      </c>
      <c r="E48" s="32">
        <f>SUMPRODUCT(($S$34:$T$39=B48)*($X$34:$Y$39=1))</f>
        <v>1</v>
      </c>
      <c r="F48" s="32">
        <f>SUMPRODUCT(($S$34:$T$39=B48)*($X$34:$Y$39=2))</f>
        <v>0</v>
      </c>
      <c r="G48" s="32">
        <f>SUMPRODUCT(($S$34:$S$39=B48)*($U$34:$U$39))+SUMPRODUCT(($T$34:$T$39=B48)*($V$34:$V$39))</f>
        <v>4</v>
      </c>
      <c r="H48" s="32">
        <f>SUMPRODUCT(($S$34:$S$39=B48)*($V$34:$V$39))+SUMPRODUCT(($T$34:$T$39=B48)*($U$34:$U$39))</f>
        <v>2</v>
      </c>
      <c r="I48" s="33">
        <f>(D48*2)+E48</f>
        <v>5</v>
      </c>
      <c r="J48" s="34">
        <f>(F48*2)+E48</f>
        <v>1</v>
      </c>
      <c r="K48" s="13"/>
      <c r="S48" s="8"/>
      <c r="T48" s="9"/>
      <c r="U48" s="9"/>
      <c r="V48" s="9"/>
      <c r="W48" s="9"/>
      <c r="X48" s="19"/>
      <c r="Y48" s="20"/>
    </row>
    <row r="49" spans="1:26" x14ac:dyDescent="0.3">
      <c r="A49" s="11"/>
      <c r="B49" s="36" t="s">
        <v>25</v>
      </c>
      <c r="C49" s="9">
        <f>COUNTIF($S$34:$T$39,"Paraguay")</f>
        <v>3</v>
      </c>
      <c r="D49" s="37">
        <f>SUMPRODUCT(($S$34:$T$39=B49)*($X$34:$Y$39=3))</f>
        <v>1</v>
      </c>
      <c r="E49" s="37">
        <f>SUMPRODUCT(($S$34:$T$39=B49)*($X$34:$Y$39=1))</f>
        <v>2</v>
      </c>
      <c r="F49" s="37">
        <f>SUMPRODUCT(($S$34:$T$39=B49)*($X$34:$Y$39=2))</f>
        <v>0</v>
      </c>
      <c r="G49" s="37">
        <f>SUMPRODUCT(($S$34:$S$39=B49)*($U$34:$U$39))+SUMPRODUCT(($T$34:$T$39=B49)*($V$34:$V$39))</f>
        <v>4</v>
      </c>
      <c r="H49" s="37">
        <f>SUMPRODUCT(($S$34:$S$39=B49)*($V$34:$V$39))+SUMPRODUCT(($T$34:$T$39=B49)*($U$34:$U$39))</f>
        <v>3</v>
      </c>
      <c r="I49" s="38">
        <f>(D49*2)+E49</f>
        <v>4</v>
      </c>
      <c r="J49" s="39">
        <f>(F49*2)+E49</f>
        <v>2</v>
      </c>
      <c r="K49" s="40"/>
      <c r="L49" s="35"/>
      <c r="M49" s="35"/>
      <c r="N49" s="35"/>
      <c r="O49" s="35"/>
      <c r="P49" s="35"/>
      <c r="Q49" s="35"/>
      <c r="R49" s="35"/>
      <c r="S49" s="8"/>
      <c r="T49" s="9"/>
      <c r="U49" s="9"/>
      <c r="V49" s="9"/>
      <c r="W49" s="9"/>
      <c r="X49" s="19"/>
      <c r="Y49" s="20"/>
      <c r="Z49" s="35"/>
    </row>
    <row r="50" spans="1:26" s="35" customFormat="1" x14ac:dyDescent="0.3">
      <c r="A50" s="11"/>
      <c r="B50" s="36" t="s">
        <v>20</v>
      </c>
      <c r="C50" s="9">
        <f>COUNTIF($S$34:$T$39,"Belgien")</f>
        <v>3</v>
      </c>
      <c r="D50" s="37">
        <f>SUMPRODUCT(($S$34:$T$39=B50)*($X$34:$Y$39=3))</f>
        <v>1</v>
      </c>
      <c r="E50" s="37">
        <f>SUMPRODUCT(($S$34:$T$39=B50)*($X$34:$Y$39=1))</f>
        <v>1</v>
      </c>
      <c r="F50" s="37">
        <f>SUMPRODUCT(($S$34:$T$39=B50)*($X$34:$Y$39=2))</f>
        <v>1</v>
      </c>
      <c r="G50" s="37">
        <f>SUMPRODUCT(($S$34:$S$39=B50)*($U$34:$U$39))+SUMPRODUCT(($T$34:$T$39=B50)*($V$34:$V$39))</f>
        <v>5</v>
      </c>
      <c r="H50" s="37">
        <f>SUMPRODUCT(($S$34:$S$39=B50)*($V$34:$V$39))+SUMPRODUCT(($T$34:$T$39=B50)*($U$34:$U$39))</f>
        <v>5</v>
      </c>
      <c r="I50" s="38">
        <f>(D50*2)+E50</f>
        <v>3</v>
      </c>
      <c r="J50" s="39">
        <f>(F50*2)+E50</f>
        <v>3</v>
      </c>
      <c r="K50" s="13"/>
      <c r="L50"/>
      <c r="M50"/>
      <c r="N50"/>
      <c r="O50"/>
      <c r="P50"/>
      <c r="Q50"/>
      <c r="R50"/>
      <c r="S50" s="8"/>
      <c r="T50" s="9"/>
      <c r="U50" s="9"/>
      <c r="V50" s="9"/>
      <c r="W50" s="47"/>
      <c r="X50" s="19"/>
      <c r="Y50" s="20"/>
      <c r="Z50"/>
    </row>
    <row r="51" spans="1:26" ht="15" thickBot="1" x14ac:dyDescent="0.35">
      <c r="A51" s="11"/>
      <c r="B51" s="50" t="s">
        <v>43</v>
      </c>
      <c r="C51" s="23">
        <f>COUNTIF($S$34:$T$39,"Irak")</f>
        <v>3</v>
      </c>
      <c r="D51" s="42">
        <f>SUMPRODUCT(($S$34:$T$39=B51)*($X$34:$Y$39=3))</f>
        <v>0</v>
      </c>
      <c r="E51" s="42">
        <f>SUMPRODUCT(($S$34:$T$39=B51)*($X$34:$Y$39=1))</f>
        <v>0</v>
      </c>
      <c r="F51" s="42">
        <f>SUMPRODUCT(($S$34:$T$39=B51)*($X$34:$Y$39=2))</f>
        <v>3</v>
      </c>
      <c r="G51" s="42">
        <f>SUMPRODUCT(($S$34:$S$39=B51)*($U$34:$U$39))+SUMPRODUCT(($T$34:$T$39=B51)*($V$34:$V$39))</f>
        <v>1</v>
      </c>
      <c r="H51" s="42">
        <f>SUMPRODUCT(($S$34:$S$39=B51)*($V$34:$V$39))+SUMPRODUCT(($T$34:$T$39=B51)*($U$34:$U$39))</f>
        <v>4</v>
      </c>
      <c r="I51" s="43">
        <f>(D51*2)+E51</f>
        <v>0</v>
      </c>
      <c r="J51" s="44">
        <f>(F51*2)+E51</f>
        <v>6</v>
      </c>
      <c r="K51" s="13"/>
      <c r="S51" s="8"/>
      <c r="T51" s="9"/>
      <c r="U51" s="9"/>
      <c r="V51" s="9"/>
      <c r="W51" s="9"/>
      <c r="X51" s="19"/>
      <c r="Y51" s="20"/>
    </row>
    <row r="52" spans="1:26" ht="15" thickBot="1" x14ac:dyDescent="0.35">
      <c r="A52" s="11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6" ht="15" thickTop="1" x14ac:dyDescent="0.3">
      <c r="A53" s="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6" ht="21" x14ac:dyDescent="0.4">
      <c r="A54" s="11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6" x14ac:dyDescent="0.3">
      <c r="A55" s="11"/>
      <c r="B55" s="15"/>
      <c r="C55" s="9"/>
      <c r="D55" s="9"/>
      <c r="E55" s="9"/>
      <c r="F55" s="9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6" x14ac:dyDescent="0.3">
      <c r="A56" s="11"/>
      <c r="B56" s="9"/>
      <c r="C56" s="16">
        <v>31564</v>
      </c>
      <c r="D56" s="9" t="s">
        <v>45</v>
      </c>
      <c r="E56" s="15" t="s">
        <v>11</v>
      </c>
      <c r="F56" s="9">
        <v>0</v>
      </c>
      <c r="G56" s="15">
        <v>1</v>
      </c>
      <c r="H56" s="9"/>
      <c r="I56" s="12" t="s">
        <v>48</v>
      </c>
      <c r="J56" s="12"/>
      <c r="K56" s="13"/>
      <c r="S56" s="8" t="s">
        <v>45</v>
      </c>
      <c r="T56" s="9" t="s">
        <v>11</v>
      </c>
      <c r="U56" s="9">
        <v>0</v>
      </c>
      <c r="V56" s="9">
        <v>1</v>
      </c>
      <c r="W56" s="9"/>
      <c r="X56" s="19">
        <f t="shared" ref="X56:X61" si="4">(IF(U56&gt;V56,3,IF(U56=V56,1,2)))</f>
        <v>2</v>
      </c>
      <c r="Y56" s="20">
        <f t="shared" ref="Y56:Y61" si="5">(IF(V56&gt;U56,3,IF(U56=V56,1,2)))</f>
        <v>3</v>
      </c>
    </row>
    <row r="57" spans="1:26" ht="15" thickBot="1" x14ac:dyDescent="0.35">
      <c r="A57" s="11"/>
      <c r="B57" s="9"/>
      <c r="C57" s="21"/>
      <c r="D57" s="23"/>
      <c r="E57" s="23"/>
      <c r="F57" s="23" t="s">
        <v>8</v>
      </c>
      <c r="G57" s="23" t="s">
        <v>15</v>
      </c>
      <c r="H57" s="23"/>
      <c r="I57" s="28"/>
      <c r="J57" s="12"/>
      <c r="K57" s="13"/>
      <c r="S57" s="8" t="s">
        <v>23</v>
      </c>
      <c r="T57" s="9" t="s">
        <v>37</v>
      </c>
      <c r="U57" s="9">
        <v>6</v>
      </c>
      <c r="V57" s="9">
        <v>0</v>
      </c>
      <c r="W57" s="9"/>
      <c r="X57" s="19">
        <f t="shared" si="4"/>
        <v>3</v>
      </c>
      <c r="Y57" s="20">
        <f t="shared" si="5"/>
        <v>2</v>
      </c>
    </row>
    <row r="58" spans="1:26" x14ac:dyDescent="0.3">
      <c r="A58" s="11"/>
      <c r="B58" s="9"/>
      <c r="C58" s="16">
        <v>31565</v>
      </c>
      <c r="D58" s="15" t="s">
        <v>23</v>
      </c>
      <c r="E58" s="9" t="s">
        <v>37</v>
      </c>
      <c r="F58" s="15">
        <v>6</v>
      </c>
      <c r="G58" s="9">
        <v>0</v>
      </c>
      <c r="H58" s="9"/>
      <c r="I58" s="12" t="s">
        <v>49</v>
      </c>
      <c r="J58" s="12"/>
      <c r="K58" s="13"/>
      <c r="S58" s="8" t="s">
        <v>11</v>
      </c>
      <c r="T58" s="9" t="s">
        <v>23</v>
      </c>
      <c r="U58" s="9">
        <v>1</v>
      </c>
      <c r="V58" s="9">
        <v>1</v>
      </c>
      <c r="W58" s="9"/>
      <c r="X58" s="19">
        <f t="shared" si="4"/>
        <v>1</v>
      </c>
      <c r="Y58" s="20">
        <f t="shared" si="5"/>
        <v>1</v>
      </c>
    </row>
    <row r="59" spans="1:26" ht="15" thickBot="1" x14ac:dyDescent="0.35">
      <c r="A59" s="11"/>
      <c r="B59" s="9"/>
      <c r="C59" s="21"/>
      <c r="D59" s="23"/>
      <c r="E59" s="23"/>
      <c r="F59" s="23" t="s">
        <v>50</v>
      </c>
      <c r="G59" s="23" t="s">
        <v>15</v>
      </c>
      <c r="H59" s="23"/>
      <c r="I59" s="28"/>
      <c r="J59" s="12"/>
      <c r="K59" s="13"/>
      <c r="S59" s="8" t="s">
        <v>37</v>
      </c>
      <c r="T59" s="9" t="s">
        <v>45</v>
      </c>
      <c r="U59" s="9">
        <v>2</v>
      </c>
      <c r="V59" s="9">
        <v>0</v>
      </c>
      <c r="W59" s="9"/>
      <c r="X59" s="19">
        <f t="shared" si="4"/>
        <v>3</v>
      </c>
      <c r="Y59" s="20">
        <f t="shared" si="5"/>
        <v>2</v>
      </c>
    </row>
    <row r="60" spans="1:26" x14ac:dyDescent="0.3">
      <c r="A60" s="11"/>
      <c r="B60" s="9"/>
      <c r="C60" s="16">
        <v>31568</v>
      </c>
      <c r="D60" s="9" t="s">
        <v>11</v>
      </c>
      <c r="E60" s="9" t="s">
        <v>23</v>
      </c>
      <c r="F60" s="9">
        <v>1</v>
      </c>
      <c r="G60" s="9">
        <v>1</v>
      </c>
      <c r="H60" s="9"/>
      <c r="I60" s="12" t="s">
        <v>48</v>
      </c>
      <c r="J60" s="12"/>
      <c r="K60" s="13"/>
      <c r="S60" s="8" t="s">
        <v>11</v>
      </c>
      <c r="T60" s="9" t="s">
        <v>37</v>
      </c>
      <c r="U60" s="9">
        <v>3</v>
      </c>
      <c r="V60" s="9">
        <v>0</v>
      </c>
      <c r="W60" s="9"/>
      <c r="X60" s="19">
        <f t="shared" si="4"/>
        <v>3</v>
      </c>
      <c r="Y60" s="20">
        <f t="shared" si="5"/>
        <v>2</v>
      </c>
    </row>
    <row r="61" spans="1:26" ht="15" thickBot="1" x14ac:dyDescent="0.35">
      <c r="A61" s="11"/>
      <c r="B61" s="9"/>
      <c r="C61" s="21"/>
      <c r="D61" s="23"/>
      <c r="E61" s="23"/>
      <c r="F61" s="23" t="s">
        <v>8</v>
      </c>
      <c r="G61" s="23" t="s">
        <v>15</v>
      </c>
      <c r="H61" s="23"/>
      <c r="I61" s="28"/>
      <c r="J61" s="12"/>
      <c r="K61" s="13"/>
      <c r="S61" s="8" t="s">
        <v>23</v>
      </c>
      <c r="T61" s="9" t="s">
        <v>45</v>
      </c>
      <c r="U61" s="9">
        <v>2</v>
      </c>
      <c r="V61" s="9">
        <v>0</v>
      </c>
      <c r="W61" s="9"/>
      <c r="X61" s="19">
        <f t="shared" si="4"/>
        <v>3</v>
      </c>
      <c r="Y61" s="20">
        <f t="shared" si="5"/>
        <v>2</v>
      </c>
    </row>
    <row r="62" spans="1:26" x14ac:dyDescent="0.3">
      <c r="A62" s="11"/>
      <c r="B62" s="9"/>
      <c r="C62" s="16">
        <v>31569</v>
      </c>
      <c r="D62" s="15" t="s">
        <v>37</v>
      </c>
      <c r="E62" s="9" t="s">
        <v>45</v>
      </c>
      <c r="F62" s="15">
        <v>2</v>
      </c>
      <c r="G62" s="9">
        <v>0</v>
      </c>
      <c r="H62" s="9"/>
      <c r="I62" s="12" t="s">
        <v>49</v>
      </c>
      <c r="J62" s="12"/>
      <c r="K62" s="13"/>
      <c r="S62" s="8"/>
      <c r="T62" s="9"/>
      <c r="U62" s="9"/>
      <c r="V62" s="9"/>
      <c r="W62" s="9"/>
      <c r="X62" s="19"/>
      <c r="Y62" s="20"/>
    </row>
    <row r="63" spans="1:26" ht="15" thickBot="1" x14ac:dyDescent="0.35">
      <c r="A63" s="11"/>
      <c r="B63" s="9"/>
      <c r="C63" s="21"/>
      <c r="D63" s="23"/>
      <c r="E63" s="23"/>
      <c r="F63" s="23" t="s">
        <v>19</v>
      </c>
      <c r="G63" s="23" t="s">
        <v>15</v>
      </c>
      <c r="H63" s="23"/>
      <c r="I63" s="28"/>
      <c r="J63" s="12"/>
      <c r="K63" s="13"/>
      <c r="S63" s="8"/>
      <c r="T63" s="9"/>
      <c r="U63" s="9"/>
      <c r="V63" s="9"/>
      <c r="W63" s="9"/>
      <c r="X63" s="19"/>
      <c r="Y63" s="20"/>
    </row>
    <row r="64" spans="1:26" x14ac:dyDescent="0.3">
      <c r="A64" s="11"/>
      <c r="B64" s="9"/>
      <c r="C64" s="16">
        <v>31572</v>
      </c>
      <c r="D64" s="15" t="s">
        <v>11</v>
      </c>
      <c r="E64" s="9" t="s">
        <v>37</v>
      </c>
      <c r="F64" s="15">
        <v>3</v>
      </c>
      <c r="G64" s="9">
        <v>0</v>
      </c>
      <c r="H64" s="9"/>
      <c r="I64" s="12" t="s">
        <v>48</v>
      </c>
      <c r="J64" s="12"/>
      <c r="K64" s="13"/>
      <c r="S64" s="8"/>
      <c r="T64" s="9"/>
      <c r="U64" s="9"/>
      <c r="V64" s="9"/>
      <c r="W64" s="9"/>
      <c r="X64" s="19"/>
      <c r="Y64" s="20"/>
    </row>
    <row r="65" spans="1:26" ht="15" thickBot="1" x14ac:dyDescent="0.35">
      <c r="A65" s="11"/>
      <c r="B65" s="9"/>
      <c r="C65" s="21"/>
      <c r="D65" s="23"/>
      <c r="E65" s="23"/>
      <c r="F65" s="23" t="s">
        <v>19</v>
      </c>
      <c r="G65" s="23" t="s">
        <v>15</v>
      </c>
      <c r="H65" s="23"/>
      <c r="I65" s="28"/>
      <c r="J65" s="12"/>
      <c r="K65" s="13"/>
      <c r="S65" s="8"/>
      <c r="T65" s="9"/>
      <c r="U65" s="9"/>
      <c r="V65" s="9"/>
      <c r="W65" s="9"/>
      <c r="X65" s="19"/>
      <c r="Y65" s="20"/>
    </row>
    <row r="66" spans="1:26" x14ac:dyDescent="0.3">
      <c r="A66" s="11"/>
      <c r="B66" s="9"/>
      <c r="C66" s="16">
        <v>31572</v>
      </c>
      <c r="D66" s="15" t="s">
        <v>23</v>
      </c>
      <c r="E66" s="9" t="s">
        <v>45</v>
      </c>
      <c r="F66" s="15">
        <v>2</v>
      </c>
      <c r="G66" s="9">
        <v>0</v>
      </c>
      <c r="H66" s="9"/>
      <c r="I66" s="12" t="s">
        <v>49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6" x14ac:dyDescent="0.3">
      <c r="A67" s="29"/>
      <c r="B67" s="9"/>
      <c r="C67" s="9"/>
      <c r="D67" s="9"/>
      <c r="E67" s="9"/>
      <c r="F67" s="9" t="s">
        <v>8</v>
      </c>
      <c r="G67" s="12" t="s">
        <v>15</v>
      </c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6" x14ac:dyDescent="0.3">
      <c r="A68" s="29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6" ht="15" thickBot="1" x14ac:dyDescent="0.35">
      <c r="A69" s="11"/>
      <c r="B69" s="9"/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33</v>
      </c>
      <c r="J69" s="12" t="s">
        <v>34</v>
      </c>
      <c r="K69" s="13"/>
      <c r="S69" s="46"/>
      <c r="T69" s="17"/>
      <c r="U69" s="17"/>
      <c r="V69" s="17"/>
      <c r="W69" s="17"/>
      <c r="X69" s="19"/>
      <c r="Y69" s="20"/>
    </row>
    <row r="70" spans="1:26" x14ac:dyDescent="0.3">
      <c r="A70" s="11"/>
      <c r="B70" s="30" t="s">
        <v>23</v>
      </c>
      <c r="C70" s="31">
        <f>COUNTIF($S$56:$T$61,"UdSSR")</f>
        <v>3</v>
      </c>
      <c r="D70" s="32">
        <f>SUMPRODUCT(($S$56:$T$61=B70)*($X$56:$Y$61=3))</f>
        <v>2</v>
      </c>
      <c r="E70" s="32">
        <f>SUMPRODUCT(($S$56:$T$61=B70)*($X$56:$Y$61=1))</f>
        <v>1</v>
      </c>
      <c r="F70" s="32">
        <f>SUMPRODUCT(($S$56:$T$61=B70)*($X$56:$Y$61=2))</f>
        <v>0</v>
      </c>
      <c r="G70" s="32">
        <f>SUMPRODUCT(($S$56:$S$61=B70)*($U$56:$U$61))+SUMPRODUCT(($T$56:$T$61=B70)*($V$56:$V$61))</f>
        <v>9</v>
      </c>
      <c r="H70" s="32">
        <f>SUMPRODUCT(($S$56:$S$61=B70)*($V$56:$V$61))+SUMPRODUCT(($T$56:$T$61=B70)*($U$56:$U$61))</f>
        <v>1</v>
      </c>
      <c r="I70" s="33">
        <f>(D70*2)+E70</f>
        <v>5</v>
      </c>
      <c r="J70" s="34">
        <f>(F70*2)+E70</f>
        <v>1</v>
      </c>
      <c r="K70" s="40"/>
      <c r="L70" s="35"/>
      <c r="M70" s="35"/>
      <c r="N70" s="35"/>
      <c r="O70" s="35"/>
      <c r="P70" s="35"/>
      <c r="Q70" s="35"/>
      <c r="R70" s="35"/>
      <c r="S70" s="46"/>
      <c r="T70" s="17"/>
      <c r="U70" s="17"/>
      <c r="V70" s="17"/>
      <c r="W70" s="17"/>
      <c r="X70" s="19"/>
      <c r="Y70" s="20"/>
      <c r="Z70" s="35"/>
    </row>
    <row r="71" spans="1:26" s="35" customFormat="1" x14ac:dyDescent="0.3">
      <c r="A71" s="11"/>
      <c r="B71" s="36" t="s">
        <v>11</v>
      </c>
      <c r="C71" s="9">
        <f>COUNTIF($S$56:$T$61,"Frankreich")</f>
        <v>3</v>
      </c>
      <c r="D71" s="37">
        <f>SUMPRODUCT(($S$56:$T$61=B71)*($X$56:$Y$61=3))</f>
        <v>2</v>
      </c>
      <c r="E71" s="37">
        <f>SUMPRODUCT(($S$56:$T$61=B71)*($X$56:$Y$61=1))</f>
        <v>1</v>
      </c>
      <c r="F71" s="37">
        <f>SUMPRODUCT(($S$56:$T$61=B71)*($X$56:$Y$61=2))</f>
        <v>0</v>
      </c>
      <c r="G71" s="37">
        <f>SUMPRODUCT(($S$56:$S$61=B71)*($U$56:$U$61))+SUMPRODUCT(($T$56:$T$61=B71)*($V$56:$V$61))</f>
        <v>5</v>
      </c>
      <c r="H71" s="37">
        <f>SUMPRODUCT(($S$56:$S$61=B71)*($V$56:$V$61))+SUMPRODUCT(($T$56:$T$61=B71)*($U$56:$U$61))</f>
        <v>1</v>
      </c>
      <c r="I71" s="38">
        <f>(D71*2)+E71</f>
        <v>5</v>
      </c>
      <c r="J71" s="39">
        <f>(F71*2)+E71</f>
        <v>1</v>
      </c>
      <c r="K71" s="40"/>
      <c r="S71" s="46"/>
      <c r="T71" s="17"/>
      <c r="U71" s="17"/>
      <c r="V71" s="17"/>
      <c r="W71" s="17"/>
      <c r="X71" s="19"/>
      <c r="Y71" s="20"/>
    </row>
    <row r="72" spans="1:26" s="35" customFormat="1" x14ac:dyDescent="0.3">
      <c r="A72" s="11"/>
      <c r="B72" s="51" t="s">
        <v>37</v>
      </c>
      <c r="C72" s="9">
        <f>COUNTIF($S$56:$T$61,"Ungarn")</f>
        <v>3</v>
      </c>
      <c r="D72" s="37">
        <f>SUMPRODUCT(($S$56:$T$61=B72)*($X$56:$Y$61=3))</f>
        <v>1</v>
      </c>
      <c r="E72" s="37">
        <f>SUMPRODUCT(($S$56:$T$61=B72)*($X$56:$Y$61=1))</f>
        <v>0</v>
      </c>
      <c r="F72" s="37">
        <f>SUMPRODUCT(($S$56:$T$61=B72)*($X$56:$Y$61=2))</f>
        <v>2</v>
      </c>
      <c r="G72" s="37">
        <f>SUMPRODUCT(($S$56:$S$61=B72)*($U$56:$U$61))+SUMPRODUCT(($T$56:$T$61=B72)*($V$56:$V$61))</f>
        <v>2</v>
      </c>
      <c r="H72" s="37">
        <f>SUMPRODUCT(($S$56:$S$61=B72)*($V$56:$V$61))+SUMPRODUCT(($T$56:$T$61=B72)*($U$56:$U$61))</f>
        <v>9</v>
      </c>
      <c r="I72" s="38">
        <f>(D72*2)+E72</f>
        <v>2</v>
      </c>
      <c r="J72" s="39">
        <f>(F72*2)+E72</f>
        <v>4</v>
      </c>
      <c r="K72" s="13"/>
      <c r="L72"/>
      <c r="M72"/>
      <c r="N72"/>
      <c r="O72"/>
      <c r="P72"/>
      <c r="Q72"/>
      <c r="R72"/>
      <c r="S72" s="46"/>
      <c r="T72" s="17"/>
      <c r="U72" s="17"/>
      <c r="V72" s="17"/>
      <c r="W72" s="17"/>
      <c r="X72" s="19"/>
      <c r="Y72" s="20"/>
      <c r="Z72"/>
    </row>
    <row r="73" spans="1:26" ht="15" thickBot="1" x14ac:dyDescent="0.35">
      <c r="A73" s="11"/>
      <c r="B73" s="41" t="s">
        <v>45</v>
      </c>
      <c r="C73" s="23">
        <f>COUNTIF($S$56:$T$61,"Kanada")</f>
        <v>3</v>
      </c>
      <c r="D73" s="42">
        <f>SUMPRODUCT(($S$56:$T$61=B73)*($X$56:$Y$61=3))</f>
        <v>0</v>
      </c>
      <c r="E73" s="42">
        <f>SUMPRODUCT(($S$56:$T$61=B73)*($X$56:$Y$61=1))</f>
        <v>0</v>
      </c>
      <c r="F73" s="42">
        <f>SUMPRODUCT(($S$56:$T$61=B73)*($X$56:$Y$61=2))</f>
        <v>3</v>
      </c>
      <c r="G73" s="42">
        <f>SUMPRODUCT(($S$56:$S$61=B73)*($U$56:$U$61))+SUMPRODUCT(($T$56:$T$61=B73)*($V$56:$V$61))</f>
        <v>0</v>
      </c>
      <c r="H73" s="42">
        <f>SUMPRODUCT(($S$56:$S$61=B73)*($V$56:$V$61))+SUMPRODUCT(($T$56:$T$61=B73)*($U$56:$U$61))</f>
        <v>5</v>
      </c>
      <c r="I73" s="43">
        <f>(D73*2)+E73</f>
        <v>0</v>
      </c>
      <c r="J73" s="44">
        <f>(F73*2)+E73</f>
        <v>6</v>
      </c>
      <c r="K73" s="13"/>
      <c r="S73" s="46"/>
      <c r="T73" s="17"/>
      <c r="U73" s="17"/>
      <c r="V73" s="17"/>
      <c r="W73" s="17"/>
      <c r="X73" s="19"/>
      <c r="Y73" s="20"/>
    </row>
    <row r="74" spans="1:26" ht="15" thickBot="1" x14ac:dyDescent="0.35">
      <c r="A74" s="11"/>
      <c r="B74" s="9"/>
      <c r="C74" s="9"/>
      <c r="D74" s="9"/>
      <c r="E74" s="9"/>
      <c r="F74" s="9"/>
      <c r="G74" s="12"/>
      <c r="H74" s="12"/>
      <c r="I74" s="12"/>
      <c r="J74" s="12"/>
      <c r="K74" s="45"/>
      <c r="S74" s="46"/>
      <c r="T74" s="17"/>
      <c r="U74" s="17"/>
      <c r="V74" s="17"/>
      <c r="W74" s="17"/>
      <c r="X74" s="19"/>
      <c r="Y74" s="20"/>
    </row>
    <row r="75" spans="1:26" ht="15" thickTop="1" x14ac:dyDescent="0.3">
      <c r="A75" s="1"/>
      <c r="B75" s="2"/>
      <c r="C75" s="2"/>
      <c r="D75" s="2"/>
      <c r="E75" s="2"/>
      <c r="F75" s="2"/>
      <c r="G75" s="3"/>
      <c r="H75" s="3"/>
      <c r="I75" s="3"/>
      <c r="J75" s="3"/>
      <c r="K75" s="13"/>
      <c r="S75" s="46"/>
      <c r="T75" s="17"/>
      <c r="U75" s="17"/>
      <c r="V75" s="17"/>
      <c r="W75" s="17"/>
      <c r="X75" s="19"/>
      <c r="Y75" s="20"/>
    </row>
    <row r="76" spans="1:26" ht="21" x14ac:dyDescent="0.4">
      <c r="A76" s="11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46"/>
      <c r="T76" s="17"/>
      <c r="U76" s="17"/>
      <c r="V76" s="17"/>
      <c r="W76" s="17"/>
      <c r="X76" s="19"/>
      <c r="Y76" s="20"/>
    </row>
    <row r="77" spans="1:26" x14ac:dyDescent="0.3">
      <c r="A77" s="11"/>
      <c r="B77" s="15"/>
      <c r="C77" s="9"/>
      <c r="D77" s="9"/>
      <c r="E77" s="9"/>
      <c r="F77" s="9"/>
      <c r="G77" s="12"/>
      <c r="H77" s="12"/>
      <c r="I77" s="12"/>
      <c r="J77" s="12"/>
      <c r="K77" s="13"/>
      <c r="S77" s="46"/>
      <c r="T77" s="17"/>
      <c r="U77" s="17"/>
      <c r="V77" s="17"/>
      <c r="W77" s="17"/>
      <c r="X77" s="19"/>
      <c r="Y77" s="20"/>
    </row>
    <row r="78" spans="1:26" x14ac:dyDescent="0.3">
      <c r="A78" s="11"/>
      <c r="B78" s="9"/>
      <c r="C78" s="16">
        <v>31564</v>
      </c>
      <c r="D78" s="9" t="s">
        <v>22</v>
      </c>
      <c r="E78" s="15" t="s">
        <v>16</v>
      </c>
      <c r="F78" s="9">
        <v>0</v>
      </c>
      <c r="G78" s="15">
        <v>1</v>
      </c>
      <c r="H78" s="9"/>
      <c r="I78" s="48" t="s">
        <v>52</v>
      </c>
      <c r="J78" s="12"/>
      <c r="K78" s="13"/>
      <c r="S78" s="8" t="s">
        <v>22</v>
      </c>
      <c r="T78" s="9" t="s">
        <v>16</v>
      </c>
      <c r="U78" s="9">
        <v>0</v>
      </c>
      <c r="V78" s="9">
        <v>1</v>
      </c>
      <c r="W78" s="9"/>
      <c r="X78" s="19">
        <f t="shared" ref="X78:X83" si="6">(IF(U78&gt;V78,3,IF(U78=V78,1,2)))</f>
        <v>2</v>
      </c>
      <c r="Y78" s="20">
        <f t="shared" ref="Y78:Y83" si="7">(IF(V78&gt;U78,3,IF(U78=V78,1,2)))</f>
        <v>3</v>
      </c>
    </row>
    <row r="79" spans="1:26" ht="15" thickBot="1" x14ac:dyDescent="0.35">
      <c r="A79" s="11"/>
      <c r="B79" s="9"/>
      <c r="C79" s="21"/>
      <c r="D79" s="23"/>
      <c r="E79" s="23"/>
      <c r="F79" s="23" t="s">
        <v>8</v>
      </c>
      <c r="G79" s="23" t="s">
        <v>15</v>
      </c>
      <c r="H79" s="23"/>
      <c r="I79" s="49"/>
      <c r="J79" s="12"/>
      <c r="K79" s="13"/>
      <c r="S79" s="8" t="s">
        <v>42</v>
      </c>
      <c r="T79" s="9" t="s">
        <v>39</v>
      </c>
      <c r="U79" s="9">
        <v>1</v>
      </c>
      <c r="V79" s="9">
        <v>1</v>
      </c>
      <c r="W79" s="9"/>
      <c r="X79" s="19">
        <f t="shared" si="6"/>
        <v>1</v>
      </c>
      <c r="Y79" s="20">
        <f t="shared" si="7"/>
        <v>1</v>
      </c>
    </row>
    <row r="80" spans="1:26" x14ac:dyDescent="0.3">
      <c r="A80" s="11"/>
      <c r="B80" s="9"/>
      <c r="C80" s="16">
        <v>31566</v>
      </c>
      <c r="D80" s="9" t="s">
        <v>42</v>
      </c>
      <c r="E80" s="9" t="s">
        <v>39</v>
      </c>
      <c r="F80" s="9">
        <v>1</v>
      </c>
      <c r="G80" s="9">
        <v>1</v>
      </c>
      <c r="H80" s="9"/>
      <c r="I80" s="48" t="s">
        <v>53</v>
      </c>
      <c r="J80" s="12"/>
      <c r="K80" s="13"/>
      <c r="S80" s="46" t="s">
        <v>16</v>
      </c>
      <c r="T80" s="17" t="s">
        <v>42</v>
      </c>
      <c r="U80" s="17">
        <v>1</v>
      </c>
      <c r="V80" s="17">
        <v>0</v>
      </c>
      <c r="W80" s="17"/>
      <c r="X80" s="19">
        <f t="shared" si="6"/>
        <v>3</v>
      </c>
      <c r="Y80" s="20">
        <f t="shared" si="7"/>
        <v>2</v>
      </c>
    </row>
    <row r="81" spans="1:25" ht="15" thickBot="1" x14ac:dyDescent="0.35">
      <c r="A81" s="11"/>
      <c r="B81" s="9"/>
      <c r="C81" s="21"/>
      <c r="D81" s="23"/>
      <c r="E81" s="23"/>
      <c r="F81" s="23" t="s">
        <v>8</v>
      </c>
      <c r="G81" s="23" t="s">
        <v>9</v>
      </c>
      <c r="H81" s="23"/>
      <c r="I81" s="49"/>
      <c r="J81" s="12"/>
      <c r="K81" s="13"/>
      <c r="S81" s="46" t="s">
        <v>39</v>
      </c>
      <c r="T81" s="17" t="s">
        <v>22</v>
      </c>
      <c r="U81" s="17">
        <v>1</v>
      </c>
      <c r="V81" s="17">
        <v>2</v>
      </c>
      <c r="W81" s="17"/>
      <c r="X81" s="19">
        <f t="shared" si="6"/>
        <v>2</v>
      </c>
      <c r="Y81" s="20">
        <f t="shared" si="7"/>
        <v>3</v>
      </c>
    </row>
    <row r="82" spans="1:25" x14ac:dyDescent="0.3">
      <c r="A82" s="11"/>
      <c r="B82" s="9"/>
      <c r="C82" s="16">
        <v>31569</v>
      </c>
      <c r="D82" s="15" t="s">
        <v>16</v>
      </c>
      <c r="E82" s="9" t="s">
        <v>42</v>
      </c>
      <c r="F82" s="15">
        <v>1</v>
      </c>
      <c r="G82" s="9">
        <v>0</v>
      </c>
      <c r="H82" s="9"/>
      <c r="I82" s="48" t="s">
        <v>52</v>
      </c>
      <c r="J82" s="12"/>
      <c r="K82" s="13"/>
      <c r="S82" s="8" t="s">
        <v>39</v>
      </c>
      <c r="T82" s="9" t="s">
        <v>16</v>
      </c>
      <c r="U82" s="9">
        <v>0</v>
      </c>
      <c r="V82" s="9">
        <v>3</v>
      </c>
      <c r="W82" s="9"/>
      <c r="X82" s="19">
        <f t="shared" si="6"/>
        <v>2</v>
      </c>
      <c r="Y82" s="20">
        <f t="shared" si="7"/>
        <v>3</v>
      </c>
    </row>
    <row r="83" spans="1:25" ht="15" thickBot="1" x14ac:dyDescent="0.35">
      <c r="A83" s="11"/>
      <c r="B83" s="9"/>
      <c r="C83" s="21"/>
      <c r="D83" s="23"/>
      <c r="E83" s="23"/>
      <c r="F83" s="23" t="s">
        <v>8</v>
      </c>
      <c r="G83" s="23" t="s">
        <v>15</v>
      </c>
      <c r="H83" s="23"/>
      <c r="I83" s="49"/>
      <c r="J83" s="12"/>
      <c r="K83" s="13"/>
      <c r="S83" s="8" t="s">
        <v>42</v>
      </c>
      <c r="T83" s="9" t="s">
        <v>22</v>
      </c>
      <c r="U83" s="9">
        <v>0</v>
      </c>
      <c r="V83" s="9">
        <v>3</v>
      </c>
      <c r="W83" s="9"/>
      <c r="X83" s="19">
        <f t="shared" si="6"/>
        <v>2</v>
      </c>
      <c r="Y83" s="20">
        <f t="shared" si="7"/>
        <v>3</v>
      </c>
    </row>
    <row r="84" spans="1:25" x14ac:dyDescent="0.3">
      <c r="A84" s="11"/>
      <c r="B84" s="9"/>
      <c r="C84" s="16">
        <v>31570</v>
      </c>
      <c r="D84" s="9" t="s">
        <v>39</v>
      </c>
      <c r="E84" s="15" t="s">
        <v>22</v>
      </c>
      <c r="F84" s="9">
        <v>1</v>
      </c>
      <c r="G84" s="15">
        <v>2</v>
      </c>
      <c r="H84" s="9"/>
      <c r="I84" s="48" t="s">
        <v>53</v>
      </c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"/>
      <c r="B85" s="9"/>
      <c r="C85" s="21"/>
      <c r="D85" s="23"/>
      <c r="E85" s="23"/>
      <c r="F85" s="23" t="s">
        <v>8</v>
      </c>
      <c r="G85" s="23" t="s">
        <v>44</v>
      </c>
      <c r="H85" s="23"/>
      <c r="I85" s="49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"/>
      <c r="B86" s="9"/>
      <c r="C86" s="16">
        <v>31575</v>
      </c>
      <c r="D86" s="9" t="s">
        <v>39</v>
      </c>
      <c r="E86" s="15" t="s">
        <v>16</v>
      </c>
      <c r="F86" s="9">
        <v>0</v>
      </c>
      <c r="G86" s="15">
        <v>3</v>
      </c>
      <c r="H86" s="9"/>
      <c r="I86" s="48" t="s">
        <v>52</v>
      </c>
      <c r="J86" s="12"/>
      <c r="K86" s="13"/>
      <c r="S86" s="8"/>
      <c r="T86" s="9"/>
      <c r="U86" s="9"/>
      <c r="V86" s="9"/>
      <c r="W86" s="9"/>
      <c r="X86" s="19"/>
      <c r="Y86" s="20"/>
    </row>
    <row r="87" spans="1:25" ht="15" thickBot="1" x14ac:dyDescent="0.35">
      <c r="A87" s="11"/>
      <c r="B87" s="9"/>
      <c r="C87" s="21"/>
      <c r="D87" s="23"/>
      <c r="E87" s="23"/>
      <c r="F87" s="23" t="s">
        <v>8</v>
      </c>
      <c r="G87" s="23" t="s">
        <v>9</v>
      </c>
      <c r="H87" s="23"/>
      <c r="I87" s="49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"/>
      <c r="B88" s="9"/>
      <c r="C88" s="16">
        <v>31575</v>
      </c>
      <c r="D88" s="17" t="s">
        <v>42</v>
      </c>
      <c r="E88" s="25" t="s">
        <v>22</v>
      </c>
      <c r="F88" s="17">
        <v>0</v>
      </c>
      <c r="G88" s="25">
        <v>3</v>
      </c>
      <c r="H88" s="9"/>
      <c r="I88" s="48" t="s">
        <v>54</v>
      </c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29"/>
      <c r="B89" s="17"/>
      <c r="C89" s="17"/>
      <c r="D89" s="17"/>
      <c r="E89" s="17"/>
      <c r="F89" s="9" t="s">
        <v>8</v>
      </c>
      <c r="G89" s="12" t="s">
        <v>44</v>
      </c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29"/>
      <c r="B90" s="17"/>
      <c r="C90" s="17"/>
      <c r="D90" s="17"/>
      <c r="E90" s="17"/>
      <c r="F90" s="9"/>
      <c r="G90" s="12"/>
      <c r="H90" s="12"/>
      <c r="I90" s="12"/>
      <c r="J90" s="12"/>
      <c r="K90" s="13"/>
      <c r="S90" s="8"/>
      <c r="T90" s="9"/>
      <c r="U90" s="9"/>
      <c r="V90" s="9"/>
      <c r="W90" s="9"/>
      <c r="X90" s="19"/>
      <c r="Y90" s="20"/>
    </row>
    <row r="91" spans="1:25" ht="15" thickBot="1" x14ac:dyDescent="0.35">
      <c r="A91" s="11"/>
      <c r="B91" s="9"/>
      <c r="C91" s="9" t="s">
        <v>27</v>
      </c>
      <c r="D91" s="9" t="s">
        <v>28</v>
      </c>
      <c r="E91" s="9" t="s">
        <v>29</v>
      </c>
      <c r="F91" s="9" t="s">
        <v>30</v>
      </c>
      <c r="G91" s="12" t="s">
        <v>31</v>
      </c>
      <c r="H91" s="12" t="s">
        <v>32</v>
      </c>
      <c r="I91" s="12" t="s">
        <v>33</v>
      </c>
      <c r="J91" s="12" t="s">
        <v>34</v>
      </c>
      <c r="K91" s="13"/>
      <c r="S91" s="8"/>
      <c r="T91" s="9"/>
      <c r="U91" s="9"/>
      <c r="V91" s="9"/>
      <c r="W91" s="9"/>
      <c r="X91" s="19"/>
      <c r="Y91" s="20"/>
    </row>
    <row r="92" spans="1:25" s="35" customFormat="1" x14ac:dyDescent="0.3">
      <c r="A92" s="11"/>
      <c r="B92" s="30" t="s">
        <v>16</v>
      </c>
      <c r="C92" s="31">
        <f>COUNTIF($S$78:$T$83,"Brasilien")</f>
        <v>3</v>
      </c>
      <c r="D92" s="32">
        <f>SUMPRODUCT(($S$78:$T$83=B92)*($X$78:$Y$83=3))</f>
        <v>3</v>
      </c>
      <c r="E92" s="32">
        <f>SUMPRODUCT(($S$78:$T$83=B92)*($X$78:$Y$83=1))</f>
        <v>0</v>
      </c>
      <c r="F92" s="32">
        <f>SUMPRODUCT(($S$78:$T$83=B92)*($X$78:$Y$83=2))</f>
        <v>0</v>
      </c>
      <c r="G92" s="32">
        <f>SUMPRODUCT(($S$78:$S$83=B92)*($U$78:$U$83))+SUMPRODUCT(($T$78:$T$83=B92)*($V$78:$V$83))</f>
        <v>5</v>
      </c>
      <c r="H92" s="32">
        <f>SUMPRODUCT(($S$78:$S$83=B92)*($V$78:$V$83))+SUMPRODUCT(($T$78:$T$83=B92)*($U$78:$U$83))</f>
        <v>0</v>
      </c>
      <c r="I92" s="33">
        <f>(D92*2)+E92</f>
        <v>6</v>
      </c>
      <c r="J92" s="34">
        <f>(F92*2)+E92</f>
        <v>0</v>
      </c>
      <c r="K92" s="40"/>
      <c r="S92" s="8"/>
      <c r="T92" s="9"/>
      <c r="U92" s="9"/>
      <c r="V92" s="9"/>
      <c r="W92" s="9"/>
      <c r="X92" s="19"/>
      <c r="Y92" s="20"/>
    </row>
    <row r="93" spans="1:25" s="35" customFormat="1" x14ac:dyDescent="0.3">
      <c r="A93" s="11"/>
      <c r="B93" s="36" t="s">
        <v>22</v>
      </c>
      <c r="C93" s="9">
        <f>COUNTIF($S$78:$T$83,"Spanien")</f>
        <v>3</v>
      </c>
      <c r="D93" s="37">
        <f>SUMPRODUCT(($S$78:$T$83=B93)*($X$78:$Y$83=3))</f>
        <v>2</v>
      </c>
      <c r="E93" s="37">
        <f>SUMPRODUCT(($S$78:$T$83=B93)*($X$78:$Y$83=1))</f>
        <v>0</v>
      </c>
      <c r="F93" s="37">
        <f>SUMPRODUCT(($S$78:$T$83=B93)*($X$78:$Y$83=2))</f>
        <v>1</v>
      </c>
      <c r="G93" s="37">
        <f>SUMPRODUCT(($S$78:$S$83=B93)*($U$78:$U$83))+SUMPRODUCT(($T$78:$T$83=B93)*($V$78:$V$83))</f>
        <v>5</v>
      </c>
      <c r="H93" s="37">
        <f>SUMPRODUCT(($S$78:$S$83=B93)*($V$78:$V$83))+SUMPRODUCT(($T$78:$T$83=B93)*($U$78:$U$83))</f>
        <v>2</v>
      </c>
      <c r="I93" s="38">
        <f>(D93*2)+E93</f>
        <v>4</v>
      </c>
      <c r="J93" s="39">
        <f>(F93*2)+E93</f>
        <v>2</v>
      </c>
      <c r="K93" s="40"/>
      <c r="S93" s="8"/>
      <c r="T93" s="9"/>
      <c r="U93" s="9"/>
      <c r="V93" s="9"/>
      <c r="W93" s="9"/>
      <c r="X93" s="19"/>
      <c r="Y93" s="20"/>
    </row>
    <row r="94" spans="1:25" x14ac:dyDescent="0.3">
      <c r="A94" s="11"/>
      <c r="B94" s="51" t="s">
        <v>39</v>
      </c>
      <c r="C94" s="9">
        <f>COUNTIF($S$78:$T$83,"Nordirland")</f>
        <v>3</v>
      </c>
      <c r="D94" s="37">
        <f>SUMPRODUCT(($S$78:$T$83=B94)*($X$78:$Y$83=3))</f>
        <v>0</v>
      </c>
      <c r="E94" s="37">
        <f>SUMPRODUCT(($S$78:$T$83=B94)*($X$78:$Y$83=1))</f>
        <v>1</v>
      </c>
      <c r="F94" s="37">
        <f>SUMPRODUCT(($S$78:$T$83=B94)*($X$78:$Y$83=2))</f>
        <v>2</v>
      </c>
      <c r="G94" s="37">
        <f>SUMPRODUCT(($S$78:$S$83=B94)*($U$78:$U$83))+SUMPRODUCT(($T$78:$T$83=B94)*($V$78:$V$83))</f>
        <v>2</v>
      </c>
      <c r="H94" s="37">
        <f>SUMPRODUCT(($S$78:$S$83=B94)*($V$78:$V$83))+SUMPRODUCT(($T$78:$T$83=B94)*($U$78:$U$83))</f>
        <v>6</v>
      </c>
      <c r="I94" s="38">
        <f>(D94*2)+E94</f>
        <v>1</v>
      </c>
      <c r="J94" s="39">
        <f>(F94*2)+E94</f>
        <v>5</v>
      </c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"/>
      <c r="B95" s="50" t="s">
        <v>42</v>
      </c>
      <c r="C95" s="23">
        <f>COUNTIF($S$78:$T$83,"Algerien")</f>
        <v>3</v>
      </c>
      <c r="D95" s="42">
        <f>SUMPRODUCT(($S$78:$T$83=B95)*($X$78:$Y$83=3))</f>
        <v>0</v>
      </c>
      <c r="E95" s="42">
        <f>SUMPRODUCT(($S$78:$T$83=B95)*($X$78:$Y$83=1))</f>
        <v>1</v>
      </c>
      <c r="F95" s="42">
        <f>SUMPRODUCT(($S$78:$T$83=B95)*($X$78:$Y$83=2))</f>
        <v>2</v>
      </c>
      <c r="G95" s="42">
        <f>SUMPRODUCT(($S$78:$S$83=B95)*($U$78:$U$83))+SUMPRODUCT(($T$78:$T$83=B95)*($V$78:$V$83))</f>
        <v>1</v>
      </c>
      <c r="H95" s="42">
        <f>SUMPRODUCT(($S$78:$S$83=B95)*($V$78:$V$83))+SUMPRODUCT(($T$78:$T$83=B95)*($U$78:$U$83))</f>
        <v>5</v>
      </c>
      <c r="I95" s="43">
        <f>(D95*2)+E95</f>
        <v>1</v>
      </c>
      <c r="J95" s="44">
        <f>(F95*2)+E95</f>
        <v>5</v>
      </c>
      <c r="K95" s="13"/>
      <c r="S95" s="8"/>
      <c r="T95" s="9"/>
      <c r="U95" s="9"/>
      <c r="V95" s="9"/>
      <c r="W95" s="9"/>
      <c r="X95" s="19"/>
      <c r="Y95" s="20"/>
    </row>
    <row r="96" spans="1:25" ht="15" thickBot="1" x14ac:dyDescent="0.35">
      <c r="A96" s="11"/>
      <c r="B96" s="9"/>
      <c r="C96" s="9"/>
      <c r="D96" s="9"/>
      <c r="E96" s="9"/>
      <c r="F96" s="9"/>
      <c r="G96" s="12"/>
      <c r="H96" s="12"/>
      <c r="I96" s="12"/>
      <c r="J96" s="12"/>
      <c r="K96" s="45"/>
      <c r="S96" s="8"/>
      <c r="T96" s="9"/>
      <c r="U96" s="9"/>
      <c r="V96" s="9"/>
      <c r="W96" s="9"/>
      <c r="X96" s="19"/>
      <c r="Y96" s="20"/>
    </row>
    <row r="97" spans="1:25" ht="15" thickTop="1" x14ac:dyDescent="0.3">
      <c r="A97" s="1"/>
      <c r="B97" s="2"/>
      <c r="C97" s="2"/>
      <c r="D97" s="2"/>
      <c r="E97" s="2"/>
      <c r="F97" s="2"/>
      <c r="G97" s="3"/>
      <c r="H97" s="3"/>
      <c r="I97" s="3"/>
      <c r="J97" s="3"/>
      <c r="K97" s="13"/>
      <c r="S97" s="8"/>
      <c r="T97" s="9"/>
      <c r="U97" s="9"/>
      <c r="V97" s="9"/>
      <c r="W97" s="9"/>
      <c r="X97" s="19"/>
      <c r="Y97" s="20"/>
    </row>
    <row r="98" spans="1:25" ht="21" x14ac:dyDescent="0.4">
      <c r="A98" s="11"/>
      <c r="B98" s="9"/>
      <c r="C98" s="9"/>
      <c r="D98" s="9"/>
      <c r="E98" s="9"/>
      <c r="F98" s="14" t="s">
        <v>55</v>
      </c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x14ac:dyDescent="0.3">
      <c r="A99" s="11"/>
      <c r="B99" s="15"/>
      <c r="C99" s="9"/>
      <c r="D99" s="9"/>
      <c r="E99" s="9"/>
      <c r="F99" s="9"/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"/>
      <c r="B100" s="9"/>
      <c r="C100" s="16">
        <v>31567</v>
      </c>
      <c r="D100" s="9" t="s">
        <v>38</v>
      </c>
      <c r="E100" s="9" t="s">
        <v>13</v>
      </c>
      <c r="F100" s="9">
        <v>1</v>
      </c>
      <c r="G100" s="9">
        <v>1</v>
      </c>
      <c r="H100" s="9"/>
      <c r="I100" s="12" t="s">
        <v>56</v>
      </c>
      <c r="J100" s="12"/>
      <c r="K100" s="13"/>
      <c r="S100" s="8" t="s">
        <v>38</v>
      </c>
      <c r="T100" s="9" t="s">
        <v>13</v>
      </c>
      <c r="U100" s="9">
        <v>1</v>
      </c>
      <c r="V100" s="9">
        <v>1</v>
      </c>
      <c r="W100" s="9"/>
      <c r="X100" s="19">
        <f t="shared" ref="X100:X105" si="8">(IF(U100&gt;V100,3,IF(U100=V100,1,2)))</f>
        <v>1</v>
      </c>
      <c r="Y100" s="20">
        <f t="shared" ref="Y100:Y105" si="9">(IF(V100&gt;U100,3,IF(U100=V100,1,2)))</f>
        <v>1</v>
      </c>
    </row>
    <row r="101" spans="1:25" ht="15" thickBot="1" x14ac:dyDescent="0.35">
      <c r="A101" s="11"/>
      <c r="B101" s="9"/>
      <c r="C101" s="21"/>
      <c r="D101" s="23"/>
      <c r="E101" s="23"/>
      <c r="F101" s="23" t="s">
        <v>19</v>
      </c>
      <c r="G101" s="23" t="s">
        <v>15</v>
      </c>
      <c r="H101" s="23"/>
      <c r="I101" s="28"/>
      <c r="J101" s="12"/>
      <c r="K101" s="13"/>
      <c r="S101" s="8" t="s">
        <v>41</v>
      </c>
      <c r="T101" s="9" t="s">
        <v>21</v>
      </c>
      <c r="U101" s="9">
        <v>0</v>
      </c>
      <c r="V101" s="9">
        <v>1</v>
      </c>
      <c r="W101" s="9"/>
      <c r="X101" s="19">
        <f t="shared" si="8"/>
        <v>2</v>
      </c>
      <c r="Y101" s="20">
        <f t="shared" si="9"/>
        <v>3</v>
      </c>
    </row>
    <row r="102" spans="1:25" x14ac:dyDescent="0.3">
      <c r="A102" s="11"/>
      <c r="B102" s="9"/>
      <c r="C102" s="16">
        <v>31567</v>
      </c>
      <c r="D102" s="9" t="s">
        <v>41</v>
      </c>
      <c r="E102" s="15" t="s">
        <v>21</v>
      </c>
      <c r="F102" s="9">
        <v>0</v>
      </c>
      <c r="G102" s="15">
        <v>1</v>
      </c>
      <c r="H102" s="9"/>
      <c r="I102" s="48" t="s">
        <v>57</v>
      </c>
      <c r="J102" s="12"/>
      <c r="K102" s="13"/>
      <c r="S102" s="8" t="s">
        <v>13</v>
      </c>
      <c r="T102" s="9" t="s">
        <v>41</v>
      </c>
      <c r="U102" s="9">
        <v>2</v>
      </c>
      <c r="V102" s="9">
        <v>1</v>
      </c>
      <c r="W102" s="9"/>
      <c r="X102" s="19">
        <f t="shared" si="8"/>
        <v>3</v>
      </c>
      <c r="Y102" s="20">
        <f t="shared" si="9"/>
        <v>2</v>
      </c>
    </row>
    <row r="103" spans="1:25" ht="15" thickBot="1" x14ac:dyDescent="0.35">
      <c r="A103" s="11"/>
      <c r="B103" s="9"/>
      <c r="C103" s="21"/>
      <c r="D103" s="23"/>
      <c r="E103" s="23"/>
      <c r="F103" s="23" t="s">
        <v>8</v>
      </c>
      <c r="G103" s="23" t="s">
        <v>15</v>
      </c>
      <c r="H103" s="23"/>
      <c r="I103" s="49"/>
      <c r="J103" s="12"/>
      <c r="K103" s="13"/>
      <c r="S103" s="8" t="s">
        <v>21</v>
      </c>
      <c r="T103" s="9" t="s">
        <v>38</v>
      </c>
      <c r="U103" s="9">
        <v>6</v>
      </c>
      <c r="V103" s="9">
        <v>1</v>
      </c>
      <c r="W103" s="9"/>
      <c r="X103" s="19">
        <f t="shared" si="8"/>
        <v>3</v>
      </c>
      <c r="Y103" s="20">
        <f t="shared" si="9"/>
        <v>2</v>
      </c>
    </row>
    <row r="104" spans="1:25" x14ac:dyDescent="0.3">
      <c r="A104" s="11"/>
      <c r="B104" s="9"/>
      <c r="C104" s="16">
        <v>31571</v>
      </c>
      <c r="D104" s="15" t="s">
        <v>13</v>
      </c>
      <c r="E104" s="9" t="s">
        <v>41</v>
      </c>
      <c r="F104" s="15">
        <v>2</v>
      </c>
      <c r="G104" s="9">
        <v>1</v>
      </c>
      <c r="H104" s="9"/>
      <c r="I104" s="12" t="s">
        <v>56</v>
      </c>
      <c r="J104" s="12"/>
      <c r="K104" s="13"/>
      <c r="S104" s="8" t="s">
        <v>21</v>
      </c>
      <c r="T104" s="9" t="s">
        <v>13</v>
      </c>
      <c r="U104" s="9">
        <v>2</v>
      </c>
      <c r="V104" s="9">
        <v>0</v>
      </c>
      <c r="W104" s="9"/>
      <c r="X104" s="19">
        <f t="shared" si="8"/>
        <v>3</v>
      </c>
      <c r="Y104" s="20">
        <f t="shared" si="9"/>
        <v>2</v>
      </c>
    </row>
    <row r="105" spans="1:25" ht="15" thickBot="1" x14ac:dyDescent="0.35">
      <c r="A105" s="11"/>
      <c r="B105" s="9"/>
      <c r="C105" s="21"/>
      <c r="D105" s="23"/>
      <c r="E105" s="23"/>
      <c r="F105" s="23" t="s">
        <v>19</v>
      </c>
      <c r="G105" s="23" t="s">
        <v>9</v>
      </c>
      <c r="H105" s="23"/>
      <c r="I105" s="28"/>
      <c r="J105" s="12"/>
      <c r="K105" s="13"/>
      <c r="S105" s="8" t="s">
        <v>41</v>
      </c>
      <c r="T105" s="9" t="s">
        <v>38</v>
      </c>
      <c r="U105" s="9">
        <v>0</v>
      </c>
      <c r="V105" s="9">
        <v>0</v>
      </c>
      <c r="W105" s="9"/>
      <c r="X105" s="19">
        <f t="shared" si="8"/>
        <v>1</v>
      </c>
      <c r="Y105" s="20">
        <f t="shared" si="9"/>
        <v>1</v>
      </c>
    </row>
    <row r="106" spans="1:25" x14ac:dyDescent="0.3">
      <c r="A106" s="11"/>
      <c r="B106" s="9"/>
      <c r="C106" s="16">
        <v>31571</v>
      </c>
      <c r="D106" s="15" t="s">
        <v>21</v>
      </c>
      <c r="E106" s="9" t="s">
        <v>38</v>
      </c>
      <c r="F106" s="15">
        <v>6</v>
      </c>
      <c r="G106" s="9">
        <v>1</v>
      </c>
      <c r="H106" s="9"/>
      <c r="I106" s="48" t="s">
        <v>57</v>
      </c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ht="15" thickBot="1" x14ac:dyDescent="0.35">
      <c r="A107" s="11"/>
      <c r="B107" s="9"/>
      <c r="C107" s="21"/>
      <c r="D107" s="23"/>
      <c r="E107" s="23"/>
      <c r="F107" s="23" t="s">
        <v>14</v>
      </c>
      <c r="G107" s="23" t="s">
        <v>9</v>
      </c>
      <c r="H107" s="23"/>
      <c r="I107" s="49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"/>
      <c r="B108" s="9"/>
      <c r="C108" s="16">
        <v>31576</v>
      </c>
      <c r="D108" s="15" t="s">
        <v>21</v>
      </c>
      <c r="E108" s="9" t="s">
        <v>13</v>
      </c>
      <c r="F108" s="15">
        <v>2</v>
      </c>
      <c r="G108" s="9">
        <v>0</v>
      </c>
      <c r="H108" s="9"/>
      <c r="I108" s="12" t="s">
        <v>56</v>
      </c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ht="15" thickBot="1" x14ac:dyDescent="0.35">
      <c r="A109" s="11"/>
      <c r="B109" s="9"/>
      <c r="C109" s="21"/>
      <c r="D109" s="23"/>
      <c r="E109" s="23"/>
      <c r="F109" s="23" t="s">
        <v>19</v>
      </c>
      <c r="G109" s="23" t="s">
        <v>15</v>
      </c>
      <c r="H109" s="23"/>
      <c r="I109" s="28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"/>
      <c r="B110" s="9"/>
      <c r="C110" s="16">
        <v>31576</v>
      </c>
      <c r="D110" s="17" t="s">
        <v>41</v>
      </c>
      <c r="E110" s="17" t="s">
        <v>38</v>
      </c>
      <c r="F110" s="17">
        <v>0</v>
      </c>
      <c r="G110" s="17">
        <v>0</v>
      </c>
      <c r="H110" s="9"/>
      <c r="I110" s="48" t="s">
        <v>57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29"/>
      <c r="B111" s="17"/>
      <c r="C111" s="17"/>
      <c r="D111" s="17"/>
      <c r="E111" s="17"/>
      <c r="F111" s="9"/>
      <c r="G111" s="12"/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29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ht="15" thickBot="1" x14ac:dyDescent="0.35">
      <c r="A113" s="11"/>
      <c r="B113" s="9"/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33</v>
      </c>
      <c r="J113" s="12" t="s">
        <v>34</v>
      </c>
      <c r="K113" s="13"/>
      <c r="S113" s="8"/>
      <c r="T113" s="9"/>
      <c r="U113" s="9"/>
      <c r="V113" s="9"/>
      <c r="W113" s="9"/>
      <c r="X113" s="19"/>
      <c r="Y113" s="20"/>
    </row>
    <row r="114" spans="1:25" s="35" customFormat="1" x14ac:dyDescent="0.3">
      <c r="A114" s="11"/>
      <c r="B114" s="30" t="s">
        <v>21</v>
      </c>
      <c r="C114" s="31">
        <f>COUNTIF($S$100:$T$105,"Dänemark")</f>
        <v>3</v>
      </c>
      <c r="D114" s="32">
        <f>SUMPRODUCT(($S$100:$T$105=B114)*($X$100:$Y$105=3))</f>
        <v>3</v>
      </c>
      <c r="E114" s="32">
        <f>SUMPRODUCT(($S$100:$T$105=B114)*($X$100:$Y$105=1))</f>
        <v>0</v>
      </c>
      <c r="F114" s="32">
        <f>SUMPRODUCT(($S$100:$T$105=B114)*($X$100:$Y$105=2))</f>
        <v>0</v>
      </c>
      <c r="G114" s="32">
        <f>SUMPRODUCT(($S$100:$S$105=B114)*($U$100:$U$105))+SUMPRODUCT(($T$100:$T$105=B114)*($V$100:$V$105))</f>
        <v>9</v>
      </c>
      <c r="H114" s="32">
        <f>SUMPRODUCT(($S$100:$S$105=B114)*($V$100:$V$105))+SUMPRODUCT(($T$100:$T$105=B114)*($U$100:$U$105))</f>
        <v>1</v>
      </c>
      <c r="I114" s="33">
        <f>(D114*2)+E114</f>
        <v>6</v>
      </c>
      <c r="J114" s="34">
        <f>(F114*2)+E114</f>
        <v>0</v>
      </c>
      <c r="K114" s="40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11"/>
      <c r="B115" s="36" t="s">
        <v>13</v>
      </c>
      <c r="C115" s="9">
        <f>COUNTIF($S$100:$T$105,"BRD")</f>
        <v>3</v>
      </c>
      <c r="D115" s="37">
        <f>SUMPRODUCT(($S$100:$T$105=B115)*($X$100:$Y$105=3))</f>
        <v>1</v>
      </c>
      <c r="E115" s="37">
        <f>SUMPRODUCT(($S$100:$T$105=B115)*($X$100:$Y$105=1))</f>
        <v>1</v>
      </c>
      <c r="F115" s="37">
        <f>SUMPRODUCT(($S$100:$T$105=B115)*($X$100:$Y$105=2))</f>
        <v>1</v>
      </c>
      <c r="G115" s="37">
        <f>SUMPRODUCT(($S$100:$S$105=B115)*($U$100:$U$105))+SUMPRODUCT(($T$100:$T$105=B115)*($V$100:$V$105))</f>
        <v>3</v>
      </c>
      <c r="H115" s="37">
        <f>SUMPRODUCT(($S$100:$S$105=B115)*($V$100:$V$105))+SUMPRODUCT(($T$100:$T$105=B115)*($U$100:$U$105))</f>
        <v>4</v>
      </c>
      <c r="I115" s="38">
        <f>(D115*2)+E115</f>
        <v>3</v>
      </c>
      <c r="J115" s="39">
        <f>(F115*2)+E115</f>
        <v>3</v>
      </c>
      <c r="K115" s="40"/>
      <c r="S115" s="8"/>
      <c r="T115" s="9"/>
      <c r="U115" s="9"/>
      <c r="V115" s="9"/>
      <c r="W115" s="9"/>
      <c r="X115" s="19"/>
      <c r="Y115" s="20"/>
    </row>
    <row r="116" spans="1:25" s="35" customFormat="1" x14ac:dyDescent="0.3">
      <c r="A116" s="11"/>
      <c r="B116" s="36" t="s">
        <v>38</v>
      </c>
      <c r="C116" s="9">
        <f>COUNTIF($S$100:$T$105,"Uruguay")</f>
        <v>3</v>
      </c>
      <c r="D116" s="37">
        <f>SUMPRODUCT(($S$100:$T$105=B116)*($X$100:$Y$105=3))</f>
        <v>0</v>
      </c>
      <c r="E116" s="37">
        <f>SUMPRODUCT(($S$100:$T$105=B116)*($X$100:$Y$105=1))</f>
        <v>2</v>
      </c>
      <c r="F116" s="37">
        <f>SUMPRODUCT(($S$100:$T$105=B116)*($X$100:$Y$105=2))</f>
        <v>1</v>
      </c>
      <c r="G116" s="37">
        <f>SUMPRODUCT(($S$100:$S$105=B116)*($U$100:$U$105))+SUMPRODUCT(($T$100:$T$105=B116)*($V$100:$V$105))</f>
        <v>2</v>
      </c>
      <c r="H116" s="37">
        <f>SUMPRODUCT(($S$100:$S$105=B116)*($V$100:$V$105))+SUMPRODUCT(($T$100:$T$105=B116)*($U$100:$U$105))</f>
        <v>7</v>
      </c>
      <c r="I116" s="38">
        <f>(D116*2)+E116</f>
        <v>2</v>
      </c>
      <c r="J116" s="39">
        <f>(F116*2)+E116</f>
        <v>4</v>
      </c>
      <c r="K116" s="40"/>
      <c r="S116" s="8"/>
      <c r="T116" s="9"/>
      <c r="U116" s="9"/>
      <c r="V116" s="9"/>
      <c r="W116" s="9"/>
      <c r="X116" s="9"/>
      <c r="Y116" s="10"/>
    </row>
    <row r="117" spans="1:25" ht="15" thickBot="1" x14ac:dyDescent="0.35">
      <c r="A117" s="11"/>
      <c r="B117" s="50" t="s">
        <v>41</v>
      </c>
      <c r="C117" s="23">
        <f>COUNTIF($S$100:$T$105,"Schottland")</f>
        <v>3</v>
      </c>
      <c r="D117" s="42">
        <f>SUMPRODUCT(($S$100:$T$105=B117)*($X$100:$Y$105=3))</f>
        <v>0</v>
      </c>
      <c r="E117" s="42">
        <f>SUMPRODUCT(($S$100:$T$105=B117)*($X$100:$Y$105=1))</f>
        <v>1</v>
      </c>
      <c r="F117" s="42">
        <f>SUMPRODUCT(($S$100:$T$105=B117)*($X$100:$Y$105=2))</f>
        <v>2</v>
      </c>
      <c r="G117" s="42">
        <f>SUMPRODUCT(($S$100:$S$105=B117)*($U$100:$U$105))+SUMPRODUCT(($T$100:$T$105=B117)*($V$100:$V$105))</f>
        <v>1</v>
      </c>
      <c r="H117" s="42">
        <f>SUMPRODUCT(($S$100:$S$105=B117)*($V$100:$V$105))+SUMPRODUCT(($T$100:$T$105=B117)*($U$100:$U$105))</f>
        <v>3</v>
      </c>
      <c r="I117" s="43">
        <f>(D117*2)+E117</f>
        <v>1</v>
      </c>
      <c r="J117" s="44">
        <f>(F117*2)+E117</f>
        <v>5</v>
      </c>
      <c r="K117" s="13"/>
      <c r="S117" s="8"/>
      <c r="T117" s="9"/>
      <c r="U117" s="9"/>
      <c r="V117" s="9"/>
      <c r="W117" s="9"/>
      <c r="X117" s="19"/>
      <c r="Y117" s="20"/>
    </row>
    <row r="118" spans="1:25" ht="15" thickBot="1" x14ac:dyDescent="0.35">
      <c r="A118" s="52"/>
      <c r="B118" s="53"/>
      <c r="C118" s="53"/>
      <c r="D118" s="53"/>
      <c r="E118" s="53"/>
      <c r="F118" s="53"/>
      <c r="G118" s="54"/>
      <c r="H118" s="54"/>
      <c r="I118" s="54"/>
      <c r="J118" s="54"/>
      <c r="K118" s="45"/>
      <c r="S118" s="8"/>
      <c r="T118" s="9"/>
      <c r="U118" s="9"/>
      <c r="V118" s="9"/>
      <c r="W118" s="9"/>
      <c r="X118" s="19"/>
      <c r="Y118" s="20"/>
    </row>
    <row r="119" spans="1:25" ht="15" thickTop="1" x14ac:dyDescent="0.3">
      <c r="A119" s="1"/>
      <c r="B119" s="2"/>
      <c r="C119" s="2"/>
      <c r="D119" s="2"/>
      <c r="E119" s="2"/>
      <c r="F119" s="2"/>
      <c r="G119" s="3"/>
      <c r="H119" s="3"/>
      <c r="I119" s="3"/>
      <c r="J119" s="3"/>
      <c r="K119" s="13"/>
      <c r="S119" s="8"/>
      <c r="T119" s="9"/>
      <c r="U119" s="9"/>
      <c r="V119" s="9"/>
      <c r="W119" s="9"/>
      <c r="X119" s="19"/>
      <c r="Y119" s="20"/>
    </row>
    <row r="120" spans="1:25" ht="21" x14ac:dyDescent="0.4">
      <c r="A120" s="11"/>
      <c r="B120" s="9"/>
      <c r="C120" s="9"/>
      <c r="D120" s="9"/>
      <c r="E120" s="9"/>
      <c r="F120" s="14" t="s">
        <v>58</v>
      </c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"/>
      <c r="B121" s="15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"/>
      <c r="B122" s="9"/>
      <c r="C122" s="21">
        <v>31565</v>
      </c>
      <c r="D122" s="23" t="s">
        <v>26</v>
      </c>
      <c r="E122" s="23" t="s">
        <v>35</v>
      </c>
      <c r="F122" s="23">
        <v>0</v>
      </c>
      <c r="G122" s="23">
        <v>0</v>
      </c>
      <c r="H122" s="23"/>
      <c r="I122" s="49" t="s">
        <v>59</v>
      </c>
      <c r="J122" s="12"/>
      <c r="K122" s="13"/>
      <c r="S122" s="8" t="s">
        <v>26</v>
      </c>
      <c r="T122" s="9" t="s">
        <v>35</v>
      </c>
      <c r="U122" s="9">
        <v>0</v>
      </c>
      <c r="V122" s="9">
        <v>0</v>
      </c>
      <c r="W122" s="9"/>
      <c r="X122" s="19">
        <f t="shared" ref="X122:X127" si="10">(IF(U122&gt;V122,3,IF(U122=V122,1,2)))</f>
        <v>1</v>
      </c>
      <c r="Y122" s="20">
        <f t="shared" ref="Y122:Y127" si="11">(IF(V122&gt;U122,3,IF(U122=V122,1,2)))</f>
        <v>1</v>
      </c>
    </row>
    <row r="123" spans="1:25" x14ac:dyDescent="0.3">
      <c r="A123" s="11"/>
      <c r="B123" s="9"/>
      <c r="C123" s="16">
        <v>31566</v>
      </c>
      <c r="D123" s="15" t="s">
        <v>36</v>
      </c>
      <c r="E123" s="9" t="s">
        <v>24</v>
      </c>
      <c r="F123" s="15">
        <v>1</v>
      </c>
      <c r="G123" s="9">
        <v>0</v>
      </c>
      <c r="H123" s="9"/>
      <c r="I123" s="48" t="s">
        <v>54</v>
      </c>
      <c r="J123" s="12"/>
      <c r="K123" s="13"/>
      <c r="S123" s="8" t="s">
        <v>36</v>
      </c>
      <c r="T123" s="9" t="s">
        <v>24</v>
      </c>
      <c r="U123" s="9">
        <v>1</v>
      </c>
      <c r="V123" s="9">
        <v>0</v>
      </c>
      <c r="W123" s="9"/>
      <c r="X123" s="19">
        <f t="shared" si="10"/>
        <v>3</v>
      </c>
      <c r="Y123" s="20">
        <f t="shared" si="11"/>
        <v>2</v>
      </c>
    </row>
    <row r="124" spans="1:25" ht="15" thickBot="1" x14ac:dyDescent="0.35">
      <c r="A124" s="11"/>
      <c r="B124" s="9"/>
      <c r="C124" s="21"/>
      <c r="D124" s="23"/>
      <c r="E124" s="23"/>
      <c r="F124" s="23" t="s">
        <v>8</v>
      </c>
      <c r="G124" s="23" t="s">
        <v>15</v>
      </c>
      <c r="H124" s="23"/>
      <c r="I124" s="49"/>
      <c r="J124" s="12"/>
      <c r="K124" s="13"/>
      <c r="S124" s="8" t="s">
        <v>24</v>
      </c>
      <c r="T124" s="9" t="s">
        <v>26</v>
      </c>
      <c r="U124" s="9">
        <v>0</v>
      </c>
      <c r="V124" s="9">
        <v>0</v>
      </c>
      <c r="W124" s="9"/>
      <c r="X124" s="19">
        <f t="shared" si="10"/>
        <v>1</v>
      </c>
      <c r="Y124" s="20">
        <f t="shared" si="11"/>
        <v>1</v>
      </c>
    </row>
    <row r="125" spans="1:25" ht="15" thickBot="1" x14ac:dyDescent="0.35">
      <c r="A125" s="11"/>
      <c r="B125" s="9"/>
      <c r="C125" s="21">
        <v>31569</v>
      </c>
      <c r="D125" s="23" t="s">
        <v>24</v>
      </c>
      <c r="E125" s="23" t="s">
        <v>26</v>
      </c>
      <c r="F125" s="23">
        <v>0</v>
      </c>
      <c r="G125" s="23">
        <v>0</v>
      </c>
      <c r="H125" s="23"/>
      <c r="I125" s="49" t="s">
        <v>54</v>
      </c>
      <c r="J125" s="12"/>
      <c r="K125" s="13"/>
      <c r="S125" s="8" t="s">
        <v>35</v>
      </c>
      <c r="T125" s="9" t="s">
        <v>36</v>
      </c>
      <c r="U125" s="9">
        <v>1</v>
      </c>
      <c r="V125" s="9">
        <v>0</v>
      </c>
      <c r="W125" s="9"/>
      <c r="X125" s="19">
        <f t="shared" si="10"/>
        <v>3</v>
      </c>
      <c r="Y125" s="20">
        <f t="shared" si="11"/>
        <v>2</v>
      </c>
    </row>
    <row r="126" spans="1:25" x14ac:dyDescent="0.3">
      <c r="A126" s="11"/>
      <c r="B126" s="9"/>
      <c r="C126" s="16">
        <v>31570</v>
      </c>
      <c r="D126" s="15" t="s">
        <v>35</v>
      </c>
      <c r="E126" s="9" t="s">
        <v>36</v>
      </c>
      <c r="F126" s="15">
        <v>1</v>
      </c>
      <c r="G126" s="9">
        <v>0</v>
      </c>
      <c r="H126" s="9"/>
      <c r="I126" s="48" t="s">
        <v>59</v>
      </c>
      <c r="J126" s="12"/>
      <c r="K126" s="13"/>
      <c r="S126" s="8" t="s">
        <v>36</v>
      </c>
      <c r="T126" s="9" t="s">
        <v>26</v>
      </c>
      <c r="U126" s="9">
        <v>1</v>
      </c>
      <c r="V126" s="9">
        <v>3</v>
      </c>
      <c r="W126" s="9"/>
      <c r="X126" s="19">
        <f t="shared" si="10"/>
        <v>2</v>
      </c>
      <c r="Y126" s="20">
        <f t="shared" si="11"/>
        <v>3</v>
      </c>
    </row>
    <row r="127" spans="1:25" ht="15" thickBot="1" x14ac:dyDescent="0.35">
      <c r="A127" s="11"/>
      <c r="B127" s="9"/>
      <c r="C127" s="21"/>
      <c r="D127" s="23"/>
      <c r="E127" s="23"/>
      <c r="F127" s="23" t="s">
        <v>8</v>
      </c>
      <c r="G127" s="23" t="s">
        <v>15</v>
      </c>
      <c r="H127" s="23"/>
      <c r="I127" s="49"/>
      <c r="J127" s="12"/>
      <c r="K127" s="13"/>
      <c r="S127" s="8" t="s">
        <v>24</v>
      </c>
      <c r="T127" s="9" t="s">
        <v>35</v>
      </c>
      <c r="U127" s="9">
        <v>3</v>
      </c>
      <c r="V127" s="9">
        <v>0</v>
      </c>
      <c r="W127" s="9"/>
      <c r="X127" s="19">
        <f t="shared" si="10"/>
        <v>3</v>
      </c>
      <c r="Y127" s="20">
        <f t="shared" si="11"/>
        <v>2</v>
      </c>
    </row>
    <row r="128" spans="1:25" x14ac:dyDescent="0.3">
      <c r="A128" s="11"/>
      <c r="B128" s="9"/>
      <c r="C128" s="16">
        <v>31574</v>
      </c>
      <c r="D128" s="9" t="s">
        <v>36</v>
      </c>
      <c r="E128" s="15" t="s">
        <v>26</v>
      </c>
      <c r="F128" s="9">
        <v>1</v>
      </c>
      <c r="G128" s="15">
        <v>3</v>
      </c>
      <c r="H128" s="9"/>
      <c r="I128" s="48" t="s">
        <v>60</v>
      </c>
      <c r="J128" s="12"/>
      <c r="K128" s="13"/>
      <c r="S128" s="8"/>
      <c r="T128" s="9"/>
      <c r="U128" s="9"/>
      <c r="V128" s="9"/>
      <c r="W128" s="9"/>
      <c r="X128" s="19"/>
      <c r="Y128" s="20"/>
    </row>
    <row r="129" spans="1:26" ht="15" thickBot="1" x14ac:dyDescent="0.35">
      <c r="A129" s="11"/>
      <c r="B129" s="9"/>
      <c r="C129" s="21"/>
      <c r="D129" s="23"/>
      <c r="E129" s="23"/>
      <c r="F129" s="23" t="s">
        <v>8</v>
      </c>
      <c r="G129" s="23" t="s">
        <v>44</v>
      </c>
      <c r="H129" s="23"/>
      <c r="I129" s="49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6" x14ac:dyDescent="0.3">
      <c r="A130" s="11"/>
      <c r="B130" s="9"/>
      <c r="C130" s="16">
        <v>31574</v>
      </c>
      <c r="D130" s="25" t="s">
        <v>24</v>
      </c>
      <c r="E130" s="17" t="s">
        <v>35</v>
      </c>
      <c r="F130" s="25">
        <v>3</v>
      </c>
      <c r="G130" s="17">
        <v>0</v>
      </c>
      <c r="H130" s="9"/>
      <c r="I130" s="48" t="s">
        <v>54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6" x14ac:dyDescent="0.3">
      <c r="A131" s="29"/>
      <c r="B131" s="17"/>
      <c r="C131" s="17"/>
      <c r="D131" s="17"/>
      <c r="E131" s="17"/>
      <c r="F131" s="9" t="s">
        <v>50</v>
      </c>
      <c r="G131" s="12" t="s">
        <v>15</v>
      </c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6" x14ac:dyDescent="0.3">
      <c r="A132" s="29"/>
      <c r="B132" s="17"/>
      <c r="C132" s="17"/>
      <c r="D132" s="17"/>
      <c r="E132" s="17"/>
      <c r="F132" s="9"/>
      <c r="G132" s="12"/>
      <c r="H132" s="12"/>
      <c r="I132" s="12"/>
      <c r="J132" s="12"/>
      <c r="K132" s="13"/>
      <c r="S132" s="8"/>
      <c r="T132" s="9"/>
      <c r="U132" s="9"/>
      <c r="V132" s="9"/>
      <c r="W132" s="9"/>
      <c r="X132" s="19"/>
      <c r="Y132" s="20"/>
    </row>
    <row r="133" spans="1:26" ht="15" thickBot="1" x14ac:dyDescent="0.35">
      <c r="A133" s="11"/>
      <c r="B133" s="9"/>
      <c r="C133" s="9" t="s">
        <v>27</v>
      </c>
      <c r="D133" s="9" t="s">
        <v>28</v>
      </c>
      <c r="E133" s="9" t="s">
        <v>29</v>
      </c>
      <c r="F133" s="9" t="s">
        <v>30</v>
      </c>
      <c r="G133" s="12" t="s">
        <v>31</v>
      </c>
      <c r="H133" s="12" t="s">
        <v>32</v>
      </c>
      <c r="I133" s="12" t="s">
        <v>33</v>
      </c>
      <c r="J133" s="12" t="s">
        <v>34</v>
      </c>
      <c r="K133" s="13"/>
      <c r="S133" s="8"/>
      <c r="T133" s="9"/>
      <c r="U133" s="9"/>
      <c r="V133" s="9"/>
      <c r="W133" s="9"/>
      <c r="X133" s="19"/>
      <c r="Y133" s="20"/>
    </row>
    <row r="134" spans="1:26" s="35" customFormat="1" x14ac:dyDescent="0.3">
      <c r="A134" s="11"/>
      <c r="B134" s="30" t="s">
        <v>26</v>
      </c>
      <c r="C134" s="31">
        <f>COUNTIF($S$122:$T$127,"Marokko")</f>
        <v>3</v>
      </c>
      <c r="D134" s="32">
        <f>SUMPRODUCT(($S$122:$T$127=B134)*($X$122:$Y$127=3))</f>
        <v>1</v>
      </c>
      <c r="E134" s="32">
        <f>SUMPRODUCT(($S$122:$T$127=B134)*($X$122:$Y$127=1))</f>
        <v>2</v>
      </c>
      <c r="F134" s="32">
        <f>SUMPRODUCT(($S$122:$T$127=B134)*($X$122:$Y$127=2))</f>
        <v>0</v>
      </c>
      <c r="G134" s="32">
        <f>SUMPRODUCT(($S$122:$S$127=B134)*($U$122:$U$127))+SUMPRODUCT(($T$122:$T$127=B134)*($V$122:$V$127))</f>
        <v>3</v>
      </c>
      <c r="H134" s="32">
        <f>SUMPRODUCT(($S$122:$S$127=B134)*($V$122:$V$127))+SUMPRODUCT(($T$122:$T$127=B134)*($U$122:$U$127))</f>
        <v>1</v>
      </c>
      <c r="I134" s="33">
        <f>(D134*2)+E134</f>
        <v>4</v>
      </c>
      <c r="J134" s="34">
        <f>(F134*2)+E134</f>
        <v>2</v>
      </c>
      <c r="K134" s="40"/>
      <c r="S134" s="8"/>
      <c r="T134" s="9"/>
      <c r="U134" s="9"/>
      <c r="V134" s="9"/>
      <c r="W134" s="9"/>
      <c r="X134" s="19"/>
      <c r="Y134" s="20"/>
    </row>
    <row r="135" spans="1:26" s="35" customFormat="1" x14ac:dyDescent="0.3">
      <c r="A135" s="11"/>
      <c r="B135" s="51" t="s">
        <v>24</v>
      </c>
      <c r="C135" s="9">
        <f>COUNTIF($S$122:$T$127,"England")</f>
        <v>3</v>
      </c>
      <c r="D135" s="37">
        <f>SUMPRODUCT(($S$122:$T$127=B135)*($X$122:$Y$127=3))</f>
        <v>1</v>
      </c>
      <c r="E135" s="37">
        <f>SUMPRODUCT(($S$122:$T$127=B135)*($X$122:$Y$127=1))</f>
        <v>1</v>
      </c>
      <c r="F135" s="37">
        <f>SUMPRODUCT(($S$122:$T$127=B135)*($X$122:$Y$127=2))</f>
        <v>1</v>
      </c>
      <c r="G135" s="37">
        <f>SUMPRODUCT(($S$122:$S$127=B135)*($U$122:$U$127))+SUMPRODUCT(($T$122:$T$127=B135)*($V$122:$V$127))</f>
        <v>3</v>
      </c>
      <c r="H135" s="37">
        <f>SUMPRODUCT(($S$122:$S$127=B135)*($V$122:$V$127))+SUMPRODUCT(($T$122:$T$127=B135)*($U$122:$U$127))</f>
        <v>1</v>
      </c>
      <c r="I135" s="38">
        <f>(D135*2)+E135</f>
        <v>3</v>
      </c>
      <c r="J135" s="39">
        <f>(F135*2)+E135</f>
        <v>3</v>
      </c>
      <c r="K135" s="13"/>
      <c r="L135"/>
      <c r="M135"/>
      <c r="N135"/>
      <c r="O135"/>
      <c r="P135"/>
      <c r="Q135"/>
      <c r="R135"/>
      <c r="S135" s="8"/>
      <c r="T135" s="9"/>
      <c r="U135" s="9"/>
      <c r="V135" s="9"/>
      <c r="W135" s="9"/>
      <c r="X135" s="19"/>
      <c r="Y135" s="20"/>
      <c r="Z135"/>
    </row>
    <row r="136" spans="1:26" s="35" customFormat="1" x14ac:dyDescent="0.3">
      <c r="A136" s="11"/>
      <c r="B136" s="36" t="s">
        <v>35</v>
      </c>
      <c r="C136" s="9">
        <f>COUNTIF($S$122:$T$127,"Polen")</f>
        <v>3</v>
      </c>
      <c r="D136" s="37">
        <f>SUMPRODUCT(($S$122:$T$127=B136)*($X$122:$Y$127=3))</f>
        <v>1</v>
      </c>
      <c r="E136" s="37">
        <f>SUMPRODUCT(($S$122:$T$127=B136)*($X$122:$Y$127=1))</f>
        <v>1</v>
      </c>
      <c r="F136" s="37">
        <f>SUMPRODUCT(($S$122:$T$127=B136)*($X$122:$Y$127=2))</f>
        <v>1</v>
      </c>
      <c r="G136" s="37">
        <f>SUMPRODUCT(($S$122:$S$127=B136)*($U$122:$U$127))+SUMPRODUCT(($T$122:$T$127=B136)*($V$122:$V$127))</f>
        <v>1</v>
      </c>
      <c r="H136" s="37">
        <f>SUMPRODUCT(($S$122:$S$127=B136)*($V$122:$V$127))+SUMPRODUCT(($T$122:$T$127=B136)*($U$122:$U$127))</f>
        <v>3</v>
      </c>
      <c r="I136" s="38">
        <f>(D136*2)+E136</f>
        <v>3</v>
      </c>
      <c r="J136" s="39">
        <f>(F136*2)+E136</f>
        <v>3</v>
      </c>
      <c r="K136" s="40"/>
      <c r="S136" s="8"/>
      <c r="T136" s="9"/>
      <c r="U136" s="9"/>
      <c r="V136" s="9"/>
      <c r="W136" s="9"/>
      <c r="X136" s="19"/>
      <c r="Y136" s="20"/>
    </row>
    <row r="137" spans="1:26" ht="15" thickBot="1" x14ac:dyDescent="0.35">
      <c r="A137" s="11"/>
      <c r="B137" s="41" t="s">
        <v>36</v>
      </c>
      <c r="C137" s="23">
        <f>COUNTIF($S$122:$T$127,"Portugal")</f>
        <v>3</v>
      </c>
      <c r="D137" s="42">
        <f>SUMPRODUCT(($S$122:$T$127=B137)*($X$122:$Y$127=3))</f>
        <v>1</v>
      </c>
      <c r="E137" s="42">
        <f>SUMPRODUCT(($S$122:$T$127=B137)*($X$122:$Y$127=1))</f>
        <v>0</v>
      </c>
      <c r="F137" s="42">
        <f>SUMPRODUCT(($S$122:$T$127=B137)*($X$122:$Y$127=2))</f>
        <v>2</v>
      </c>
      <c r="G137" s="42">
        <f>SUMPRODUCT(($S$122:$S$127=B137)*($U$122:$U$127))+SUMPRODUCT(($T$122:$T$127=B137)*($V$122:$V$127))</f>
        <v>2</v>
      </c>
      <c r="H137" s="42">
        <f>SUMPRODUCT(($S$122:$S$127=B137)*($V$122:$V$127))+SUMPRODUCT(($T$122:$T$127=B137)*($U$122:$U$127))</f>
        <v>4</v>
      </c>
      <c r="I137" s="43">
        <f>(D137*2)+E137</f>
        <v>2</v>
      </c>
      <c r="J137" s="44">
        <f>(F137*2)+E137</f>
        <v>4</v>
      </c>
      <c r="K137" s="40"/>
      <c r="L137" s="35"/>
      <c r="M137" s="35"/>
      <c r="N137" s="35"/>
      <c r="O137" s="35"/>
      <c r="P137" s="35"/>
      <c r="Q137" s="35"/>
      <c r="R137" s="35"/>
      <c r="S137" s="8"/>
      <c r="T137" s="9"/>
      <c r="U137" s="9"/>
      <c r="V137" s="9"/>
      <c r="W137" s="9"/>
      <c r="X137" s="19"/>
      <c r="Y137" s="20"/>
      <c r="Z137" s="35"/>
    </row>
    <row r="138" spans="1:26" ht="15" thickBot="1" x14ac:dyDescent="0.35">
      <c r="A138" s="52"/>
      <c r="B138" s="53"/>
      <c r="C138" s="53"/>
      <c r="D138" s="53"/>
      <c r="E138" s="53"/>
      <c r="F138" s="53"/>
      <c r="G138" s="54"/>
      <c r="H138" s="54"/>
      <c r="I138" s="54"/>
      <c r="J138" s="54"/>
      <c r="K138" s="45"/>
      <c r="S138" s="8"/>
      <c r="T138" s="9"/>
      <c r="U138" s="9"/>
      <c r="V138" s="9"/>
      <c r="W138" s="9"/>
      <c r="X138" s="19"/>
      <c r="Y138" s="20"/>
    </row>
    <row r="139" spans="1:26" ht="15" thickTop="1" x14ac:dyDescent="0.3">
      <c r="A139" s="11"/>
      <c r="B139" s="9"/>
      <c r="C139" s="9"/>
      <c r="D139" s="9"/>
      <c r="E139" s="9"/>
      <c r="F139" s="9"/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6" ht="21" x14ac:dyDescent="0.4">
      <c r="A140" s="11"/>
      <c r="B140" s="9"/>
      <c r="C140" s="9"/>
      <c r="D140" s="9"/>
      <c r="E140" s="9"/>
      <c r="F140" s="14" t="s">
        <v>61</v>
      </c>
      <c r="G140" s="12"/>
      <c r="H140" s="12"/>
      <c r="I140" s="12"/>
      <c r="J140" s="12"/>
      <c r="K140" s="13"/>
      <c r="R140" s="55"/>
      <c r="S140" s="8"/>
      <c r="T140" s="9"/>
      <c r="U140" s="9"/>
      <c r="V140" s="9"/>
      <c r="W140" s="9"/>
      <c r="X140" s="9"/>
      <c r="Y140" s="10"/>
      <c r="Z140" s="55"/>
    </row>
    <row r="141" spans="1:26" ht="14.4" customHeight="1" x14ac:dyDescent="0.4">
      <c r="A141" s="11"/>
      <c r="B141" s="9"/>
      <c r="C141" s="9"/>
      <c r="D141" s="9"/>
      <c r="E141" s="9"/>
      <c r="F141" s="56"/>
      <c r="G141" s="12"/>
      <c r="H141" s="12"/>
      <c r="I141" s="12"/>
      <c r="J141" s="12"/>
      <c r="K141" s="13"/>
      <c r="R141" s="55"/>
      <c r="S141" s="8"/>
      <c r="T141" s="9"/>
      <c r="U141" s="9"/>
      <c r="V141" s="9"/>
      <c r="W141" s="9"/>
      <c r="X141" s="9"/>
      <c r="Y141" s="10"/>
      <c r="Z141" s="55"/>
    </row>
    <row r="142" spans="1:26" ht="15" thickBot="1" x14ac:dyDescent="0.35">
      <c r="A142" s="11"/>
      <c r="B142" s="9" t="s">
        <v>62</v>
      </c>
      <c r="C142" s="9" t="s">
        <v>27</v>
      </c>
      <c r="D142" s="9" t="s">
        <v>28</v>
      </c>
      <c r="E142" s="9" t="s">
        <v>29</v>
      </c>
      <c r="F142" s="9" t="s">
        <v>30</v>
      </c>
      <c r="G142" s="12" t="s">
        <v>31</v>
      </c>
      <c r="H142" s="12" t="s">
        <v>32</v>
      </c>
      <c r="I142" s="12" t="s">
        <v>33</v>
      </c>
      <c r="J142" s="12" t="s">
        <v>34</v>
      </c>
      <c r="K142" s="13"/>
      <c r="R142" s="55"/>
      <c r="S142" s="46"/>
      <c r="T142" s="17"/>
      <c r="U142" s="17"/>
      <c r="V142" s="17"/>
      <c r="W142" s="57"/>
      <c r="X142" s="57"/>
      <c r="Y142" s="58"/>
      <c r="Z142" s="55"/>
    </row>
    <row r="143" spans="1:26" x14ac:dyDescent="0.3">
      <c r="A143" s="11"/>
      <c r="B143" s="59" t="s">
        <v>20</v>
      </c>
      <c r="C143" s="60">
        <v>3</v>
      </c>
      <c r="D143" s="61">
        <v>1</v>
      </c>
      <c r="E143" s="61">
        <v>1</v>
      </c>
      <c r="F143" s="61">
        <v>1</v>
      </c>
      <c r="G143" s="61">
        <v>5</v>
      </c>
      <c r="H143" s="61">
        <v>5</v>
      </c>
      <c r="I143" s="62">
        <v>3</v>
      </c>
      <c r="J143" s="63">
        <v>3</v>
      </c>
      <c r="K143" s="13"/>
      <c r="S143" s="8"/>
      <c r="T143" s="9"/>
      <c r="U143" s="9"/>
      <c r="V143" s="9"/>
      <c r="W143" s="9"/>
      <c r="X143" s="19"/>
      <c r="Y143" s="20"/>
    </row>
    <row r="144" spans="1:26" x14ac:dyDescent="0.3">
      <c r="A144" s="11"/>
      <c r="B144" s="64" t="s">
        <v>35</v>
      </c>
      <c r="C144" s="65">
        <v>3</v>
      </c>
      <c r="D144" s="66">
        <v>1</v>
      </c>
      <c r="E144" s="66">
        <v>1</v>
      </c>
      <c r="F144" s="66">
        <v>1</v>
      </c>
      <c r="G144" s="66">
        <v>1</v>
      </c>
      <c r="H144" s="66">
        <v>3</v>
      </c>
      <c r="I144" s="67">
        <v>3</v>
      </c>
      <c r="J144" s="68">
        <v>3</v>
      </c>
      <c r="K144" s="13"/>
      <c r="S144" s="8"/>
      <c r="T144" s="9"/>
      <c r="U144" s="9"/>
      <c r="V144" s="9"/>
      <c r="W144" s="9"/>
      <c r="X144" s="19"/>
      <c r="Y144" s="20"/>
    </row>
    <row r="145" spans="1:25" x14ac:dyDescent="0.3">
      <c r="A145" s="11"/>
      <c r="B145" s="64" t="s">
        <v>4</v>
      </c>
      <c r="C145" s="65">
        <v>3</v>
      </c>
      <c r="D145" s="66">
        <v>0</v>
      </c>
      <c r="E145" s="66">
        <v>2</v>
      </c>
      <c r="F145" s="66">
        <v>1</v>
      </c>
      <c r="G145" s="66">
        <v>2</v>
      </c>
      <c r="H145" s="66">
        <v>4</v>
      </c>
      <c r="I145" s="67">
        <v>2</v>
      </c>
      <c r="J145" s="68">
        <v>4</v>
      </c>
      <c r="K145" s="13"/>
      <c r="S145" s="8"/>
      <c r="T145" s="9"/>
      <c r="U145" s="9"/>
      <c r="V145" s="9"/>
      <c r="W145" s="9"/>
      <c r="X145" s="19"/>
      <c r="Y145" s="20"/>
    </row>
    <row r="146" spans="1:25" x14ac:dyDescent="0.3">
      <c r="A146" s="11"/>
      <c r="B146" s="64" t="s">
        <v>38</v>
      </c>
      <c r="C146" s="65">
        <v>3</v>
      </c>
      <c r="D146" s="66">
        <v>0</v>
      </c>
      <c r="E146" s="66">
        <v>2</v>
      </c>
      <c r="F146" s="66">
        <v>1</v>
      </c>
      <c r="G146" s="66">
        <v>2</v>
      </c>
      <c r="H146" s="66">
        <v>7</v>
      </c>
      <c r="I146" s="67">
        <v>2</v>
      </c>
      <c r="J146" s="68">
        <v>4</v>
      </c>
      <c r="K146" s="13"/>
      <c r="S146" s="8"/>
      <c r="T146" s="9"/>
      <c r="U146" s="9"/>
      <c r="V146" s="9"/>
      <c r="W146" s="9"/>
      <c r="X146" s="19"/>
      <c r="Y146" s="20"/>
    </row>
    <row r="147" spans="1:25" x14ac:dyDescent="0.3">
      <c r="A147" s="11"/>
      <c r="B147" s="51" t="s">
        <v>37</v>
      </c>
      <c r="C147" s="9">
        <v>3</v>
      </c>
      <c r="D147" s="37">
        <v>1</v>
      </c>
      <c r="E147" s="37">
        <v>0</v>
      </c>
      <c r="F147" s="37">
        <v>2</v>
      </c>
      <c r="G147" s="37">
        <v>2</v>
      </c>
      <c r="H147" s="37">
        <v>9</v>
      </c>
      <c r="I147" s="38">
        <v>2</v>
      </c>
      <c r="J147" s="39">
        <v>4</v>
      </c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"/>
      <c r="B148" s="50" t="s">
        <v>39</v>
      </c>
      <c r="C148" s="23">
        <v>3</v>
      </c>
      <c r="D148" s="42">
        <v>0</v>
      </c>
      <c r="E148" s="42">
        <v>1</v>
      </c>
      <c r="F148" s="42">
        <v>2</v>
      </c>
      <c r="G148" s="42">
        <v>2</v>
      </c>
      <c r="H148" s="42">
        <v>6</v>
      </c>
      <c r="I148" s="43">
        <v>1</v>
      </c>
      <c r="J148" s="44">
        <v>5</v>
      </c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"/>
      <c r="B149" s="9"/>
      <c r="C149" s="9"/>
      <c r="D149" s="9"/>
      <c r="E149" s="9"/>
      <c r="F149" s="9"/>
      <c r="G149" s="12"/>
      <c r="H149" s="12"/>
      <c r="I149" s="12"/>
      <c r="J149" s="12"/>
      <c r="K149" s="13"/>
      <c r="S149" s="46"/>
      <c r="T149" s="17"/>
      <c r="U149" s="17"/>
      <c r="V149" s="17"/>
      <c r="W149" s="17"/>
      <c r="X149" s="19"/>
      <c r="Y149" s="20"/>
    </row>
    <row r="150" spans="1:25" x14ac:dyDescent="0.3">
      <c r="A150" s="11"/>
      <c r="B150" s="9"/>
      <c r="C150" s="9"/>
      <c r="D150" s="9"/>
      <c r="E150" s="9"/>
      <c r="F150" s="9"/>
      <c r="G150" s="12"/>
      <c r="H150" s="12"/>
      <c r="I150" s="12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ht="21" x14ac:dyDescent="0.4">
      <c r="A151" s="11"/>
      <c r="B151" s="9"/>
      <c r="C151" s="9"/>
      <c r="D151" s="9"/>
      <c r="E151" s="9"/>
      <c r="F151" s="14" t="s">
        <v>63</v>
      </c>
      <c r="G151" s="12"/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ht="14.4" customHeight="1" x14ac:dyDescent="0.4">
      <c r="A152" s="11"/>
      <c r="B152" s="69"/>
      <c r="C152" s="9"/>
      <c r="D152" s="9"/>
      <c r="E152" s="9"/>
      <c r="F152" s="9"/>
      <c r="G152" s="12"/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s="76" customFormat="1" x14ac:dyDescent="0.3">
      <c r="A153" s="70"/>
      <c r="B153" s="71"/>
      <c r="C153" s="72">
        <v>31578</v>
      </c>
      <c r="D153" s="73" t="s">
        <v>18</v>
      </c>
      <c r="E153" s="37" t="s">
        <v>4</v>
      </c>
      <c r="F153" s="73">
        <v>2</v>
      </c>
      <c r="G153" s="37">
        <v>0</v>
      </c>
      <c r="H153" s="37"/>
      <c r="I153" s="74" t="s">
        <v>64</v>
      </c>
      <c r="J153" s="74"/>
      <c r="K153" s="75"/>
      <c r="S153" s="8" t="s">
        <v>18</v>
      </c>
      <c r="T153" s="9" t="s">
        <v>4</v>
      </c>
      <c r="U153" s="9">
        <v>2</v>
      </c>
      <c r="V153" s="9">
        <v>0</v>
      </c>
      <c r="W153" s="9"/>
      <c r="X153" s="19">
        <f t="shared" ref="X153:X160" si="12">(IF(U153&gt;V153,3,IF(U153=V153,1,2)))</f>
        <v>3</v>
      </c>
      <c r="Y153" s="20">
        <f t="shared" ref="Y153:Y160" si="13">(IF(V153&gt;U153,3,IF(U153=V153,1,2)))</f>
        <v>2</v>
      </c>
    </row>
    <row r="154" spans="1:25" s="76" customFormat="1" ht="15" thickBot="1" x14ac:dyDescent="0.35">
      <c r="A154" s="70"/>
      <c r="B154" s="71"/>
      <c r="C154" s="77"/>
      <c r="D154" s="78"/>
      <c r="E154" s="42"/>
      <c r="F154" s="42" t="s">
        <v>19</v>
      </c>
      <c r="G154" s="42" t="s">
        <v>15</v>
      </c>
      <c r="H154" s="42"/>
      <c r="I154" s="79"/>
      <c r="J154" s="74"/>
      <c r="K154" s="75"/>
      <c r="S154" s="8" t="s">
        <v>23</v>
      </c>
      <c r="T154" s="9" t="s">
        <v>20</v>
      </c>
      <c r="U154" s="9">
        <v>3</v>
      </c>
      <c r="V154" s="9">
        <v>4</v>
      </c>
      <c r="W154" s="9"/>
      <c r="X154" s="19">
        <f t="shared" si="12"/>
        <v>2</v>
      </c>
      <c r="Y154" s="20">
        <f t="shared" si="13"/>
        <v>3</v>
      </c>
    </row>
    <row r="155" spans="1:25" s="76" customFormat="1" x14ac:dyDescent="0.3">
      <c r="A155" s="70"/>
      <c r="B155" s="71"/>
      <c r="C155" s="72">
        <v>31578</v>
      </c>
      <c r="D155" s="37" t="s">
        <v>23</v>
      </c>
      <c r="E155" s="73" t="s">
        <v>20</v>
      </c>
      <c r="F155" s="37">
        <v>3</v>
      </c>
      <c r="G155" s="73">
        <v>4</v>
      </c>
      <c r="H155" s="37" t="s">
        <v>65</v>
      </c>
      <c r="I155" s="74" t="s">
        <v>48</v>
      </c>
      <c r="J155" s="74"/>
      <c r="K155" s="75"/>
      <c r="S155" s="8" t="s">
        <v>16</v>
      </c>
      <c r="T155" s="9" t="s">
        <v>35</v>
      </c>
      <c r="U155" s="9">
        <v>4</v>
      </c>
      <c r="V155" s="9">
        <v>0</v>
      </c>
      <c r="W155" s="9"/>
      <c r="X155" s="19">
        <f t="shared" si="12"/>
        <v>3</v>
      </c>
      <c r="Y155" s="20">
        <f t="shared" si="13"/>
        <v>2</v>
      </c>
    </row>
    <row r="156" spans="1:25" s="76" customFormat="1" x14ac:dyDescent="0.3">
      <c r="A156" s="70"/>
      <c r="B156" s="71"/>
      <c r="C156" s="72"/>
      <c r="D156" s="37"/>
      <c r="E156" s="73"/>
      <c r="F156" s="37">
        <v>2</v>
      </c>
      <c r="G156" s="37">
        <v>2</v>
      </c>
      <c r="H156" s="37"/>
      <c r="I156" s="74"/>
      <c r="J156" s="74"/>
      <c r="K156" s="75"/>
      <c r="S156" s="8" t="s">
        <v>7</v>
      </c>
      <c r="T156" s="9" t="s">
        <v>38</v>
      </c>
      <c r="U156" s="9">
        <v>1</v>
      </c>
      <c r="V156" s="9">
        <v>0</v>
      </c>
      <c r="W156" s="9"/>
      <c r="X156" s="19">
        <f t="shared" si="12"/>
        <v>3</v>
      </c>
      <c r="Y156" s="20">
        <f t="shared" si="13"/>
        <v>2</v>
      </c>
    </row>
    <row r="157" spans="1:25" s="76" customFormat="1" ht="15" thickBot="1" x14ac:dyDescent="0.35">
      <c r="A157" s="70"/>
      <c r="B157" s="71"/>
      <c r="C157" s="77"/>
      <c r="D157" s="42"/>
      <c r="E157" s="78"/>
      <c r="F157" s="42" t="s">
        <v>19</v>
      </c>
      <c r="G157" s="42" t="s">
        <v>15</v>
      </c>
      <c r="H157" s="42"/>
      <c r="I157" s="79"/>
      <c r="J157" s="74"/>
      <c r="K157" s="75"/>
      <c r="S157" s="8" t="s">
        <v>5</v>
      </c>
      <c r="T157" s="9" t="s">
        <v>11</v>
      </c>
      <c r="U157" s="9">
        <v>0</v>
      </c>
      <c r="V157" s="9">
        <v>2</v>
      </c>
      <c r="W157" s="9"/>
      <c r="X157" s="19">
        <f t="shared" si="12"/>
        <v>2</v>
      </c>
      <c r="Y157" s="20">
        <f t="shared" si="13"/>
        <v>3</v>
      </c>
    </row>
    <row r="158" spans="1:25" s="86" customFormat="1" x14ac:dyDescent="0.3">
      <c r="A158" s="70"/>
      <c r="B158" s="80"/>
      <c r="C158" s="81">
        <v>31579</v>
      </c>
      <c r="D158" s="82" t="s">
        <v>16</v>
      </c>
      <c r="E158" s="83" t="s">
        <v>35</v>
      </c>
      <c r="F158" s="82">
        <v>4</v>
      </c>
      <c r="G158" s="83">
        <v>0</v>
      </c>
      <c r="H158" s="83"/>
      <c r="I158" s="84" t="s">
        <v>66</v>
      </c>
      <c r="J158" s="84"/>
      <c r="K158" s="85"/>
      <c r="S158" s="8" t="s">
        <v>26</v>
      </c>
      <c r="T158" s="9" t="s">
        <v>13</v>
      </c>
      <c r="U158" s="9">
        <v>0</v>
      </c>
      <c r="V158" s="9">
        <v>1</v>
      </c>
      <c r="W158" s="9"/>
      <c r="X158" s="19">
        <f t="shared" si="12"/>
        <v>2</v>
      </c>
      <c r="Y158" s="20">
        <f t="shared" si="13"/>
        <v>3</v>
      </c>
    </row>
    <row r="159" spans="1:25" s="86" customFormat="1" ht="15" thickBot="1" x14ac:dyDescent="0.35">
      <c r="A159" s="70"/>
      <c r="B159" s="80"/>
      <c r="C159" s="87"/>
      <c r="D159" s="88"/>
      <c r="E159" s="89"/>
      <c r="F159" s="89" t="s">
        <v>19</v>
      </c>
      <c r="G159" s="89" t="s">
        <v>15</v>
      </c>
      <c r="H159" s="89"/>
      <c r="I159" s="90"/>
      <c r="J159" s="84"/>
      <c r="K159" s="85"/>
      <c r="S159" s="8" t="s">
        <v>24</v>
      </c>
      <c r="T159" s="9" t="s">
        <v>25</v>
      </c>
      <c r="U159" s="9">
        <v>3</v>
      </c>
      <c r="V159" s="9">
        <v>0</v>
      </c>
      <c r="W159" s="9"/>
      <c r="X159" s="19">
        <f t="shared" si="12"/>
        <v>3</v>
      </c>
      <c r="Y159" s="20">
        <f t="shared" si="13"/>
        <v>2</v>
      </c>
    </row>
    <row r="160" spans="1:25" s="76" customFormat="1" x14ac:dyDescent="0.3">
      <c r="A160" s="70"/>
      <c r="B160" s="71"/>
      <c r="C160" s="72">
        <v>31579</v>
      </c>
      <c r="D160" s="73" t="s">
        <v>7</v>
      </c>
      <c r="E160" s="37" t="s">
        <v>38</v>
      </c>
      <c r="F160" s="73">
        <v>1</v>
      </c>
      <c r="G160" s="37">
        <v>0</v>
      </c>
      <c r="H160" s="37"/>
      <c r="I160" s="74" t="s">
        <v>17</v>
      </c>
      <c r="J160" s="74"/>
      <c r="K160" s="75"/>
      <c r="S160" s="8" t="s">
        <v>21</v>
      </c>
      <c r="T160" s="9" t="s">
        <v>22</v>
      </c>
      <c r="U160" s="9">
        <v>1</v>
      </c>
      <c r="V160" s="9">
        <v>5</v>
      </c>
      <c r="W160" s="9"/>
      <c r="X160" s="19">
        <f t="shared" si="12"/>
        <v>2</v>
      </c>
      <c r="Y160" s="20">
        <f t="shared" si="13"/>
        <v>3</v>
      </c>
    </row>
    <row r="161" spans="1:25" s="76" customFormat="1" ht="15" thickBot="1" x14ac:dyDescent="0.35">
      <c r="A161" s="70"/>
      <c r="B161" s="71"/>
      <c r="C161" s="77"/>
      <c r="D161" s="78"/>
      <c r="E161" s="42"/>
      <c r="F161" s="42" t="s">
        <v>19</v>
      </c>
      <c r="G161" s="42" t="s">
        <v>15</v>
      </c>
      <c r="H161" s="42"/>
      <c r="I161" s="79"/>
      <c r="J161" s="74"/>
      <c r="K161" s="75"/>
      <c r="S161" s="8"/>
      <c r="T161" s="9"/>
      <c r="U161" s="9"/>
      <c r="V161" s="9"/>
      <c r="W161" s="9"/>
      <c r="X161" s="19"/>
      <c r="Y161" s="20"/>
    </row>
    <row r="162" spans="1:25" s="76" customFormat="1" x14ac:dyDescent="0.3">
      <c r="A162" s="70"/>
      <c r="B162" s="71"/>
      <c r="C162" s="72">
        <v>31580</v>
      </c>
      <c r="D162" s="37" t="s">
        <v>5</v>
      </c>
      <c r="E162" s="73" t="s">
        <v>11</v>
      </c>
      <c r="F162" s="37">
        <v>0</v>
      </c>
      <c r="G162" s="73">
        <v>2</v>
      </c>
      <c r="H162" s="37"/>
      <c r="I162" s="91" t="s">
        <v>12</v>
      </c>
      <c r="J162" s="74"/>
      <c r="K162" s="75"/>
      <c r="S162" s="8"/>
      <c r="T162" s="9"/>
      <c r="U162" s="9"/>
      <c r="V162" s="9"/>
      <c r="W162" s="9"/>
      <c r="X162" s="19"/>
      <c r="Y162" s="20"/>
    </row>
    <row r="163" spans="1:25" s="76" customFormat="1" ht="15" thickBot="1" x14ac:dyDescent="0.35">
      <c r="A163" s="70"/>
      <c r="B163" s="71"/>
      <c r="C163" s="77"/>
      <c r="D163" s="42"/>
      <c r="E163" s="78"/>
      <c r="F163" s="42" t="s">
        <v>8</v>
      </c>
      <c r="G163" s="42" t="s">
        <v>9</v>
      </c>
      <c r="H163" s="42"/>
      <c r="I163" s="92"/>
      <c r="J163" s="74"/>
      <c r="K163" s="75"/>
      <c r="S163" s="8"/>
      <c r="T163" s="9"/>
      <c r="U163" s="9"/>
      <c r="V163" s="9"/>
      <c r="W163" s="9"/>
      <c r="X163" s="19"/>
      <c r="Y163" s="20"/>
    </row>
    <row r="164" spans="1:25" s="86" customFormat="1" x14ac:dyDescent="0.3">
      <c r="A164" s="70"/>
      <c r="B164" s="80"/>
      <c r="C164" s="81">
        <v>31580</v>
      </c>
      <c r="D164" s="83" t="s">
        <v>26</v>
      </c>
      <c r="E164" s="82" t="s">
        <v>13</v>
      </c>
      <c r="F164" s="83">
        <v>0</v>
      </c>
      <c r="G164" s="82">
        <v>1</v>
      </c>
      <c r="H164" s="83"/>
      <c r="I164" s="93" t="s">
        <v>59</v>
      </c>
      <c r="J164" s="84"/>
      <c r="K164" s="85"/>
      <c r="S164" s="8"/>
      <c r="T164" s="9"/>
      <c r="U164" s="9"/>
      <c r="V164" s="9"/>
      <c r="W164" s="9"/>
      <c r="X164" s="19"/>
      <c r="Y164" s="20"/>
    </row>
    <row r="165" spans="1:25" s="86" customFormat="1" ht="15" thickBot="1" x14ac:dyDescent="0.35">
      <c r="A165" s="70"/>
      <c r="B165" s="80"/>
      <c r="C165" s="87"/>
      <c r="D165" s="89"/>
      <c r="E165" s="88"/>
      <c r="F165" s="89" t="s">
        <v>8</v>
      </c>
      <c r="G165" s="89" t="s">
        <v>15</v>
      </c>
      <c r="H165" s="89"/>
      <c r="I165" s="94"/>
      <c r="J165" s="84"/>
      <c r="K165" s="85"/>
      <c r="S165" s="8"/>
      <c r="T165" s="9"/>
      <c r="U165" s="9"/>
      <c r="V165" s="9"/>
      <c r="W165" s="9"/>
      <c r="X165" s="19"/>
      <c r="Y165" s="20"/>
    </row>
    <row r="166" spans="1:25" s="76" customFormat="1" x14ac:dyDescent="0.3">
      <c r="A166" s="70"/>
      <c r="B166" s="71"/>
      <c r="C166" s="72">
        <v>31581</v>
      </c>
      <c r="D166" s="73" t="s">
        <v>24</v>
      </c>
      <c r="E166" s="37" t="s">
        <v>25</v>
      </c>
      <c r="F166" s="73">
        <v>3</v>
      </c>
      <c r="G166" s="37">
        <v>0</v>
      </c>
      <c r="H166" s="37"/>
      <c r="I166" s="74" t="s">
        <v>64</v>
      </c>
      <c r="J166" s="74"/>
      <c r="K166" s="75"/>
      <c r="S166" s="8"/>
      <c r="T166" s="9"/>
      <c r="U166" s="9"/>
      <c r="V166" s="9"/>
      <c r="W166" s="9"/>
      <c r="X166" s="9"/>
      <c r="Y166" s="10"/>
    </row>
    <row r="167" spans="1:25" s="76" customFormat="1" ht="15" thickBot="1" x14ac:dyDescent="0.35">
      <c r="A167" s="70"/>
      <c r="B167" s="71"/>
      <c r="C167" s="77"/>
      <c r="D167" s="78"/>
      <c r="E167" s="42"/>
      <c r="F167" s="42" t="s">
        <v>19</v>
      </c>
      <c r="G167" s="42" t="s">
        <v>15</v>
      </c>
      <c r="H167" s="42"/>
      <c r="I167" s="79"/>
      <c r="J167" s="74"/>
      <c r="K167" s="75"/>
      <c r="S167" s="8"/>
      <c r="T167" s="9"/>
      <c r="U167" s="9"/>
      <c r="V167" s="9"/>
      <c r="W167" s="9"/>
      <c r="X167" s="9"/>
      <c r="Y167" s="10"/>
    </row>
    <row r="168" spans="1:25" s="86" customFormat="1" x14ac:dyDescent="0.3">
      <c r="A168" s="70"/>
      <c r="B168" s="80"/>
      <c r="C168" s="81">
        <v>31581</v>
      </c>
      <c r="D168" s="83" t="s">
        <v>21</v>
      </c>
      <c r="E168" s="82" t="s">
        <v>22</v>
      </c>
      <c r="F168" s="83">
        <v>1</v>
      </c>
      <c r="G168" s="82">
        <v>5</v>
      </c>
      <c r="H168" s="83"/>
      <c r="I168" s="84" t="s">
        <v>56</v>
      </c>
      <c r="J168" s="84"/>
      <c r="K168" s="85"/>
      <c r="S168" s="8"/>
      <c r="T168" s="9"/>
      <c r="U168" s="9"/>
      <c r="V168" s="9"/>
      <c r="W168" s="9"/>
      <c r="X168" s="9"/>
      <c r="Y168" s="10"/>
    </row>
    <row r="169" spans="1:25" x14ac:dyDescent="0.3">
      <c r="A169" s="29"/>
      <c r="B169" s="9"/>
      <c r="C169" s="9"/>
      <c r="D169" s="9"/>
      <c r="E169" s="9"/>
      <c r="F169" s="9" t="s">
        <v>19</v>
      </c>
      <c r="G169" s="12" t="s">
        <v>9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29"/>
      <c r="B170" s="9"/>
      <c r="C170" s="9"/>
      <c r="D170" s="9"/>
      <c r="E170" s="9"/>
      <c r="F170" s="9"/>
      <c r="G170" s="12"/>
      <c r="H170" s="12"/>
      <c r="I170" s="12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29"/>
      <c r="B171" s="9"/>
      <c r="C171" s="9"/>
      <c r="D171" s="9"/>
      <c r="E171" s="9"/>
      <c r="F171" s="9"/>
      <c r="G171" s="12"/>
      <c r="H171" s="12"/>
      <c r="I171" s="12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21" x14ac:dyDescent="0.4">
      <c r="A172" s="29"/>
      <c r="B172" s="9"/>
      <c r="C172" s="9"/>
      <c r="D172" s="9"/>
      <c r="E172" s="9"/>
      <c r="F172" s="14" t="s">
        <v>67</v>
      </c>
      <c r="G172" s="12"/>
      <c r="H172" s="12"/>
      <c r="I172" s="12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4.4" customHeight="1" x14ac:dyDescent="0.4">
      <c r="A173" s="29"/>
      <c r="B173" s="69"/>
      <c r="C173" s="9"/>
      <c r="D173" s="9"/>
      <c r="E173" s="9"/>
      <c r="F173" s="9"/>
      <c r="G173" s="12"/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s="76" customFormat="1" x14ac:dyDescent="0.3">
      <c r="A174" s="70"/>
      <c r="B174" s="71"/>
      <c r="C174" s="72">
        <v>31584</v>
      </c>
      <c r="D174" s="37" t="s">
        <v>16</v>
      </c>
      <c r="E174" s="73" t="s">
        <v>11</v>
      </c>
      <c r="F174" s="37">
        <v>3</v>
      </c>
      <c r="G174" s="73">
        <v>4</v>
      </c>
      <c r="H174" s="37" t="s">
        <v>68</v>
      </c>
      <c r="I174" s="74" t="s">
        <v>66</v>
      </c>
      <c r="J174" s="74"/>
      <c r="K174" s="75"/>
      <c r="S174" s="46" t="s">
        <v>16</v>
      </c>
      <c r="T174" s="17" t="s">
        <v>11</v>
      </c>
      <c r="U174" s="17">
        <v>4</v>
      </c>
      <c r="V174" s="17">
        <v>5</v>
      </c>
      <c r="W174" s="57"/>
      <c r="X174" s="19">
        <f t="shared" ref="X174:X177" si="14">(IF(U174&gt;V174,3,IF(U174=V174,1,2)))</f>
        <v>2</v>
      </c>
      <c r="Y174" s="20">
        <f t="shared" ref="Y174:Y177" si="15">(IF(V174&gt;U174,3,IF(U174=V174,1,2)))</f>
        <v>3</v>
      </c>
    </row>
    <row r="175" spans="1:25" s="86" customFormat="1" x14ac:dyDescent="0.3">
      <c r="A175" s="70"/>
      <c r="B175" s="80"/>
      <c r="C175" s="81"/>
      <c r="D175" s="83"/>
      <c r="E175" s="83"/>
      <c r="F175" s="83">
        <v>1</v>
      </c>
      <c r="G175" s="37">
        <v>1</v>
      </c>
      <c r="H175" s="83" t="s">
        <v>65</v>
      </c>
      <c r="I175" s="84"/>
      <c r="J175" s="84"/>
      <c r="K175" s="85"/>
      <c r="S175" s="8" t="s">
        <v>13</v>
      </c>
      <c r="T175" s="9" t="s">
        <v>18</v>
      </c>
      <c r="U175" s="9">
        <v>4</v>
      </c>
      <c r="V175" s="9">
        <v>1</v>
      </c>
      <c r="W175" s="9"/>
      <c r="X175" s="19">
        <f t="shared" si="14"/>
        <v>3</v>
      </c>
      <c r="Y175" s="20">
        <f t="shared" si="15"/>
        <v>2</v>
      </c>
    </row>
    <row r="176" spans="1:25" s="86" customFormat="1" x14ac:dyDescent="0.3">
      <c r="A176" s="70"/>
      <c r="B176" s="80"/>
      <c r="C176" s="81"/>
      <c r="D176" s="83"/>
      <c r="E176" s="83"/>
      <c r="F176" s="83">
        <v>1</v>
      </c>
      <c r="G176" s="37">
        <v>1</v>
      </c>
      <c r="H176" s="83"/>
      <c r="I176" s="84"/>
      <c r="J176" s="84"/>
      <c r="K176" s="85"/>
      <c r="S176" s="8" t="s">
        <v>7</v>
      </c>
      <c r="T176" s="9" t="s">
        <v>24</v>
      </c>
      <c r="U176" s="9">
        <v>2</v>
      </c>
      <c r="V176" s="9">
        <v>1</v>
      </c>
      <c r="W176" s="9"/>
      <c r="X176" s="19">
        <f t="shared" si="14"/>
        <v>3</v>
      </c>
      <c r="Y176" s="20">
        <f t="shared" si="15"/>
        <v>2</v>
      </c>
    </row>
    <row r="177" spans="1:25" s="86" customFormat="1" ht="15" thickBot="1" x14ac:dyDescent="0.35">
      <c r="A177" s="70"/>
      <c r="B177" s="80"/>
      <c r="C177" s="87"/>
      <c r="D177" s="89"/>
      <c r="E177" s="89"/>
      <c r="F177" s="89" t="s">
        <v>19</v>
      </c>
      <c r="G177" s="42" t="s">
        <v>9</v>
      </c>
      <c r="H177" s="89"/>
      <c r="I177" s="90"/>
      <c r="J177" s="84"/>
      <c r="K177" s="85"/>
      <c r="S177" s="8" t="s">
        <v>22</v>
      </c>
      <c r="T177" s="9" t="s">
        <v>20</v>
      </c>
      <c r="U177" s="9">
        <v>5</v>
      </c>
      <c r="V177" s="9">
        <v>6</v>
      </c>
      <c r="W177" s="9"/>
      <c r="X177" s="19">
        <f t="shared" si="14"/>
        <v>2</v>
      </c>
      <c r="Y177" s="20">
        <f t="shared" si="15"/>
        <v>3</v>
      </c>
    </row>
    <row r="178" spans="1:25" s="76" customFormat="1" x14ac:dyDescent="0.3">
      <c r="A178" s="70"/>
      <c r="B178" s="71"/>
      <c r="C178" s="72">
        <v>31584</v>
      </c>
      <c r="D178" s="73" t="s">
        <v>13</v>
      </c>
      <c r="E178" s="37" t="s">
        <v>18</v>
      </c>
      <c r="F178" s="73">
        <v>4</v>
      </c>
      <c r="G178" s="37">
        <v>1</v>
      </c>
      <c r="H178" s="37" t="s">
        <v>68</v>
      </c>
      <c r="I178" s="91" t="s">
        <v>59</v>
      </c>
      <c r="J178" s="74"/>
      <c r="K178" s="75"/>
      <c r="S178" s="8"/>
      <c r="T178" s="9"/>
      <c r="U178" s="9"/>
      <c r="V178" s="9"/>
      <c r="W178" s="9"/>
      <c r="X178" s="19"/>
      <c r="Y178" s="20"/>
    </row>
    <row r="179" spans="1:25" s="86" customFormat="1" x14ac:dyDescent="0.3">
      <c r="A179" s="70"/>
      <c r="B179" s="80"/>
      <c r="C179" s="81"/>
      <c r="D179" s="83"/>
      <c r="E179" s="83"/>
      <c r="F179" s="83">
        <v>0</v>
      </c>
      <c r="G179" s="83">
        <v>0</v>
      </c>
      <c r="H179" s="83" t="s">
        <v>65</v>
      </c>
      <c r="I179" s="84"/>
      <c r="J179" s="84"/>
      <c r="K179" s="85"/>
      <c r="S179" s="8"/>
      <c r="T179" s="9"/>
      <c r="U179" s="9"/>
      <c r="V179" s="9"/>
      <c r="W179" s="9"/>
      <c r="X179" s="19"/>
      <c r="Y179" s="20"/>
    </row>
    <row r="180" spans="1:25" s="86" customFormat="1" x14ac:dyDescent="0.3">
      <c r="A180" s="70"/>
      <c r="B180" s="80"/>
      <c r="C180" s="81"/>
      <c r="D180" s="83"/>
      <c r="E180" s="83"/>
      <c r="F180" s="83">
        <v>0</v>
      </c>
      <c r="G180" s="83">
        <v>0</v>
      </c>
      <c r="H180" s="83"/>
      <c r="I180" s="84"/>
      <c r="J180" s="84"/>
      <c r="K180" s="85"/>
      <c r="S180" s="8"/>
      <c r="T180" s="9"/>
      <c r="U180" s="9"/>
      <c r="V180" s="9"/>
      <c r="W180" s="9"/>
      <c r="X180" s="19"/>
      <c r="Y180" s="20"/>
    </row>
    <row r="181" spans="1:25" s="86" customFormat="1" ht="15" thickBot="1" x14ac:dyDescent="0.35">
      <c r="A181" s="70"/>
      <c r="B181" s="80"/>
      <c r="C181" s="87"/>
      <c r="D181" s="89"/>
      <c r="E181" s="89"/>
      <c r="F181" s="89" t="s">
        <v>8</v>
      </c>
      <c r="G181" s="89" t="s">
        <v>15</v>
      </c>
      <c r="H181" s="89"/>
      <c r="I181" s="90"/>
      <c r="J181" s="84"/>
      <c r="K181" s="85"/>
      <c r="S181" s="8"/>
      <c r="T181" s="9"/>
      <c r="U181" s="9"/>
      <c r="V181" s="9"/>
      <c r="W181" s="9"/>
      <c r="X181" s="19"/>
      <c r="Y181" s="20"/>
    </row>
    <row r="182" spans="1:25" s="76" customFormat="1" x14ac:dyDescent="0.3">
      <c r="A182" s="70"/>
      <c r="B182" s="71"/>
      <c r="C182" s="72">
        <v>31585</v>
      </c>
      <c r="D182" s="73" t="s">
        <v>7</v>
      </c>
      <c r="E182" s="37" t="s">
        <v>24</v>
      </c>
      <c r="F182" s="73">
        <v>2</v>
      </c>
      <c r="G182" s="37">
        <v>1</v>
      </c>
      <c r="H182" s="37"/>
      <c r="I182" s="74" t="s">
        <v>64</v>
      </c>
      <c r="J182" s="74"/>
      <c r="K182" s="75"/>
      <c r="S182" s="8"/>
      <c r="T182" s="9"/>
      <c r="U182" s="9"/>
      <c r="V182" s="9"/>
      <c r="W182" s="9"/>
      <c r="X182" s="19"/>
      <c r="Y182" s="20"/>
    </row>
    <row r="183" spans="1:25" s="76" customFormat="1" ht="15" thickBot="1" x14ac:dyDescent="0.35">
      <c r="A183" s="70"/>
      <c r="B183" s="71"/>
      <c r="C183" s="77"/>
      <c r="D183" s="78"/>
      <c r="E183" s="42"/>
      <c r="F183" s="42" t="s">
        <v>8</v>
      </c>
      <c r="G183" s="42" t="s">
        <v>15</v>
      </c>
      <c r="H183" s="42"/>
      <c r="I183" s="79"/>
      <c r="J183" s="74"/>
      <c r="K183" s="75"/>
      <c r="S183" s="8"/>
      <c r="T183" s="9"/>
      <c r="U183" s="9"/>
      <c r="V183" s="9"/>
      <c r="W183" s="9"/>
      <c r="X183" s="19"/>
      <c r="Y183" s="20"/>
    </row>
    <row r="184" spans="1:25" s="76" customFormat="1" x14ac:dyDescent="0.3">
      <c r="A184" s="70"/>
      <c r="B184" s="71"/>
      <c r="C184" s="72">
        <v>31585</v>
      </c>
      <c r="D184" s="37" t="s">
        <v>22</v>
      </c>
      <c r="E184" s="73" t="s">
        <v>20</v>
      </c>
      <c r="F184" s="37">
        <v>4</v>
      </c>
      <c r="G184" s="73">
        <v>5</v>
      </c>
      <c r="H184" s="37" t="s">
        <v>68</v>
      </c>
      <c r="I184" s="74" t="s">
        <v>17</v>
      </c>
      <c r="J184" s="74"/>
      <c r="K184" s="75"/>
      <c r="S184" s="8"/>
      <c r="T184" s="9"/>
      <c r="U184" s="9"/>
      <c r="V184" s="9"/>
      <c r="W184" s="9"/>
      <c r="X184" s="19"/>
      <c r="Y184" s="20"/>
    </row>
    <row r="185" spans="1:25" s="86" customFormat="1" x14ac:dyDescent="0.3">
      <c r="A185" s="70"/>
      <c r="B185" s="80"/>
      <c r="C185" s="81"/>
      <c r="D185" s="83"/>
      <c r="E185" s="83"/>
      <c r="F185" s="83">
        <v>1</v>
      </c>
      <c r="G185" s="37">
        <v>1</v>
      </c>
      <c r="H185" s="83" t="s">
        <v>65</v>
      </c>
      <c r="I185" s="84"/>
      <c r="J185" s="84"/>
      <c r="K185" s="85"/>
      <c r="S185" s="8"/>
      <c r="T185" s="9"/>
      <c r="U185" s="9"/>
      <c r="V185" s="9"/>
      <c r="W185" s="9"/>
      <c r="X185" s="19"/>
      <c r="Y185" s="20"/>
    </row>
    <row r="186" spans="1:25" x14ac:dyDescent="0.3">
      <c r="A186" s="29"/>
      <c r="B186" s="9"/>
      <c r="C186" s="9"/>
      <c r="D186" s="9"/>
      <c r="E186" s="95"/>
      <c r="F186" s="9">
        <v>1</v>
      </c>
      <c r="G186" s="12">
        <v>1</v>
      </c>
      <c r="H186" s="12"/>
      <c r="I186" s="12"/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x14ac:dyDescent="0.3">
      <c r="A187" s="29"/>
      <c r="B187" s="9"/>
      <c r="C187" s="9"/>
      <c r="D187" s="9"/>
      <c r="E187" s="95"/>
      <c r="F187" s="9" t="s">
        <v>8</v>
      </c>
      <c r="G187" s="12" t="s">
        <v>9</v>
      </c>
      <c r="H187" s="12"/>
      <c r="I187" s="12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29"/>
      <c r="B188" s="9"/>
      <c r="C188" s="9"/>
      <c r="D188" s="9"/>
      <c r="E188" s="95"/>
      <c r="F188" s="9"/>
      <c r="G188" s="12"/>
      <c r="H188" s="12"/>
      <c r="I188" s="12"/>
      <c r="J188" s="12"/>
      <c r="K188" s="13"/>
      <c r="S188" s="8"/>
      <c r="T188" s="9"/>
      <c r="U188" s="9"/>
      <c r="V188" s="9"/>
      <c r="W188" s="9"/>
      <c r="X188" s="19"/>
      <c r="Y188" s="20"/>
    </row>
    <row r="189" spans="1:25" x14ac:dyDescent="0.3">
      <c r="A189" s="29"/>
      <c r="B189" s="9"/>
      <c r="C189" s="9"/>
      <c r="D189" s="9"/>
      <c r="E189" s="9"/>
      <c r="F189" s="9"/>
      <c r="G189" s="12"/>
      <c r="H189" s="12"/>
      <c r="I189" s="12"/>
      <c r="J189" s="12"/>
      <c r="K189" s="13"/>
      <c r="S189" s="8"/>
      <c r="T189" s="9"/>
      <c r="U189" s="9"/>
      <c r="V189" s="9"/>
      <c r="W189" s="9"/>
      <c r="X189" s="19"/>
      <c r="Y189" s="20"/>
    </row>
    <row r="190" spans="1:25" ht="21" x14ac:dyDescent="0.4">
      <c r="A190" s="29"/>
      <c r="B190" s="9"/>
      <c r="C190" s="9"/>
      <c r="D190" s="9"/>
      <c r="E190" s="9"/>
      <c r="F190" s="14" t="s">
        <v>69</v>
      </c>
      <c r="G190" s="12"/>
      <c r="H190" s="12"/>
      <c r="I190" s="12"/>
      <c r="J190" s="12"/>
      <c r="K190" s="13"/>
      <c r="S190" s="46"/>
      <c r="T190" s="17"/>
      <c r="U190" s="17"/>
      <c r="V190" s="17"/>
      <c r="W190" s="17"/>
      <c r="X190" s="19"/>
      <c r="Y190" s="20"/>
    </row>
    <row r="191" spans="1:25" ht="14.4" customHeight="1" x14ac:dyDescent="0.4">
      <c r="A191" s="29"/>
      <c r="B191" s="69"/>
      <c r="C191" s="9"/>
      <c r="D191" s="9"/>
      <c r="E191" s="9"/>
      <c r="F191" s="9"/>
      <c r="G191" s="12"/>
      <c r="H191" s="12"/>
      <c r="I191" s="12"/>
      <c r="J191" s="12"/>
      <c r="K191" s="13"/>
      <c r="S191" s="8"/>
      <c r="T191" s="9"/>
      <c r="U191" s="9"/>
      <c r="V191" s="9"/>
      <c r="W191" s="9"/>
      <c r="X191" s="19"/>
      <c r="Y191" s="20"/>
    </row>
    <row r="192" spans="1:25" s="76" customFormat="1" x14ac:dyDescent="0.3">
      <c r="A192" s="70"/>
      <c r="B192" s="71"/>
      <c r="C192" s="72">
        <v>31588</v>
      </c>
      <c r="D192" s="37" t="s">
        <v>11</v>
      </c>
      <c r="E192" s="73" t="s">
        <v>13</v>
      </c>
      <c r="F192" s="37">
        <v>0</v>
      </c>
      <c r="G192" s="73">
        <v>2</v>
      </c>
      <c r="H192" s="37"/>
      <c r="I192" s="74" t="s">
        <v>66</v>
      </c>
      <c r="J192" s="74"/>
      <c r="K192" s="75"/>
      <c r="S192" s="46" t="s">
        <v>11</v>
      </c>
      <c r="T192" s="17" t="s">
        <v>13</v>
      </c>
      <c r="U192" s="17">
        <v>0</v>
      </c>
      <c r="V192" s="17">
        <v>2</v>
      </c>
      <c r="W192" s="17"/>
      <c r="X192" s="19">
        <f t="shared" ref="X192:X193" si="16">(IF(U192&gt;V192,3,IF(U192=V192,1,2)))</f>
        <v>2</v>
      </c>
      <c r="Y192" s="20">
        <f t="shared" ref="Y192:Y193" si="17">(IF(V192&gt;U192,3,IF(U192=V192,1,2)))</f>
        <v>3</v>
      </c>
    </row>
    <row r="193" spans="1:25" s="76" customFormat="1" ht="15" thickBot="1" x14ac:dyDescent="0.35">
      <c r="A193" s="70"/>
      <c r="B193" s="71"/>
      <c r="C193" s="77"/>
      <c r="D193" s="42"/>
      <c r="E193" s="78"/>
      <c r="F193" s="42" t="s">
        <v>8</v>
      </c>
      <c r="G193" s="42" t="s">
        <v>9</v>
      </c>
      <c r="H193" s="42"/>
      <c r="I193" s="79"/>
      <c r="J193" s="74"/>
      <c r="K193" s="75"/>
      <c r="S193" s="8" t="s">
        <v>7</v>
      </c>
      <c r="T193" s="9" t="s">
        <v>20</v>
      </c>
      <c r="U193" s="9">
        <v>2</v>
      </c>
      <c r="V193" s="9">
        <v>0</v>
      </c>
      <c r="W193" s="9"/>
      <c r="X193" s="19">
        <f t="shared" si="16"/>
        <v>3</v>
      </c>
      <c r="Y193" s="20">
        <f t="shared" si="17"/>
        <v>2</v>
      </c>
    </row>
    <row r="194" spans="1:25" s="76" customFormat="1" x14ac:dyDescent="0.3">
      <c r="A194" s="70"/>
      <c r="B194" s="71"/>
      <c r="C194" s="72">
        <v>31588</v>
      </c>
      <c r="D194" s="73" t="s">
        <v>7</v>
      </c>
      <c r="E194" s="37" t="s">
        <v>20</v>
      </c>
      <c r="F194" s="73">
        <v>2</v>
      </c>
      <c r="G194" s="37">
        <v>0</v>
      </c>
      <c r="H194" s="37"/>
      <c r="I194" s="74" t="s">
        <v>64</v>
      </c>
      <c r="J194" s="74"/>
      <c r="K194" s="75"/>
      <c r="S194" s="96"/>
      <c r="T194" s="71"/>
      <c r="U194" s="71"/>
      <c r="V194" s="71"/>
      <c r="W194" s="71"/>
      <c r="X194" s="19"/>
      <c r="Y194" s="20"/>
    </row>
    <row r="195" spans="1:25" s="35" customFormat="1" x14ac:dyDescent="0.3">
      <c r="A195" s="29"/>
      <c r="B195" s="97"/>
      <c r="C195" s="17"/>
      <c r="D195" s="97"/>
      <c r="E195" s="17"/>
      <c r="F195" s="17" t="s">
        <v>8</v>
      </c>
      <c r="G195" s="38" t="s">
        <v>15</v>
      </c>
      <c r="H195" s="38"/>
      <c r="I195" s="38"/>
      <c r="J195" s="38"/>
      <c r="K195" s="40"/>
      <c r="S195" s="8"/>
      <c r="T195" s="9"/>
      <c r="U195" s="9"/>
      <c r="V195" s="9"/>
      <c r="W195" s="9"/>
      <c r="X195" s="19"/>
      <c r="Y195" s="20"/>
    </row>
    <row r="196" spans="1:25" s="35" customFormat="1" x14ac:dyDescent="0.3">
      <c r="A196" s="29"/>
      <c r="B196" s="17"/>
      <c r="C196" s="17"/>
      <c r="D196" s="17"/>
      <c r="E196" s="17"/>
      <c r="F196" s="17"/>
      <c r="G196" s="38"/>
      <c r="H196" s="38"/>
      <c r="I196" s="38"/>
      <c r="J196" s="38"/>
      <c r="K196" s="40"/>
      <c r="S196" s="8"/>
      <c r="T196" s="9"/>
      <c r="U196" s="9"/>
      <c r="V196" s="9"/>
      <c r="W196" s="9"/>
      <c r="X196" s="19"/>
      <c r="Y196" s="20"/>
    </row>
    <row r="197" spans="1:25" s="35" customFormat="1" ht="15" thickBot="1" x14ac:dyDescent="0.35">
      <c r="A197" s="29"/>
      <c r="B197" s="17"/>
      <c r="C197" s="17"/>
      <c r="D197" s="17"/>
      <c r="E197" s="17"/>
      <c r="F197" s="17"/>
      <c r="G197" s="38"/>
      <c r="H197" s="38"/>
      <c r="I197" s="38"/>
      <c r="J197" s="38"/>
      <c r="K197" s="40"/>
      <c r="S197" s="46"/>
      <c r="T197" s="17"/>
      <c r="U197" s="17"/>
      <c r="V197" s="17"/>
      <c r="W197" s="17"/>
      <c r="X197" s="19"/>
      <c r="Y197" s="20"/>
    </row>
    <row r="198" spans="1:25" s="35" customFormat="1" ht="21" x14ac:dyDescent="0.4">
      <c r="A198" s="29"/>
      <c r="B198" s="17"/>
      <c r="C198" s="193" t="s">
        <v>70</v>
      </c>
      <c r="D198" s="194"/>
      <c r="E198" s="194"/>
      <c r="F198" s="194"/>
      <c r="G198" s="194"/>
      <c r="H198" s="194"/>
      <c r="I198" s="195"/>
      <c r="J198" s="38"/>
      <c r="K198" s="98"/>
      <c r="L198" s="99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29"/>
      <c r="B199" s="17"/>
      <c r="C199" s="36"/>
      <c r="D199" s="17"/>
      <c r="E199" s="25" t="s">
        <v>11</v>
      </c>
      <c r="F199" s="57"/>
      <c r="G199" s="37" t="s">
        <v>20</v>
      </c>
      <c r="H199" s="17"/>
      <c r="I199" s="39"/>
      <c r="J199" s="38"/>
      <c r="K199" s="98"/>
      <c r="L199" s="99"/>
      <c r="S199" s="8" t="s">
        <v>11</v>
      </c>
      <c r="T199" s="9" t="s">
        <v>20</v>
      </c>
      <c r="U199" s="9">
        <v>4</v>
      </c>
      <c r="V199" s="9">
        <v>2</v>
      </c>
      <c r="W199" s="9"/>
      <c r="X199" s="19">
        <f t="shared" ref="X199:X208" si="18">(IF(U199&gt;V199,3,IF(U199=V199,1,2)))</f>
        <v>3</v>
      </c>
      <c r="Y199" s="20">
        <f t="shared" ref="Y199:Y208" si="19">(IF(V199&gt;U199,3,IF(U199=V199,1,2)))</f>
        <v>2</v>
      </c>
    </row>
    <row r="200" spans="1:25" s="35" customFormat="1" x14ac:dyDescent="0.3">
      <c r="A200" s="29"/>
      <c r="B200" s="17"/>
      <c r="C200" s="36"/>
      <c r="D200" s="17"/>
      <c r="E200" s="73">
        <v>4</v>
      </c>
      <c r="F200" s="57"/>
      <c r="G200" s="37">
        <v>2</v>
      </c>
      <c r="H200" s="17" t="s">
        <v>65</v>
      </c>
      <c r="I200" s="39"/>
      <c r="J200" s="38"/>
      <c r="K200" s="98"/>
      <c r="L200" s="99"/>
      <c r="S200" s="8"/>
      <c r="T200" s="9"/>
      <c r="U200" s="9"/>
      <c r="V200" s="9"/>
      <c r="W200" s="9"/>
      <c r="X200" s="19"/>
      <c r="Y200" s="20"/>
    </row>
    <row r="201" spans="1:25" s="35" customFormat="1" x14ac:dyDescent="0.3">
      <c r="A201" s="29"/>
      <c r="B201" s="17"/>
      <c r="C201" s="36"/>
      <c r="D201" s="17"/>
      <c r="E201" s="100">
        <v>2</v>
      </c>
      <c r="F201" s="57"/>
      <c r="G201" s="100">
        <v>2</v>
      </c>
      <c r="H201" s="17"/>
      <c r="I201" s="39"/>
      <c r="J201" s="38"/>
      <c r="K201" s="98"/>
      <c r="L201" s="99"/>
      <c r="S201" s="46"/>
      <c r="T201" s="17"/>
      <c r="U201" s="17"/>
      <c r="V201" s="17"/>
      <c r="W201" s="17"/>
      <c r="X201" s="19"/>
      <c r="Y201" s="20"/>
    </row>
    <row r="202" spans="1:25" s="35" customFormat="1" ht="15" thickBot="1" x14ac:dyDescent="0.35">
      <c r="A202" s="29"/>
      <c r="B202" s="17"/>
      <c r="C202" s="41"/>
      <c r="D202" s="22"/>
      <c r="E202" s="22" t="s">
        <v>14</v>
      </c>
      <c r="F202" s="101"/>
      <c r="G202" s="22" t="s">
        <v>9</v>
      </c>
      <c r="H202" s="22"/>
      <c r="I202" s="44"/>
      <c r="J202" s="38"/>
      <c r="K202" s="98"/>
      <c r="L202" s="99"/>
      <c r="S202" s="8"/>
      <c r="T202" s="9"/>
      <c r="U202" s="9"/>
      <c r="V202" s="9"/>
      <c r="W202" s="9"/>
      <c r="X202" s="19"/>
      <c r="Y202" s="20"/>
    </row>
    <row r="203" spans="1:25" s="35" customFormat="1" x14ac:dyDescent="0.3">
      <c r="A203" s="29"/>
      <c r="B203" s="17"/>
      <c r="C203" s="17"/>
      <c r="D203" s="17"/>
      <c r="E203" s="17"/>
      <c r="F203" s="17"/>
      <c r="G203" s="38"/>
      <c r="H203" s="38"/>
      <c r="I203" s="38"/>
      <c r="J203" s="38"/>
      <c r="K203" s="98"/>
      <c r="L203" s="99"/>
      <c r="S203" s="8"/>
      <c r="T203" s="9"/>
      <c r="U203" s="9"/>
      <c r="V203" s="9"/>
      <c r="W203" s="9"/>
      <c r="X203" s="19"/>
      <c r="Y203" s="20"/>
    </row>
    <row r="204" spans="1:25" s="35" customFormat="1" x14ac:dyDescent="0.3">
      <c r="A204" s="29"/>
      <c r="B204" s="17"/>
      <c r="C204" s="17"/>
      <c r="D204" s="17"/>
      <c r="E204" s="17"/>
      <c r="F204" s="17"/>
      <c r="G204" s="38"/>
      <c r="H204" s="38"/>
      <c r="I204" s="38"/>
      <c r="J204" s="38"/>
      <c r="K204" s="98"/>
      <c r="L204" s="99"/>
      <c r="S204" s="8"/>
      <c r="T204" s="9"/>
      <c r="U204" s="9"/>
      <c r="V204" s="9"/>
      <c r="W204" s="9"/>
      <c r="X204" s="19"/>
      <c r="Y204" s="20"/>
    </row>
    <row r="205" spans="1:25" x14ac:dyDescent="0.3">
      <c r="A205" s="29"/>
      <c r="B205" s="9"/>
      <c r="C205" s="9"/>
      <c r="D205" s="9"/>
      <c r="E205" s="9"/>
      <c r="F205" s="9"/>
      <c r="G205" s="12"/>
      <c r="H205" s="12"/>
      <c r="I205" s="12"/>
      <c r="J205" s="12"/>
      <c r="K205" s="102"/>
      <c r="L205" s="47"/>
      <c r="S205" s="8"/>
      <c r="T205" s="9"/>
      <c r="U205" s="9"/>
      <c r="V205" s="9"/>
      <c r="W205" s="9"/>
      <c r="X205" s="19"/>
      <c r="Y205" s="20"/>
    </row>
    <row r="206" spans="1:25" ht="15" thickBot="1" x14ac:dyDescent="0.35">
      <c r="A206" s="29"/>
      <c r="B206" s="9"/>
      <c r="C206" s="9"/>
      <c r="D206" s="9"/>
      <c r="E206" s="9"/>
      <c r="F206" s="9"/>
      <c r="G206" s="12"/>
      <c r="H206" s="12"/>
      <c r="I206" s="12"/>
      <c r="J206" s="12"/>
      <c r="K206" s="102"/>
      <c r="L206" s="47"/>
      <c r="S206" s="8"/>
      <c r="T206" s="9"/>
      <c r="U206" s="9"/>
      <c r="V206" s="9"/>
      <c r="W206" s="9"/>
      <c r="X206" s="19"/>
      <c r="Y206" s="20"/>
    </row>
    <row r="207" spans="1:25" ht="21" x14ac:dyDescent="0.4">
      <c r="A207" s="29"/>
      <c r="B207" s="9"/>
      <c r="C207" s="196" t="s">
        <v>71</v>
      </c>
      <c r="D207" s="197"/>
      <c r="E207" s="197"/>
      <c r="F207" s="197"/>
      <c r="G207" s="197"/>
      <c r="H207" s="197"/>
      <c r="I207" s="195"/>
      <c r="J207" s="12"/>
      <c r="K207" s="102"/>
      <c r="L207" s="47"/>
      <c r="S207" s="8"/>
      <c r="T207" s="9"/>
      <c r="U207" s="9"/>
      <c r="V207" s="9"/>
      <c r="W207" s="9"/>
      <c r="X207" s="19"/>
      <c r="Y207" s="20"/>
    </row>
    <row r="208" spans="1:25" s="35" customFormat="1" x14ac:dyDescent="0.3">
      <c r="A208" s="29"/>
      <c r="B208" s="17"/>
      <c r="C208" s="36"/>
      <c r="D208" s="17"/>
      <c r="E208" s="17" t="s">
        <v>13</v>
      </c>
      <c r="F208" s="57"/>
      <c r="G208" s="25" t="s">
        <v>7</v>
      </c>
      <c r="H208" s="38"/>
      <c r="I208" s="39"/>
      <c r="J208" s="38"/>
      <c r="K208" s="98"/>
      <c r="L208" s="99"/>
      <c r="S208" s="8" t="s">
        <v>13</v>
      </c>
      <c r="T208" s="9" t="s">
        <v>7</v>
      </c>
      <c r="U208" s="9">
        <v>2</v>
      </c>
      <c r="V208" s="9">
        <v>3</v>
      </c>
      <c r="W208" s="9"/>
      <c r="X208" s="19">
        <f t="shared" si="18"/>
        <v>2</v>
      </c>
      <c r="Y208" s="20">
        <f t="shared" si="19"/>
        <v>3</v>
      </c>
    </row>
    <row r="209" spans="1:25" x14ac:dyDescent="0.3">
      <c r="A209" s="29"/>
      <c r="B209" s="9"/>
      <c r="C209" s="51"/>
      <c r="D209" s="9"/>
      <c r="E209" s="103">
        <v>2</v>
      </c>
      <c r="F209" s="9"/>
      <c r="G209" s="15">
        <v>3</v>
      </c>
      <c r="H209" s="12"/>
      <c r="I209" s="104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ht="15" thickBot="1" x14ac:dyDescent="0.35">
      <c r="A210" s="29"/>
      <c r="B210" s="9"/>
      <c r="C210" s="50"/>
      <c r="D210" s="23"/>
      <c r="E210" s="23" t="s">
        <v>8</v>
      </c>
      <c r="F210" s="23"/>
      <c r="G210" s="23" t="s">
        <v>9</v>
      </c>
      <c r="H210" s="28"/>
      <c r="I210" s="105"/>
      <c r="J210" s="12"/>
      <c r="K210" s="102"/>
      <c r="L210" s="47"/>
      <c r="S210" s="106"/>
      <c r="T210" s="107"/>
      <c r="U210" s="107"/>
      <c r="V210" s="107"/>
      <c r="W210" s="107"/>
      <c r="X210" s="107"/>
      <c r="Y210" s="108"/>
    </row>
    <row r="211" spans="1:25" x14ac:dyDescent="0.3">
      <c r="A211" s="29"/>
      <c r="B211" s="9"/>
      <c r="C211" s="9"/>
      <c r="D211" s="9"/>
      <c r="E211" s="9"/>
      <c r="F211" s="9"/>
      <c r="G211" s="12"/>
      <c r="H211" s="12"/>
      <c r="I211" s="12"/>
      <c r="J211" s="12"/>
      <c r="K211" s="102"/>
      <c r="L211" s="47"/>
      <c r="S211" s="9"/>
      <c r="T211" s="9"/>
      <c r="U211" s="9"/>
      <c r="V211" s="9"/>
      <c r="W211" s="9"/>
      <c r="X211" s="19"/>
      <c r="Y211" s="19"/>
    </row>
    <row r="212" spans="1:25" x14ac:dyDescent="0.3">
      <c r="A212" s="29"/>
      <c r="B212" s="9"/>
      <c r="C212" s="9"/>
      <c r="D212" s="9"/>
      <c r="E212" s="9"/>
      <c r="F212" s="9"/>
      <c r="G212" s="12"/>
      <c r="H212" s="12"/>
      <c r="I212" s="12"/>
      <c r="J212" s="12"/>
      <c r="K212" s="102"/>
      <c r="L212" s="47"/>
      <c r="S212" s="9"/>
      <c r="T212" s="9"/>
      <c r="U212" s="9"/>
      <c r="V212" s="9"/>
      <c r="W212" s="9"/>
      <c r="X212" s="19"/>
      <c r="Y212" s="19"/>
    </row>
    <row r="213" spans="1:25" x14ac:dyDescent="0.3">
      <c r="A213" s="29"/>
      <c r="B213" s="9"/>
      <c r="C213" s="9"/>
      <c r="D213" s="9"/>
      <c r="E213" s="9"/>
      <c r="F213" s="9"/>
      <c r="G213" s="12"/>
      <c r="H213" s="12"/>
      <c r="I213" s="12"/>
      <c r="J213" s="12"/>
      <c r="K213" s="102"/>
      <c r="L213" s="47"/>
      <c r="S213" s="9"/>
      <c r="T213" s="9"/>
      <c r="U213" s="9"/>
      <c r="V213" s="9"/>
      <c r="W213" s="9"/>
      <c r="X213" s="19"/>
      <c r="Y213" s="19"/>
    </row>
    <row r="214" spans="1:25" s="35" customFormat="1" x14ac:dyDescent="0.3">
      <c r="A214" s="11"/>
      <c r="B214" s="17"/>
      <c r="C214" s="17"/>
      <c r="D214" s="17"/>
      <c r="E214" s="17"/>
      <c r="F214" s="17"/>
      <c r="G214" s="38"/>
      <c r="H214" s="38"/>
      <c r="I214" s="38"/>
      <c r="J214" s="38"/>
      <c r="K214" s="40"/>
      <c r="S214" s="47"/>
      <c r="T214" s="47"/>
      <c r="U214" s="47"/>
      <c r="V214" s="47"/>
      <c r="W214" s="47"/>
      <c r="X214" s="47"/>
      <c r="Y214" s="47"/>
    </row>
    <row r="215" spans="1:25" ht="15" thickBot="1" x14ac:dyDescent="0.35">
      <c r="A215" s="11" t="s">
        <v>72</v>
      </c>
      <c r="B215" s="9" t="s">
        <v>62</v>
      </c>
      <c r="C215" s="9" t="s">
        <v>27</v>
      </c>
      <c r="D215" s="9" t="s">
        <v>28</v>
      </c>
      <c r="E215" s="9" t="s">
        <v>29</v>
      </c>
      <c r="F215" s="9" t="s">
        <v>30</v>
      </c>
      <c r="G215" s="12" t="s">
        <v>31</v>
      </c>
      <c r="H215" s="12" t="s">
        <v>32</v>
      </c>
      <c r="I215" s="12" t="s">
        <v>33</v>
      </c>
      <c r="J215" s="12" t="s">
        <v>34</v>
      </c>
      <c r="K215" s="102"/>
      <c r="L215" s="47"/>
      <c r="S215" s="9"/>
      <c r="T215" s="9"/>
      <c r="U215" s="9"/>
      <c r="V215" s="9"/>
      <c r="W215" s="9"/>
      <c r="X215" s="19"/>
      <c r="Y215" s="19"/>
    </row>
    <row r="216" spans="1:25" s="35" customFormat="1" x14ac:dyDescent="0.3">
      <c r="A216" s="11"/>
      <c r="B216" s="30" t="s">
        <v>7</v>
      </c>
      <c r="C216" s="109">
        <f>COUNTIF($S$12:$T$208,"Argentinien")</f>
        <v>7</v>
      </c>
      <c r="D216" s="32">
        <f t="shared" ref="D216:D239" si="20">SUMPRODUCT(($S$12:$T$208=B216)*($X$12:$Y$208=3))</f>
        <v>6</v>
      </c>
      <c r="E216" s="32">
        <f t="shared" ref="E216:E239" si="21">SUMPRODUCT(($S$12:$T$208=B216)*($X$12:$Y$208=1))</f>
        <v>1</v>
      </c>
      <c r="F216" s="32">
        <f t="shared" ref="F216:F239" si="22">SUMPRODUCT(($S$12:$T$208=B216)*($X$12:$Y$208=2))</f>
        <v>0</v>
      </c>
      <c r="G216" s="32">
        <f t="shared" ref="G216:G239" si="23">SUMPRODUCT(($S$12:$S$208=B216)*($U$12:$U$208))+SUMPRODUCT(($T$12:$T$208=B216)*($V$12:$V$208))</f>
        <v>14</v>
      </c>
      <c r="H216" s="32">
        <f t="shared" ref="H216:H239" si="24">SUMPRODUCT(($S$12:$S$208=B216)*($V$12:$V$208))+SUMPRODUCT(($T$12:$T$208=B216)*($U$12:$U$208))</f>
        <v>5</v>
      </c>
      <c r="I216" s="33">
        <f t="shared" ref="I216:I239" si="25">(D216*2)+E216</f>
        <v>13</v>
      </c>
      <c r="J216" s="34">
        <f t="shared" ref="J216:J239" si="26">(F216*2)+E216</f>
        <v>1</v>
      </c>
      <c r="K216" s="98"/>
      <c r="L216" s="99"/>
      <c r="M216" s="99"/>
      <c r="N216" s="99"/>
      <c r="S216" s="9"/>
      <c r="T216" s="9"/>
      <c r="U216" s="9"/>
      <c r="V216" s="9"/>
      <c r="W216" s="9"/>
      <c r="X216" s="9"/>
      <c r="Y216" s="9"/>
    </row>
    <row r="217" spans="1:25" s="35" customFormat="1" x14ac:dyDescent="0.3">
      <c r="A217" s="11"/>
      <c r="B217" s="36" t="s">
        <v>11</v>
      </c>
      <c r="C217" s="17">
        <f>COUNTIF($S$12:$T$208,"Frankreich")</f>
        <v>7</v>
      </c>
      <c r="D217" s="37">
        <f t="shared" si="20"/>
        <v>5</v>
      </c>
      <c r="E217" s="37">
        <f t="shared" si="21"/>
        <v>1</v>
      </c>
      <c r="F217" s="37">
        <f t="shared" si="22"/>
        <v>1</v>
      </c>
      <c r="G217" s="37">
        <f t="shared" si="23"/>
        <v>16</v>
      </c>
      <c r="H217" s="37">
        <f t="shared" si="24"/>
        <v>9</v>
      </c>
      <c r="I217" s="38">
        <f t="shared" si="25"/>
        <v>11</v>
      </c>
      <c r="J217" s="39">
        <f t="shared" si="26"/>
        <v>3</v>
      </c>
      <c r="K217" s="98"/>
      <c r="L217" s="99"/>
      <c r="M217" s="99"/>
      <c r="N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/>
      <c r="B218" s="36" t="s">
        <v>13</v>
      </c>
      <c r="C218" s="17">
        <f>COUNTIF($S$12:$T$208,"BRD")</f>
        <v>7</v>
      </c>
      <c r="D218" s="37">
        <f t="shared" si="20"/>
        <v>4</v>
      </c>
      <c r="E218" s="37">
        <f t="shared" si="21"/>
        <v>1</v>
      </c>
      <c r="F218" s="37">
        <f t="shared" si="22"/>
        <v>2</v>
      </c>
      <c r="G218" s="37">
        <f t="shared" si="23"/>
        <v>12</v>
      </c>
      <c r="H218" s="37">
        <f t="shared" si="24"/>
        <v>8</v>
      </c>
      <c r="I218" s="38">
        <f t="shared" si="25"/>
        <v>9</v>
      </c>
      <c r="J218" s="39">
        <f t="shared" si="26"/>
        <v>5</v>
      </c>
      <c r="K218" s="98"/>
      <c r="L218" s="99"/>
      <c r="M218" s="99"/>
      <c r="N218" s="99"/>
      <c r="S218" s="99"/>
      <c r="T218" s="99"/>
      <c r="U218" s="99"/>
      <c r="V218" s="99"/>
      <c r="W218" s="99"/>
      <c r="X218" s="99"/>
      <c r="Y218" s="99"/>
    </row>
    <row r="219" spans="1:25" s="35" customFormat="1" x14ac:dyDescent="0.3">
      <c r="A219" s="11"/>
      <c r="B219" s="36" t="s">
        <v>16</v>
      </c>
      <c r="C219" s="17">
        <f>COUNTIF($S$12:$T$208,"Brasilien")</f>
        <v>5</v>
      </c>
      <c r="D219" s="37">
        <f t="shared" si="20"/>
        <v>4</v>
      </c>
      <c r="E219" s="37">
        <f t="shared" si="21"/>
        <v>0</v>
      </c>
      <c r="F219" s="37">
        <f t="shared" si="22"/>
        <v>1</v>
      </c>
      <c r="G219" s="37">
        <f t="shared" si="23"/>
        <v>13</v>
      </c>
      <c r="H219" s="37">
        <f t="shared" si="24"/>
        <v>5</v>
      </c>
      <c r="I219" s="38">
        <f t="shared" si="25"/>
        <v>8</v>
      </c>
      <c r="J219" s="39">
        <f t="shared" si="26"/>
        <v>2</v>
      </c>
      <c r="K219" s="98"/>
      <c r="L219" s="99"/>
      <c r="M219" s="99"/>
      <c r="N219" s="99"/>
      <c r="S219" s="99"/>
      <c r="T219" s="99"/>
      <c r="U219" s="99"/>
      <c r="V219" s="99"/>
      <c r="W219" s="99"/>
      <c r="X219" s="99"/>
      <c r="Y219" s="99"/>
    </row>
    <row r="220" spans="1:25" s="35" customFormat="1" x14ac:dyDescent="0.3">
      <c r="A220" s="11"/>
      <c r="B220" s="36" t="s">
        <v>18</v>
      </c>
      <c r="C220" s="17">
        <f>COUNTIF($S$12:$T$208,"Mexiko")</f>
        <v>5</v>
      </c>
      <c r="D220" s="37">
        <f t="shared" si="20"/>
        <v>3</v>
      </c>
      <c r="E220" s="37">
        <f t="shared" si="21"/>
        <v>1</v>
      </c>
      <c r="F220" s="37">
        <f t="shared" si="22"/>
        <v>1</v>
      </c>
      <c r="G220" s="37">
        <f t="shared" si="23"/>
        <v>7</v>
      </c>
      <c r="H220" s="37">
        <f t="shared" si="24"/>
        <v>6</v>
      </c>
      <c r="I220" s="38">
        <f t="shared" si="25"/>
        <v>7</v>
      </c>
      <c r="J220" s="39">
        <f t="shared" si="26"/>
        <v>3</v>
      </c>
      <c r="K220" s="98"/>
      <c r="L220" s="99"/>
      <c r="M220" s="99"/>
      <c r="N220" s="99"/>
      <c r="S220" s="47"/>
      <c r="T220" s="47"/>
      <c r="U220" s="47"/>
      <c r="V220" s="47"/>
      <c r="W220" s="47"/>
      <c r="X220" s="47"/>
      <c r="Y220" s="47"/>
    </row>
    <row r="221" spans="1:25" s="35" customFormat="1" x14ac:dyDescent="0.3">
      <c r="A221" s="11"/>
      <c r="B221" s="36" t="s">
        <v>20</v>
      </c>
      <c r="C221" s="17">
        <f>COUNTIF($S$12:$T$208,"Belgien")</f>
        <v>7</v>
      </c>
      <c r="D221" s="37">
        <f t="shared" si="20"/>
        <v>3</v>
      </c>
      <c r="E221" s="37">
        <f t="shared" si="21"/>
        <v>1</v>
      </c>
      <c r="F221" s="37">
        <f t="shared" si="22"/>
        <v>3</v>
      </c>
      <c r="G221" s="37">
        <f t="shared" si="23"/>
        <v>17</v>
      </c>
      <c r="H221" s="37">
        <f t="shared" si="24"/>
        <v>19</v>
      </c>
      <c r="I221" s="38">
        <f t="shared" si="25"/>
        <v>7</v>
      </c>
      <c r="J221" s="39">
        <f t="shared" si="26"/>
        <v>7</v>
      </c>
      <c r="K221" s="98"/>
      <c r="L221" s="99"/>
      <c r="M221" s="99"/>
      <c r="N221" s="99"/>
      <c r="S221" s="9"/>
      <c r="T221" s="9"/>
      <c r="U221" s="9"/>
      <c r="V221" s="9"/>
      <c r="W221" s="9"/>
      <c r="X221" s="9"/>
      <c r="Y221" s="9"/>
    </row>
    <row r="222" spans="1:25" s="35" customFormat="1" x14ac:dyDescent="0.3">
      <c r="A222" s="11"/>
      <c r="B222" s="36" t="s">
        <v>21</v>
      </c>
      <c r="C222" s="17">
        <f>COUNTIF($S$12:$T$208,"Dänemark")</f>
        <v>4</v>
      </c>
      <c r="D222" s="37">
        <f t="shared" si="20"/>
        <v>3</v>
      </c>
      <c r="E222" s="37">
        <f t="shared" si="21"/>
        <v>0</v>
      </c>
      <c r="F222" s="37">
        <f t="shared" si="22"/>
        <v>1</v>
      </c>
      <c r="G222" s="37">
        <f t="shared" si="23"/>
        <v>10</v>
      </c>
      <c r="H222" s="37">
        <f t="shared" si="24"/>
        <v>6</v>
      </c>
      <c r="I222" s="38">
        <f t="shared" si="25"/>
        <v>6</v>
      </c>
      <c r="J222" s="39">
        <f t="shared" si="26"/>
        <v>2</v>
      </c>
      <c r="K222" s="98"/>
      <c r="L222" s="99"/>
      <c r="M222" s="99"/>
      <c r="N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/>
      <c r="B223" s="36" t="s">
        <v>22</v>
      </c>
      <c r="C223" s="17">
        <f>COUNTIF($S$12:$T$208,"Spanien")</f>
        <v>5</v>
      </c>
      <c r="D223" s="37">
        <f t="shared" si="20"/>
        <v>3</v>
      </c>
      <c r="E223" s="37">
        <f t="shared" si="21"/>
        <v>0</v>
      </c>
      <c r="F223" s="37">
        <f t="shared" si="22"/>
        <v>2</v>
      </c>
      <c r="G223" s="37">
        <f t="shared" si="23"/>
        <v>15</v>
      </c>
      <c r="H223" s="37">
        <f t="shared" si="24"/>
        <v>9</v>
      </c>
      <c r="I223" s="38">
        <f t="shared" si="25"/>
        <v>6</v>
      </c>
      <c r="J223" s="39">
        <f t="shared" si="26"/>
        <v>4</v>
      </c>
      <c r="K223" s="40"/>
      <c r="M223" s="99"/>
      <c r="N223" s="99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/>
      <c r="B224" s="36" t="s">
        <v>23</v>
      </c>
      <c r="C224" s="17">
        <f>COUNTIF($S$12:$T$208,"UdSSR")</f>
        <v>4</v>
      </c>
      <c r="D224" s="37">
        <f t="shared" si="20"/>
        <v>2</v>
      </c>
      <c r="E224" s="37">
        <f t="shared" si="21"/>
        <v>1</v>
      </c>
      <c r="F224" s="37">
        <f t="shared" si="22"/>
        <v>1</v>
      </c>
      <c r="G224" s="37">
        <f t="shared" si="23"/>
        <v>12</v>
      </c>
      <c r="H224" s="37">
        <f t="shared" si="24"/>
        <v>5</v>
      </c>
      <c r="I224" s="38">
        <f t="shared" si="25"/>
        <v>5</v>
      </c>
      <c r="J224" s="39">
        <f t="shared" si="26"/>
        <v>3</v>
      </c>
      <c r="K224" s="40"/>
      <c r="M224" s="99"/>
      <c r="N224" s="99"/>
      <c r="S224" s="9"/>
      <c r="T224" s="9"/>
      <c r="U224" s="9"/>
      <c r="V224" s="9"/>
      <c r="W224" s="9"/>
      <c r="X224" s="9"/>
      <c r="Y224" s="9"/>
    </row>
    <row r="225" spans="1:25" s="35" customFormat="1" x14ac:dyDescent="0.3">
      <c r="A225" s="11"/>
      <c r="B225" s="36" t="s">
        <v>24</v>
      </c>
      <c r="C225" s="17">
        <f>COUNTIF($S$12:$T$208,"England")</f>
        <v>5</v>
      </c>
      <c r="D225" s="37">
        <f t="shared" si="20"/>
        <v>2</v>
      </c>
      <c r="E225" s="37">
        <f t="shared" si="21"/>
        <v>1</v>
      </c>
      <c r="F225" s="37">
        <f t="shared" si="22"/>
        <v>2</v>
      </c>
      <c r="G225" s="37">
        <f t="shared" si="23"/>
        <v>7</v>
      </c>
      <c r="H225" s="37">
        <f t="shared" si="24"/>
        <v>3</v>
      </c>
      <c r="I225" s="38">
        <f t="shared" si="25"/>
        <v>5</v>
      </c>
      <c r="J225" s="39">
        <f t="shared" si="26"/>
        <v>5</v>
      </c>
      <c r="K225" s="40"/>
      <c r="M225" s="99"/>
      <c r="N225" s="99"/>
      <c r="S225" s="47"/>
      <c r="T225" s="47"/>
      <c r="U225" s="47"/>
      <c r="V225" s="47"/>
      <c r="W225" s="47"/>
      <c r="X225" s="47"/>
      <c r="Y225" s="47"/>
    </row>
    <row r="226" spans="1:25" s="35" customFormat="1" x14ac:dyDescent="0.3">
      <c r="A226" s="11"/>
      <c r="B226" s="36" t="s">
        <v>5</v>
      </c>
      <c r="C226" s="17">
        <f>COUNTIF($S$12:$T$208,"Italien")</f>
        <v>4</v>
      </c>
      <c r="D226" s="37">
        <f t="shared" si="20"/>
        <v>1</v>
      </c>
      <c r="E226" s="37">
        <f t="shared" si="21"/>
        <v>2</v>
      </c>
      <c r="F226" s="37">
        <f t="shared" si="22"/>
        <v>1</v>
      </c>
      <c r="G226" s="37">
        <f t="shared" si="23"/>
        <v>5</v>
      </c>
      <c r="H226" s="37">
        <f t="shared" si="24"/>
        <v>6</v>
      </c>
      <c r="I226" s="38">
        <f t="shared" si="25"/>
        <v>4</v>
      </c>
      <c r="J226" s="39">
        <f t="shared" si="26"/>
        <v>4</v>
      </c>
      <c r="K226" s="98"/>
      <c r="L226" s="99"/>
      <c r="M226" s="99"/>
      <c r="N226" s="99"/>
      <c r="S226" s="9"/>
      <c r="T226" s="9"/>
      <c r="U226" s="9"/>
      <c r="V226" s="9"/>
      <c r="W226" s="9"/>
      <c r="X226" s="9"/>
      <c r="Y226" s="9"/>
    </row>
    <row r="227" spans="1:25" s="35" customFormat="1" x14ac:dyDescent="0.3">
      <c r="A227" s="11"/>
      <c r="B227" s="36" t="s">
        <v>25</v>
      </c>
      <c r="C227" s="17">
        <f>COUNTIF($S$12:$T$208,"Paraguay")</f>
        <v>4</v>
      </c>
      <c r="D227" s="37">
        <f t="shared" si="20"/>
        <v>1</v>
      </c>
      <c r="E227" s="37">
        <f t="shared" si="21"/>
        <v>2</v>
      </c>
      <c r="F227" s="37">
        <f t="shared" si="22"/>
        <v>1</v>
      </c>
      <c r="G227" s="37">
        <f t="shared" si="23"/>
        <v>4</v>
      </c>
      <c r="H227" s="37">
        <f t="shared" si="24"/>
        <v>6</v>
      </c>
      <c r="I227" s="38">
        <f t="shared" si="25"/>
        <v>4</v>
      </c>
      <c r="J227" s="39">
        <f t="shared" si="26"/>
        <v>4</v>
      </c>
      <c r="K227" s="40"/>
      <c r="M227" s="99"/>
      <c r="N227" s="99"/>
      <c r="S227" s="47"/>
      <c r="T227" s="47"/>
      <c r="U227" s="47"/>
      <c r="V227" s="47"/>
      <c r="W227" s="47"/>
      <c r="X227" s="47"/>
      <c r="Y227" s="47"/>
    </row>
    <row r="228" spans="1:25" s="35" customFormat="1" x14ac:dyDescent="0.3">
      <c r="A228" s="11"/>
      <c r="B228" s="36" t="s">
        <v>26</v>
      </c>
      <c r="C228" s="17">
        <f>COUNTIF($S$12:$T$208,"Marokko")</f>
        <v>4</v>
      </c>
      <c r="D228" s="37">
        <f t="shared" si="20"/>
        <v>1</v>
      </c>
      <c r="E228" s="37">
        <f t="shared" si="21"/>
        <v>2</v>
      </c>
      <c r="F228" s="37">
        <f t="shared" si="22"/>
        <v>1</v>
      </c>
      <c r="G228" s="37">
        <f t="shared" si="23"/>
        <v>3</v>
      </c>
      <c r="H228" s="37">
        <f t="shared" si="24"/>
        <v>2</v>
      </c>
      <c r="I228" s="38">
        <f t="shared" si="25"/>
        <v>4</v>
      </c>
      <c r="J228" s="39">
        <f t="shared" si="26"/>
        <v>4</v>
      </c>
      <c r="K228" s="98"/>
      <c r="L228" s="99"/>
      <c r="M228" s="99"/>
      <c r="N228" s="99"/>
      <c r="S228" s="47"/>
      <c r="T228" s="47"/>
      <c r="U228" s="47"/>
      <c r="V228" s="47"/>
      <c r="W228" s="47"/>
      <c r="X228" s="47"/>
      <c r="Y228" s="47"/>
    </row>
    <row r="229" spans="1:25" s="35" customFormat="1" x14ac:dyDescent="0.3">
      <c r="A229" s="11"/>
      <c r="B229" s="36" t="s">
        <v>35</v>
      </c>
      <c r="C229" s="17">
        <f>COUNTIF($S$12:$T$208,"Polen")</f>
        <v>4</v>
      </c>
      <c r="D229" s="37">
        <f t="shared" si="20"/>
        <v>1</v>
      </c>
      <c r="E229" s="37">
        <f t="shared" si="21"/>
        <v>1</v>
      </c>
      <c r="F229" s="37">
        <f t="shared" si="22"/>
        <v>2</v>
      </c>
      <c r="G229" s="37">
        <f t="shared" si="23"/>
        <v>1</v>
      </c>
      <c r="H229" s="37">
        <f t="shared" si="24"/>
        <v>7</v>
      </c>
      <c r="I229" s="38">
        <f t="shared" si="25"/>
        <v>3</v>
      </c>
      <c r="J229" s="39">
        <f t="shared" si="26"/>
        <v>5</v>
      </c>
      <c r="K229" s="98"/>
      <c r="L229" s="99"/>
      <c r="M229" s="99"/>
      <c r="N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/>
      <c r="B230" s="36" t="s">
        <v>36</v>
      </c>
      <c r="C230" s="17">
        <f>COUNTIF($S$12:$T$208,"Portugal")</f>
        <v>3</v>
      </c>
      <c r="D230" s="37">
        <f t="shared" si="20"/>
        <v>1</v>
      </c>
      <c r="E230" s="37">
        <f t="shared" si="21"/>
        <v>0</v>
      </c>
      <c r="F230" s="37">
        <f t="shared" si="22"/>
        <v>2</v>
      </c>
      <c r="G230" s="37">
        <f t="shared" si="23"/>
        <v>2</v>
      </c>
      <c r="H230" s="37">
        <f t="shared" si="24"/>
        <v>4</v>
      </c>
      <c r="I230" s="38">
        <f t="shared" si="25"/>
        <v>2</v>
      </c>
      <c r="J230" s="39">
        <f t="shared" si="26"/>
        <v>4</v>
      </c>
      <c r="K230" s="98"/>
      <c r="L230" s="99"/>
      <c r="M230" s="99"/>
      <c r="N230" s="99"/>
      <c r="S230" s="47"/>
      <c r="T230" s="47"/>
      <c r="U230" s="47"/>
      <c r="V230" s="47"/>
      <c r="W230" s="47"/>
      <c r="X230" s="47"/>
      <c r="Y230" s="47"/>
    </row>
    <row r="231" spans="1:25" s="35" customFormat="1" x14ac:dyDescent="0.3">
      <c r="A231" s="11"/>
      <c r="B231" s="36" t="s">
        <v>37</v>
      </c>
      <c r="C231" s="17">
        <f>COUNTIF($S$12:$T$208,"Ungarn")</f>
        <v>3</v>
      </c>
      <c r="D231" s="37">
        <f t="shared" si="20"/>
        <v>1</v>
      </c>
      <c r="E231" s="37">
        <f t="shared" si="21"/>
        <v>0</v>
      </c>
      <c r="F231" s="37">
        <f t="shared" si="22"/>
        <v>2</v>
      </c>
      <c r="G231" s="37">
        <f t="shared" si="23"/>
        <v>2</v>
      </c>
      <c r="H231" s="37">
        <f t="shared" si="24"/>
        <v>9</v>
      </c>
      <c r="I231" s="38">
        <f t="shared" si="25"/>
        <v>2</v>
      </c>
      <c r="J231" s="39">
        <f t="shared" si="26"/>
        <v>4</v>
      </c>
      <c r="K231" s="98"/>
      <c r="L231" s="99"/>
      <c r="M231" s="99"/>
      <c r="N231" s="99"/>
      <c r="S231" s="9"/>
      <c r="T231" s="9"/>
      <c r="U231" s="9"/>
      <c r="V231" s="9"/>
      <c r="W231" s="9"/>
      <c r="X231" s="9"/>
      <c r="Y231" s="9"/>
    </row>
    <row r="232" spans="1:25" s="35" customFormat="1" x14ac:dyDescent="0.3">
      <c r="A232" s="11"/>
      <c r="B232" s="36" t="s">
        <v>4</v>
      </c>
      <c r="C232" s="17">
        <f>COUNTIF($S$12:$T$208,"Bulgarien")</f>
        <v>4</v>
      </c>
      <c r="D232" s="37">
        <f t="shared" si="20"/>
        <v>0</v>
      </c>
      <c r="E232" s="37">
        <f t="shared" si="21"/>
        <v>2</v>
      </c>
      <c r="F232" s="37">
        <f t="shared" si="22"/>
        <v>2</v>
      </c>
      <c r="G232" s="37">
        <f t="shared" si="23"/>
        <v>2</v>
      </c>
      <c r="H232" s="37">
        <f t="shared" si="24"/>
        <v>6</v>
      </c>
      <c r="I232" s="38">
        <f t="shared" si="25"/>
        <v>2</v>
      </c>
      <c r="J232" s="39">
        <f t="shared" si="26"/>
        <v>6</v>
      </c>
      <c r="K232" s="40"/>
      <c r="M232" s="99"/>
      <c r="N232" s="99"/>
      <c r="S232" s="9"/>
      <c r="T232" s="9"/>
      <c r="U232" s="9"/>
      <c r="V232" s="9"/>
      <c r="W232" s="9"/>
      <c r="X232" s="9"/>
      <c r="Y232" s="9"/>
    </row>
    <row r="233" spans="1:25" s="35" customFormat="1" x14ac:dyDescent="0.3">
      <c r="A233" s="11"/>
      <c r="B233" s="36" t="s">
        <v>38</v>
      </c>
      <c r="C233" s="17">
        <f>COUNTIF($S$12:$T$208,"Uruguay")</f>
        <v>4</v>
      </c>
      <c r="D233" s="37">
        <f t="shared" si="20"/>
        <v>0</v>
      </c>
      <c r="E233" s="37">
        <f t="shared" si="21"/>
        <v>2</v>
      </c>
      <c r="F233" s="37">
        <f t="shared" si="22"/>
        <v>2</v>
      </c>
      <c r="G233" s="37">
        <f t="shared" si="23"/>
        <v>2</v>
      </c>
      <c r="H233" s="37">
        <f t="shared" si="24"/>
        <v>8</v>
      </c>
      <c r="I233" s="38">
        <f t="shared" si="25"/>
        <v>2</v>
      </c>
      <c r="J233" s="39">
        <f t="shared" si="26"/>
        <v>6</v>
      </c>
      <c r="K233" s="40"/>
      <c r="M233" s="99"/>
      <c r="N233" s="99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/>
      <c r="B234" s="36" t="s">
        <v>10</v>
      </c>
      <c r="C234" s="17">
        <f>COUNTIF($S$12:$T$208,"Südkorea")</f>
        <v>3</v>
      </c>
      <c r="D234" s="37">
        <f t="shared" si="20"/>
        <v>0</v>
      </c>
      <c r="E234" s="37">
        <f t="shared" si="21"/>
        <v>1</v>
      </c>
      <c r="F234" s="37">
        <f t="shared" si="22"/>
        <v>2</v>
      </c>
      <c r="G234" s="37">
        <f t="shared" si="23"/>
        <v>4</v>
      </c>
      <c r="H234" s="37">
        <f t="shared" si="24"/>
        <v>7</v>
      </c>
      <c r="I234" s="38">
        <f t="shared" si="25"/>
        <v>1</v>
      </c>
      <c r="J234" s="39">
        <f t="shared" si="26"/>
        <v>5</v>
      </c>
      <c r="K234" s="40"/>
      <c r="M234" s="99"/>
      <c r="N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/>
      <c r="B235" s="36" t="s">
        <v>39</v>
      </c>
      <c r="C235" s="17">
        <f>COUNTIF($S$12:$T$208,"Nordirland")</f>
        <v>3</v>
      </c>
      <c r="D235" s="37">
        <f t="shared" si="20"/>
        <v>0</v>
      </c>
      <c r="E235" s="37">
        <f t="shared" si="21"/>
        <v>1</v>
      </c>
      <c r="F235" s="37">
        <f t="shared" si="22"/>
        <v>2</v>
      </c>
      <c r="G235" s="37">
        <f t="shared" si="23"/>
        <v>2</v>
      </c>
      <c r="H235" s="37">
        <f t="shared" si="24"/>
        <v>6</v>
      </c>
      <c r="I235" s="38">
        <f t="shared" si="25"/>
        <v>1</v>
      </c>
      <c r="J235" s="39">
        <f t="shared" si="26"/>
        <v>5</v>
      </c>
      <c r="K235" s="98"/>
      <c r="L235" s="99"/>
      <c r="M235" s="99"/>
      <c r="N235" s="99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/>
      <c r="B236" s="36" t="s">
        <v>41</v>
      </c>
      <c r="C236" s="17">
        <f>COUNTIF($S$12:$T$208,"Schottland")</f>
        <v>3</v>
      </c>
      <c r="D236" s="37">
        <f t="shared" si="20"/>
        <v>0</v>
      </c>
      <c r="E236" s="37">
        <f t="shared" si="21"/>
        <v>1</v>
      </c>
      <c r="F236" s="37">
        <f t="shared" si="22"/>
        <v>2</v>
      </c>
      <c r="G236" s="37">
        <f t="shared" si="23"/>
        <v>1</v>
      </c>
      <c r="H236" s="37">
        <f t="shared" si="24"/>
        <v>3</v>
      </c>
      <c r="I236" s="38">
        <f t="shared" si="25"/>
        <v>1</v>
      </c>
      <c r="J236" s="39">
        <f t="shared" si="26"/>
        <v>5</v>
      </c>
      <c r="K236" s="40"/>
      <c r="M236" s="99"/>
      <c r="N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/>
      <c r="B237" s="36" t="s">
        <v>42</v>
      </c>
      <c r="C237" s="17">
        <f>COUNTIF($S$12:$T$208,"Algerien")</f>
        <v>3</v>
      </c>
      <c r="D237" s="37">
        <f t="shared" si="20"/>
        <v>0</v>
      </c>
      <c r="E237" s="37">
        <f t="shared" si="21"/>
        <v>1</v>
      </c>
      <c r="F237" s="37">
        <f t="shared" si="22"/>
        <v>2</v>
      </c>
      <c r="G237" s="37">
        <f t="shared" si="23"/>
        <v>1</v>
      </c>
      <c r="H237" s="37">
        <f t="shared" si="24"/>
        <v>5</v>
      </c>
      <c r="I237" s="38">
        <f t="shared" si="25"/>
        <v>1</v>
      </c>
      <c r="J237" s="39">
        <f t="shared" si="26"/>
        <v>5</v>
      </c>
      <c r="K237" s="98"/>
      <c r="L237" s="99"/>
      <c r="M237" s="99"/>
      <c r="N237" s="99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/>
      <c r="B238" s="36" t="s">
        <v>43</v>
      </c>
      <c r="C238" s="17">
        <f>COUNTIF($S$12:$T$208,"Irak")</f>
        <v>3</v>
      </c>
      <c r="D238" s="37">
        <f t="shared" si="20"/>
        <v>0</v>
      </c>
      <c r="E238" s="37">
        <f t="shared" si="21"/>
        <v>0</v>
      </c>
      <c r="F238" s="37">
        <f t="shared" si="22"/>
        <v>3</v>
      </c>
      <c r="G238" s="37">
        <f t="shared" si="23"/>
        <v>1</v>
      </c>
      <c r="H238" s="37">
        <f t="shared" si="24"/>
        <v>4</v>
      </c>
      <c r="I238" s="38">
        <f t="shared" si="25"/>
        <v>0</v>
      </c>
      <c r="J238" s="39">
        <f t="shared" si="26"/>
        <v>6</v>
      </c>
      <c r="K238" s="98"/>
      <c r="L238" s="99"/>
      <c r="M238" s="99"/>
      <c r="N238" s="99"/>
      <c r="S238" s="47"/>
      <c r="T238" s="47"/>
      <c r="U238" s="47"/>
      <c r="V238" s="47"/>
      <c r="W238" s="47"/>
      <c r="X238" s="47"/>
      <c r="Y238" s="47"/>
    </row>
    <row r="239" spans="1:25" s="35" customFormat="1" ht="15" thickBot="1" x14ac:dyDescent="0.35">
      <c r="A239" s="11"/>
      <c r="B239" s="41" t="s">
        <v>45</v>
      </c>
      <c r="C239" s="22">
        <f>COUNTIF($S$12:$T$208,"Kanada")</f>
        <v>3</v>
      </c>
      <c r="D239" s="42">
        <f t="shared" si="20"/>
        <v>0</v>
      </c>
      <c r="E239" s="42">
        <f t="shared" si="21"/>
        <v>0</v>
      </c>
      <c r="F239" s="42">
        <f t="shared" si="22"/>
        <v>3</v>
      </c>
      <c r="G239" s="42">
        <f t="shared" si="23"/>
        <v>0</v>
      </c>
      <c r="H239" s="42">
        <f t="shared" si="24"/>
        <v>5</v>
      </c>
      <c r="I239" s="43">
        <f t="shared" si="25"/>
        <v>0</v>
      </c>
      <c r="J239" s="44">
        <f t="shared" si="26"/>
        <v>6</v>
      </c>
      <c r="K239" s="98"/>
      <c r="L239" s="99"/>
      <c r="M239" s="99"/>
      <c r="N239" s="99"/>
      <c r="S239" s="47"/>
      <c r="T239" s="47"/>
      <c r="U239" s="47"/>
      <c r="V239" s="47"/>
      <c r="W239" s="47"/>
      <c r="X239" s="47"/>
      <c r="Y239" s="47"/>
    </row>
    <row r="240" spans="1:25" x14ac:dyDescent="0.3">
      <c r="A240" s="11"/>
      <c r="B240" s="17"/>
      <c r="C240" s="9"/>
      <c r="D240" s="9"/>
      <c r="E240" s="9"/>
      <c r="F240" s="9"/>
      <c r="G240" s="12"/>
      <c r="H240" s="12"/>
      <c r="I240" s="12"/>
      <c r="J240" s="12"/>
      <c r="K240" s="13"/>
    </row>
    <row r="241" spans="1:11" ht="15" thickBot="1" x14ac:dyDescent="0.35">
      <c r="A241" s="52"/>
      <c r="B241" s="53"/>
      <c r="C241" s="53"/>
      <c r="D241" s="53"/>
      <c r="E241" s="53"/>
      <c r="F241" s="53"/>
      <c r="G241" s="54"/>
      <c r="H241" s="54"/>
      <c r="I241" s="54"/>
      <c r="J241" s="54"/>
      <c r="K241" s="45"/>
    </row>
    <row r="242" spans="1:11" ht="15" thickTop="1" x14ac:dyDescent="0.3"/>
  </sheetData>
  <mergeCells count="5">
    <mergeCell ref="A2:K2"/>
    <mergeCell ref="A4:K4"/>
    <mergeCell ref="A5:K5"/>
    <mergeCell ref="C198:I198"/>
    <mergeCell ref="C207:I207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52"/>
  <sheetViews>
    <sheetView topLeftCell="A222" workbookViewId="0">
      <selection activeCell="M246" sqref="M246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86" t="s">
        <v>73</v>
      </c>
      <c r="B2" s="187"/>
      <c r="C2" s="187"/>
      <c r="D2" s="187"/>
      <c r="E2" s="187"/>
      <c r="F2" s="187"/>
      <c r="G2" s="187"/>
      <c r="H2" s="187"/>
      <c r="I2" s="187"/>
      <c r="J2" s="187"/>
      <c r="K2" s="188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89" t="s">
        <v>74</v>
      </c>
      <c r="B4" s="190"/>
      <c r="C4" s="190"/>
      <c r="D4" s="190"/>
      <c r="E4" s="190"/>
      <c r="F4" s="190"/>
      <c r="G4" s="190"/>
      <c r="H4" s="190"/>
      <c r="I4" s="190"/>
      <c r="J4" s="190"/>
      <c r="K4" s="188"/>
      <c r="S4" s="8"/>
      <c r="T4" s="9"/>
      <c r="U4" s="9"/>
      <c r="V4" s="9"/>
      <c r="W4" s="9"/>
      <c r="X4" s="9"/>
      <c r="Y4" s="10"/>
    </row>
    <row r="5" spans="1:27" ht="21" x14ac:dyDescent="0.4">
      <c r="A5" s="191" t="s">
        <v>75</v>
      </c>
      <c r="B5" s="192"/>
      <c r="C5" s="192"/>
      <c r="D5" s="192"/>
      <c r="E5" s="192"/>
      <c r="F5" s="192"/>
      <c r="G5" s="192"/>
      <c r="H5" s="192"/>
      <c r="I5" s="192"/>
      <c r="J5" s="192"/>
      <c r="K5" s="188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33033</v>
      </c>
      <c r="D12" s="113" t="s">
        <v>5</v>
      </c>
      <c r="E12" s="9" t="s">
        <v>76</v>
      </c>
      <c r="F12" s="15">
        <v>1</v>
      </c>
      <c r="G12" s="9">
        <v>0</v>
      </c>
      <c r="H12" s="9"/>
      <c r="I12" s="9" t="s">
        <v>77</v>
      </c>
      <c r="J12" s="12"/>
      <c r="K12" s="13"/>
      <c r="S12" s="8" t="s">
        <v>5</v>
      </c>
      <c r="T12" s="9" t="s">
        <v>76</v>
      </c>
      <c r="U12" s="9">
        <v>1</v>
      </c>
      <c r="V12" s="9">
        <v>0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13</v>
      </c>
    </row>
    <row r="13" spans="1:27" ht="15" thickBot="1" x14ac:dyDescent="0.35">
      <c r="A13" s="112"/>
      <c r="B13" s="9"/>
      <c r="C13" s="21"/>
      <c r="D13" s="23"/>
      <c r="E13" s="23"/>
      <c r="F13" s="23" t="s">
        <v>8</v>
      </c>
      <c r="G13" s="23" t="s">
        <v>15</v>
      </c>
      <c r="H13" s="23"/>
      <c r="I13" s="23"/>
      <c r="J13" s="12"/>
      <c r="K13" s="13"/>
      <c r="S13" s="8" t="s">
        <v>78</v>
      </c>
      <c r="T13" s="9" t="s">
        <v>79</v>
      </c>
      <c r="U13" s="9">
        <v>1</v>
      </c>
      <c r="V13" s="9">
        <v>5</v>
      </c>
      <c r="W13" s="9"/>
      <c r="X13" s="19">
        <f t="shared" si="0"/>
        <v>2</v>
      </c>
      <c r="Y13" s="20">
        <f t="shared" si="1"/>
        <v>3</v>
      </c>
      <c r="AA13" t="s">
        <v>5</v>
      </c>
    </row>
    <row r="14" spans="1:27" x14ac:dyDescent="0.3">
      <c r="A14" s="112"/>
      <c r="B14" s="9"/>
      <c r="C14" s="16">
        <v>33034</v>
      </c>
      <c r="D14" s="9" t="s">
        <v>78</v>
      </c>
      <c r="E14" s="113" t="s">
        <v>80</v>
      </c>
      <c r="F14" s="9">
        <v>1</v>
      </c>
      <c r="G14" s="15">
        <v>5</v>
      </c>
      <c r="H14" s="9"/>
      <c r="I14" s="12" t="s">
        <v>81</v>
      </c>
      <c r="J14" s="12"/>
      <c r="K14" s="13"/>
      <c r="S14" s="8" t="s">
        <v>5</v>
      </c>
      <c r="T14" s="9" t="s">
        <v>78</v>
      </c>
      <c r="U14" s="9">
        <v>1</v>
      </c>
      <c r="V14" s="9">
        <v>0</v>
      </c>
      <c r="W14" s="9"/>
      <c r="X14" s="19">
        <f t="shared" si="0"/>
        <v>3</v>
      </c>
      <c r="Y14" s="20">
        <f t="shared" si="1"/>
        <v>2</v>
      </c>
      <c r="AA14" t="s">
        <v>7</v>
      </c>
    </row>
    <row r="15" spans="1:27" ht="15" thickBot="1" x14ac:dyDescent="0.35">
      <c r="A15" s="112"/>
      <c r="B15" s="9"/>
      <c r="C15" s="21"/>
      <c r="D15" s="23"/>
      <c r="E15" s="23"/>
      <c r="F15" s="23" t="s">
        <v>8</v>
      </c>
      <c r="G15" s="23" t="s">
        <v>44</v>
      </c>
      <c r="H15" s="23"/>
      <c r="I15" s="28"/>
      <c r="J15" s="12"/>
      <c r="K15" s="13"/>
      <c r="S15" s="8" t="s">
        <v>76</v>
      </c>
      <c r="T15" s="9" t="s">
        <v>79</v>
      </c>
      <c r="U15" s="9">
        <v>0</v>
      </c>
      <c r="V15" s="9">
        <v>1</v>
      </c>
      <c r="W15" s="9"/>
      <c r="X15" s="19">
        <f t="shared" si="0"/>
        <v>2</v>
      </c>
      <c r="Y15" s="20">
        <f t="shared" si="1"/>
        <v>3</v>
      </c>
      <c r="AA15" t="s">
        <v>24</v>
      </c>
    </row>
    <row r="16" spans="1:27" x14ac:dyDescent="0.3">
      <c r="A16" s="112"/>
      <c r="B16" s="9"/>
      <c r="C16" s="16">
        <v>33038</v>
      </c>
      <c r="D16" s="113" t="s">
        <v>5</v>
      </c>
      <c r="E16" s="9" t="s">
        <v>78</v>
      </c>
      <c r="F16" s="15">
        <v>1</v>
      </c>
      <c r="G16" s="9">
        <v>0</v>
      </c>
      <c r="H16" s="9"/>
      <c r="I16" s="12" t="s">
        <v>77</v>
      </c>
      <c r="J16" s="12"/>
      <c r="K16" s="13"/>
      <c r="S16" s="8" t="s">
        <v>5</v>
      </c>
      <c r="T16" s="9" t="s">
        <v>79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16</v>
      </c>
    </row>
    <row r="17" spans="1:27" ht="15" thickBot="1" x14ac:dyDescent="0.35">
      <c r="A17" s="112"/>
      <c r="B17" s="9"/>
      <c r="C17" s="21"/>
      <c r="D17" s="23"/>
      <c r="E17" s="23"/>
      <c r="F17" s="23" t="s">
        <v>19</v>
      </c>
      <c r="G17" s="23" t="s">
        <v>15</v>
      </c>
      <c r="H17" s="23"/>
      <c r="I17" s="28"/>
      <c r="J17" s="12"/>
      <c r="K17" s="13"/>
      <c r="S17" s="8" t="s">
        <v>76</v>
      </c>
      <c r="T17" s="9" t="s">
        <v>78</v>
      </c>
      <c r="U17" s="9">
        <v>2</v>
      </c>
      <c r="V17" s="9">
        <v>1</v>
      </c>
      <c r="W17" s="9"/>
      <c r="X17" s="19">
        <f t="shared" si="0"/>
        <v>3</v>
      </c>
      <c r="Y17" s="20">
        <f t="shared" si="1"/>
        <v>2</v>
      </c>
      <c r="AA17" t="s">
        <v>82</v>
      </c>
    </row>
    <row r="18" spans="1:27" x14ac:dyDescent="0.3">
      <c r="A18" s="112"/>
      <c r="B18" s="9"/>
      <c r="C18" s="16">
        <v>33039</v>
      </c>
      <c r="D18" s="9" t="s">
        <v>76</v>
      </c>
      <c r="E18" s="113" t="s">
        <v>82</v>
      </c>
      <c r="F18" s="9">
        <v>0</v>
      </c>
      <c r="G18" s="15">
        <v>1</v>
      </c>
      <c r="H18" s="9"/>
      <c r="I18" s="12" t="s">
        <v>81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83</v>
      </c>
    </row>
    <row r="19" spans="1:27" ht="15" thickBot="1" x14ac:dyDescent="0.35">
      <c r="A19" s="112"/>
      <c r="B19" s="9"/>
      <c r="C19" s="21"/>
      <c r="D19" s="23"/>
      <c r="E19" s="23"/>
      <c r="F19" s="23" t="s">
        <v>8</v>
      </c>
      <c r="G19" s="23" t="s">
        <v>9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84</v>
      </c>
    </row>
    <row r="20" spans="1:27" x14ac:dyDescent="0.3">
      <c r="A20" s="112"/>
      <c r="B20" s="9"/>
      <c r="C20" s="16">
        <v>33043</v>
      </c>
      <c r="D20" s="113" t="s">
        <v>5</v>
      </c>
      <c r="E20" s="9" t="s">
        <v>82</v>
      </c>
      <c r="F20" s="15">
        <v>2</v>
      </c>
      <c r="G20" s="9">
        <v>0</v>
      </c>
      <c r="H20" s="9"/>
      <c r="I20" s="12" t="s">
        <v>77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22</v>
      </c>
    </row>
    <row r="21" spans="1:27" ht="15" thickBot="1" x14ac:dyDescent="0.35">
      <c r="A21" s="112"/>
      <c r="B21" s="9"/>
      <c r="C21" s="21"/>
      <c r="D21" s="23"/>
      <c r="E21" s="23"/>
      <c r="F21" s="23" t="s">
        <v>19</v>
      </c>
      <c r="G21" s="23" t="s">
        <v>15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85</v>
      </c>
    </row>
    <row r="22" spans="1:27" x14ac:dyDescent="0.3">
      <c r="A22" s="112"/>
      <c r="B22" s="9"/>
      <c r="C22" s="16">
        <v>33043</v>
      </c>
      <c r="D22" s="113" t="s">
        <v>76</v>
      </c>
      <c r="E22" s="9" t="s">
        <v>78</v>
      </c>
      <c r="F22" s="15">
        <v>2</v>
      </c>
      <c r="G22" s="9">
        <v>1</v>
      </c>
      <c r="H22" s="9"/>
      <c r="I22" s="12" t="s">
        <v>81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20</v>
      </c>
    </row>
    <row r="23" spans="1:27" x14ac:dyDescent="0.3">
      <c r="A23" s="112"/>
      <c r="B23" s="9"/>
      <c r="C23" s="16"/>
      <c r="D23" s="9"/>
      <c r="E23" s="9"/>
      <c r="F23" s="9" t="s">
        <v>8</v>
      </c>
      <c r="G23" s="9" t="s">
        <v>15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86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87</v>
      </c>
    </row>
    <row r="25" spans="1:27" x14ac:dyDescent="0.3">
      <c r="A25" s="112"/>
      <c r="B25" s="9"/>
      <c r="C25" s="16"/>
      <c r="D25" s="9"/>
      <c r="E25" s="9"/>
      <c r="F25" s="9"/>
      <c r="G25" s="9"/>
      <c r="H25" s="9"/>
      <c r="I25" s="12"/>
      <c r="J25" s="12"/>
      <c r="K25" s="13"/>
      <c r="S25" s="8"/>
      <c r="T25" s="9"/>
      <c r="U25" s="9"/>
      <c r="V25" s="9"/>
      <c r="W25" s="9"/>
      <c r="X25" s="9"/>
      <c r="Y25" s="10"/>
      <c r="AA25" t="s">
        <v>88</v>
      </c>
    </row>
    <row r="26" spans="1:27" ht="15" thickBot="1" x14ac:dyDescent="0.35">
      <c r="A26" s="112"/>
      <c r="B26" s="9" t="s">
        <v>62</v>
      </c>
      <c r="C26" s="9" t="s">
        <v>27</v>
      </c>
      <c r="D26" s="9" t="s">
        <v>28</v>
      </c>
      <c r="E26" s="9" t="s">
        <v>29</v>
      </c>
      <c r="F26" s="9" t="s">
        <v>30</v>
      </c>
      <c r="G26" s="12" t="s">
        <v>31</v>
      </c>
      <c r="H26" s="12" t="s">
        <v>32</v>
      </c>
      <c r="I26" s="12" t="s">
        <v>33</v>
      </c>
      <c r="J26" s="12" t="s">
        <v>34</v>
      </c>
      <c r="K26" s="13"/>
      <c r="S26" s="8"/>
      <c r="T26" s="9"/>
      <c r="U26" s="9"/>
      <c r="V26" s="9"/>
      <c r="W26" s="9"/>
      <c r="X26" s="19"/>
      <c r="Y26" s="20"/>
      <c r="AA26" t="s">
        <v>89</v>
      </c>
    </row>
    <row r="27" spans="1:27" x14ac:dyDescent="0.3">
      <c r="A27" s="112" t="s">
        <v>90</v>
      </c>
      <c r="B27" s="30" t="s">
        <v>5</v>
      </c>
      <c r="C27" s="31">
        <f>COUNTIF($S$12:$T$17,"Italien")</f>
        <v>3</v>
      </c>
      <c r="D27" s="32">
        <f>SUMPRODUCT(($S$12:$T$17=B27)*($X$12:$Y$17=3))</f>
        <v>3</v>
      </c>
      <c r="E27" s="32">
        <f>SUMPRODUCT(($S$12:$T$17=B27)*($X$12:$Y$17=1))</f>
        <v>0</v>
      </c>
      <c r="F27" s="32">
        <f>SUMPRODUCT(($S$12:$T$17=B27)*($X$12:$Y$17=2))</f>
        <v>0</v>
      </c>
      <c r="G27" s="32">
        <f>SUMPRODUCT(($S$12:$S$17=B27)*($U$12:$U$17))+SUMPRODUCT(($T$12:$T$17=B27)*($V$12:$V$17))</f>
        <v>4</v>
      </c>
      <c r="H27" s="32">
        <f>SUMPRODUCT(($S$12:$S$17=B27)*($V$12:$V$17))+SUMPRODUCT(($T$12:$T$17=B27)*($U$12:$U$17))</f>
        <v>0</v>
      </c>
      <c r="I27" s="33">
        <f>(D27*2)+E27</f>
        <v>6</v>
      </c>
      <c r="J27" s="34">
        <f>(F27*2)+E27</f>
        <v>0</v>
      </c>
      <c r="K27" s="13"/>
      <c r="S27" s="8"/>
      <c r="T27" s="9"/>
      <c r="U27" s="9"/>
      <c r="V27" s="9"/>
      <c r="W27" s="9"/>
      <c r="X27" s="9"/>
      <c r="Y27" s="10"/>
      <c r="AA27" t="s">
        <v>38</v>
      </c>
    </row>
    <row r="28" spans="1:27" x14ac:dyDescent="0.3">
      <c r="A28" s="112"/>
      <c r="B28" s="36" t="s">
        <v>82</v>
      </c>
      <c r="C28" s="9">
        <f>COUNTIF($S$12:$T$17,"ČSFR")</f>
        <v>3</v>
      </c>
      <c r="D28" s="37">
        <f t="shared" ref="D28:D30" si="2">SUMPRODUCT(($S$12:$T$17=B28)*($X$12:$Y$17=3))</f>
        <v>2</v>
      </c>
      <c r="E28" s="37">
        <f t="shared" ref="E28:E30" si="3">SUMPRODUCT(($S$12:$T$17=B28)*($X$12:$Y$17=1))</f>
        <v>0</v>
      </c>
      <c r="F28" s="37">
        <f t="shared" ref="F28:F30" si="4">SUMPRODUCT(($S$12:$T$17=B28)*($X$12:$Y$17=2))</f>
        <v>1</v>
      </c>
      <c r="G28" s="37">
        <f t="shared" ref="G28:G30" si="5">SUMPRODUCT(($S$12:$S$17=B28)*($U$12:$U$17))+SUMPRODUCT(($T$12:$T$17=B28)*($V$12:$V$17))</f>
        <v>6</v>
      </c>
      <c r="H28" s="37">
        <f t="shared" ref="H28:H30" si="6">SUMPRODUCT(($S$12:$S$17=B28)*($V$12:$V$17))+SUMPRODUCT(($T$12:$T$17=B28)*($U$12:$U$17))</f>
        <v>3</v>
      </c>
      <c r="I28" s="38">
        <f t="shared" ref="I28:I30" si="7">(D28*2)+E28</f>
        <v>4</v>
      </c>
      <c r="J28" s="39">
        <f t="shared" ref="J28:J30" si="8">(F28*2)+E28</f>
        <v>2</v>
      </c>
      <c r="K28" s="13"/>
      <c r="S28" s="8"/>
      <c r="T28" s="9"/>
      <c r="U28" s="9"/>
      <c r="V28" s="9"/>
      <c r="W28" s="9"/>
      <c r="X28" s="9"/>
      <c r="Y28" s="10"/>
      <c r="AA28" t="s">
        <v>23</v>
      </c>
    </row>
    <row r="29" spans="1:27" x14ac:dyDescent="0.3">
      <c r="A29" s="11"/>
      <c r="B29" s="51" t="s">
        <v>76</v>
      </c>
      <c r="C29" s="9">
        <f>COUNTIF($S$12:$T$17,"Österreich")</f>
        <v>3</v>
      </c>
      <c r="D29" s="37">
        <f t="shared" si="2"/>
        <v>1</v>
      </c>
      <c r="E29" s="37">
        <f t="shared" si="3"/>
        <v>0</v>
      </c>
      <c r="F29" s="37">
        <f t="shared" si="4"/>
        <v>2</v>
      </c>
      <c r="G29" s="37">
        <f t="shared" si="5"/>
        <v>2</v>
      </c>
      <c r="H29" s="37">
        <f t="shared" si="6"/>
        <v>3</v>
      </c>
      <c r="I29" s="38">
        <f t="shared" si="7"/>
        <v>2</v>
      </c>
      <c r="J29" s="39">
        <f t="shared" si="8"/>
        <v>4</v>
      </c>
      <c r="K29" s="13"/>
      <c r="S29" s="8"/>
      <c r="T29" s="9"/>
      <c r="U29" s="9"/>
      <c r="V29" s="9"/>
      <c r="W29" s="9"/>
      <c r="X29" s="19"/>
      <c r="Y29" s="20"/>
      <c r="AA29" t="s">
        <v>76</v>
      </c>
    </row>
    <row r="30" spans="1:27" ht="15" thickBot="1" x14ac:dyDescent="0.35">
      <c r="A30" s="112"/>
      <c r="B30" s="50" t="s">
        <v>78</v>
      </c>
      <c r="C30" s="23">
        <f>COUNTIF($S$12:$T$17,"USA")</f>
        <v>3</v>
      </c>
      <c r="D30" s="42">
        <f t="shared" si="2"/>
        <v>0</v>
      </c>
      <c r="E30" s="42">
        <f t="shared" si="3"/>
        <v>0</v>
      </c>
      <c r="F30" s="42">
        <f t="shared" si="4"/>
        <v>3</v>
      </c>
      <c r="G30" s="42">
        <f t="shared" si="5"/>
        <v>2</v>
      </c>
      <c r="H30" s="42">
        <f t="shared" si="6"/>
        <v>8</v>
      </c>
      <c r="I30" s="43">
        <f t="shared" si="7"/>
        <v>0</v>
      </c>
      <c r="J30" s="44">
        <f t="shared" si="8"/>
        <v>6</v>
      </c>
      <c r="K30" s="13"/>
      <c r="S30" s="8"/>
      <c r="T30" s="9"/>
      <c r="U30" s="9"/>
      <c r="V30" s="9"/>
      <c r="W30" s="9"/>
      <c r="X30" s="19"/>
      <c r="Y30" s="20"/>
      <c r="AA30" t="s">
        <v>41</v>
      </c>
    </row>
    <row r="31" spans="1:27" ht="15" thickBot="1" x14ac:dyDescent="0.35">
      <c r="A31" s="112"/>
      <c r="B31" s="9"/>
      <c r="C31" s="9"/>
      <c r="D31" s="9"/>
      <c r="E31" s="9"/>
      <c r="F31" s="9"/>
      <c r="G31" s="12"/>
      <c r="H31" s="12"/>
      <c r="I31" s="12"/>
      <c r="J31" s="12"/>
      <c r="K31" s="45"/>
      <c r="S31" s="8"/>
      <c r="T31" s="9"/>
      <c r="U31" s="9"/>
      <c r="V31" s="9"/>
      <c r="W31" s="9"/>
      <c r="X31" s="19"/>
      <c r="Y31" s="20"/>
      <c r="AA31" t="s">
        <v>91</v>
      </c>
    </row>
    <row r="32" spans="1:27" ht="15" thickTop="1" x14ac:dyDescent="0.3">
      <c r="A32" s="111"/>
      <c r="B32" s="2"/>
      <c r="C32" s="2"/>
      <c r="D32" s="2"/>
      <c r="E32" s="2"/>
      <c r="F32" s="2"/>
      <c r="G32" s="3"/>
      <c r="H32" s="3"/>
      <c r="I32" s="3"/>
      <c r="J32" s="3"/>
      <c r="K32" s="13"/>
      <c r="S32" s="46"/>
      <c r="T32" s="17"/>
      <c r="U32" s="17"/>
      <c r="V32" s="17"/>
      <c r="X32" s="19"/>
      <c r="Y32" s="20"/>
      <c r="AA32" t="s">
        <v>92</v>
      </c>
    </row>
    <row r="33" spans="1:27" ht="21" x14ac:dyDescent="0.4">
      <c r="A33" s="112"/>
      <c r="B33" s="9"/>
      <c r="C33" s="9"/>
      <c r="D33" s="9"/>
      <c r="E33" s="9"/>
      <c r="F33" s="14" t="s">
        <v>40</v>
      </c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78</v>
      </c>
    </row>
    <row r="34" spans="1:27" x14ac:dyDescent="0.3">
      <c r="A34" s="112"/>
      <c r="B34" s="9"/>
      <c r="C34" s="9"/>
      <c r="D34" s="9"/>
      <c r="E34" s="9"/>
      <c r="F34" s="15"/>
      <c r="G34" s="12"/>
      <c r="H34" s="12"/>
      <c r="I34" s="12"/>
      <c r="J34" s="12"/>
      <c r="K34" s="13"/>
      <c r="S34" s="8"/>
      <c r="T34" s="9"/>
      <c r="U34" s="9"/>
      <c r="V34" s="9"/>
      <c r="X34" s="19"/>
      <c r="Y34" s="20"/>
      <c r="AA34" t="s">
        <v>93</v>
      </c>
    </row>
    <row r="35" spans="1:27" x14ac:dyDescent="0.3">
      <c r="A35" s="112"/>
      <c r="B35" s="9"/>
      <c r="C35" s="16">
        <v>33032</v>
      </c>
      <c r="D35" s="9" t="s">
        <v>7</v>
      </c>
      <c r="E35" s="113" t="s">
        <v>84</v>
      </c>
      <c r="F35" s="9">
        <v>0</v>
      </c>
      <c r="G35" s="15">
        <v>1</v>
      </c>
      <c r="H35" s="9"/>
      <c r="I35" s="12" t="s">
        <v>94</v>
      </c>
      <c r="J35" s="12"/>
      <c r="K35" s="13"/>
      <c r="S35" s="8" t="s">
        <v>7</v>
      </c>
      <c r="T35" s="9" t="s">
        <v>84</v>
      </c>
      <c r="U35" s="9">
        <v>0</v>
      </c>
      <c r="V35" s="9">
        <v>1</v>
      </c>
      <c r="X35" s="19">
        <f t="shared" ref="X35:X40" si="9">(IF(U35&gt;V35,3,IF(U35=V35,1,2)))</f>
        <v>2</v>
      </c>
      <c r="Y35" s="20">
        <f t="shared" ref="Y35:Y40" si="10">(IF(V35&gt;U35,3,IF(U35=V35,1,2)))</f>
        <v>3</v>
      </c>
      <c r="AA35" t="s">
        <v>10</v>
      </c>
    </row>
    <row r="36" spans="1:27" ht="15" thickBot="1" x14ac:dyDescent="0.35">
      <c r="A36" s="112"/>
      <c r="B36" s="9"/>
      <c r="C36" s="21"/>
      <c r="D36" s="23"/>
      <c r="E36" s="23"/>
      <c r="F36" s="23" t="s">
        <v>8</v>
      </c>
      <c r="G36" s="23" t="s">
        <v>15</v>
      </c>
      <c r="H36" s="23"/>
      <c r="I36" s="28"/>
      <c r="J36" s="12"/>
      <c r="K36" s="13"/>
      <c r="S36" s="8" t="s">
        <v>23</v>
      </c>
      <c r="T36" s="9" t="s">
        <v>87</v>
      </c>
      <c r="U36" s="9">
        <v>0</v>
      </c>
      <c r="V36" s="9">
        <v>2</v>
      </c>
      <c r="X36" s="19">
        <f t="shared" si="9"/>
        <v>2</v>
      </c>
      <c r="Y36" s="20">
        <f t="shared" si="10"/>
        <v>3</v>
      </c>
    </row>
    <row r="37" spans="1:27" x14ac:dyDescent="0.3">
      <c r="A37" s="112"/>
      <c r="B37" s="9"/>
      <c r="C37" s="16">
        <v>33033</v>
      </c>
      <c r="D37" s="9" t="s">
        <v>23</v>
      </c>
      <c r="E37" s="113" t="s">
        <v>87</v>
      </c>
      <c r="F37" s="9">
        <v>0</v>
      </c>
      <c r="G37" s="15">
        <v>2</v>
      </c>
      <c r="H37" s="9"/>
      <c r="I37" s="12" t="s">
        <v>95</v>
      </c>
      <c r="J37" s="12"/>
      <c r="K37" s="13"/>
      <c r="S37" s="8" t="s">
        <v>7</v>
      </c>
      <c r="T37" s="9" t="s">
        <v>23</v>
      </c>
      <c r="U37" s="9">
        <v>2</v>
      </c>
      <c r="V37" s="9">
        <v>0</v>
      </c>
      <c r="X37" s="19">
        <f t="shared" si="9"/>
        <v>3</v>
      </c>
      <c r="Y37" s="20">
        <f t="shared" si="10"/>
        <v>2</v>
      </c>
    </row>
    <row r="38" spans="1:27" ht="15" thickBot="1" x14ac:dyDescent="0.35">
      <c r="A38" s="112"/>
      <c r="B38" s="9"/>
      <c r="C38" s="21"/>
      <c r="D38" s="23"/>
      <c r="E38" s="23"/>
      <c r="F38" s="23" t="s">
        <v>8</v>
      </c>
      <c r="G38" s="23" t="s">
        <v>9</v>
      </c>
      <c r="H38" s="23"/>
      <c r="I38" s="28"/>
      <c r="J38" s="12"/>
      <c r="K38" s="13"/>
      <c r="S38" s="8" t="s">
        <v>84</v>
      </c>
      <c r="T38" s="9" t="s">
        <v>87</v>
      </c>
      <c r="U38" s="9">
        <v>2</v>
      </c>
      <c r="V38" s="9">
        <v>1</v>
      </c>
      <c r="X38" s="19">
        <f t="shared" si="9"/>
        <v>3</v>
      </c>
      <c r="Y38" s="20">
        <f t="shared" si="10"/>
        <v>2</v>
      </c>
    </row>
    <row r="39" spans="1:27" x14ac:dyDescent="0.3">
      <c r="A39" s="112"/>
      <c r="B39" s="9"/>
      <c r="C39" s="16">
        <v>33037</v>
      </c>
      <c r="D39" s="113" t="s">
        <v>7</v>
      </c>
      <c r="E39" s="9" t="s">
        <v>23</v>
      </c>
      <c r="F39" s="15">
        <v>2</v>
      </c>
      <c r="G39" s="9">
        <v>0</v>
      </c>
      <c r="H39" s="9"/>
      <c r="I39" s="12" t="s">
        <v>96</v>
      </c>
      <c r="J39" s="12"/>
      <c r="K39" s="13"/>
      <c r="S39" s="8" t="s">
        <v>7</v>
      </c>
      <c r="T39" s="9" t="s">
        <v>87</v>
      </c>
      <c r="U39" s="9">
        <v>1</v>
      </c>
      <c r="V39" s="9">
        <v>1</v>
      </c>
      <c r="X39" s="19">
        <f t="shared" si="9"/>
        <v>1</v>
      </c>
      <c r="Y39" s="20">
        <f t="shared" si="10"/>
        <v>1</v>
      </c>
    </row>
    <row r="40" spans="1:27" ht="15" thickBot="1" x14ac:dyDescent="0.35">
      <c r="A40" s="112"/>
      <c r="B40" s="9"/>
      <c r="C40" s="21"/>
      <c r="D40" s="23"/>
      <c r="E40" s="23"/>
      <c r="F40" s="23" t="s">
        <v>19</v>
      </c>
      <c r="G40" s="23" t="s">
        <v>15</v>
      </c>
      <c r="H40" s="23"/>
      <c r="I40" s="28"/>
      <c r="J40" s="12"/>
      <c r="K40" s="13"/>
      <c r="S40" s="8" t="s">
        <v>84</v>
      </c>
      <c r="T40" s="9" t="s">
        <v>23</v>
      </c>
      <c r="U40" s="9">
        <v>0</v>
      </c>
      <c r="V40" s="9">
        <v>4</v>
      </c>
      <c r="X40" s="19">
        <f t="shared" si="9"/>
        <v>2</v>
      </c>
      <c r="Y40" s="20">
        <f t="shared" si="10"/>
        <v>3</v>
      </c>
    </row>
    <row r="41" spans="1:27" x14ac:dyDescent="0.3">
      <c r="A41" s="112"/>
      <c r="B41" s="9"/>
      <c r="C41" s="16">
        <v>33038</v>
      </c>
      <c r="D41" s="113" t="s">
        <v>84</v>
      </c>
      <c r="E41" s="9" t="s">
        <v>87</v>
      </c>
      <c r="F41" s="15">
        <v>2</v>
      </c>
      <c r="G41" s="9">
        <v>1</v>
      </c>
      <c r="H41" s="9"/>
      <c r="I41" s="12" t="s">
        <v>95</v>
      </c>
      <c r="J41" s="12"/>
      <c r="K41" s="13"/>
      <c r="S41" s="8"/>
      <c r="T41" s="9"/>
      <c r="U41" s="9"/>
      <c r="V41" s="9"/>
      <c r="X41" s="19"/>
      <c r="Y41" s="20"/>
    </row>
    <row r="42" spans="1:27" ht="15" thickBot="1" x14ac:dyDescent="0.35">
      <c r="A42" s="112"/>
      <c r="B42" s="9"/>
      <c r="C42" s="21"/>
      <c r="D42" s="23"/>
      <c r="E42" s="23"/>
      <c r="F42" s="23" t="s">
        <v>8</v>
      </c>
      <c r="G42" s="23" t="s">
        <v>15</v>
      </c>
      <c r="H42" s="23"/>
      <c r="I42" s="28"/>
      <c r="J42" s="12"/>
      <c r="K42" s="13"/>
      <c r="S42" s="8"/>
      <c r="T42" s="9"/>
      <c r="U42" s="9"/>
      <c r="V42" s="9"/>
      <c r="X42" s="19"/>
      <c r="Y42" s="20"/>
    </row>
    <row r="43" spans="1:27" x14ac:dyDescent="0.3">
      <c r="A43" s="112"/>
      <c r="B43" s="9"/>
      <c r="C43" s="16">
        <v>33042</v>
      </c>
      <c r="D43" s="17" t="s">
        <v>7</v>
      </c>
      <c r="E43" s="17" t="s">
        <v>87</v>
      </c>
      <c r="F43" s="17">
        <v>1</v>
      </c>
      <c r="G43" s="17">
        <v>1</v>
      </c>
      <c r="H43" s="17"/>
      <c r="I43" s="12" t="s">
        <v>96</v>
      </c>
      <c r="J43" s="12"/>
      <c r="K43" s="13"/>
      <c r="S43" s="8"/>
      <c r="T43" s="9"/>
      <c r="U43" s="9"/>
      <c r="V43" s="9"/>
      <c r="W43" s="9"/>
      <c r="X43" s="19"/>
      <c r="Y43" s="20"/>
    </row>
    <row r="44" spans="1:27" ht="15" thickBot="1" x14ac:dyDescent="0.35">
      <c r="A44" s="112"/>
      <c r="B44" s="9"/>
      <c r="C44" s="21"/>
      <c r="D44" s="22"/>
      <c r="E44" s="22"/>
      <c r="F44" s="22" t="s">
        <v>8</v>
      </c>
      <c r="G44" s="22" t="s">
        <v>15</v>
      </c>
      <c r="H44" s="22"/>
      <c r="I44" s="28"/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>
        <v>33042</v>
      </c>
      <c r="D45" s="17" t="s">
        <v>84</v>
      </c>
      <c r="E45" s="114" t="s">
        <v>23</v>
      </c>
      <c r="F45" s="17">
        <v>0</v>
      </c>
      <c r="G45" s="25">
        <v>4</v>
      </c>
      <c r="H45" s="17"/>
      <c r="I45" s="12" t="s">
        <v>95</v>
      </c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2"/>
      <c r="B46" s="9"/>
      <c r="C46" s="16"/>
      <c r="D46" s="17"/>
      <c r="E46" s="17"/>
      <c r="F46" s="17" t="s">
        <v>8</v>
      </c>
      <c r="G46" s="17" t="s">
        <v>44</v>
      </c>
      <c r="H46" s="17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x14ac:dyDescent="0.3">
      <c r="A47" s="115"/>
      <c r="B47" s="17"/>
      <c r="C47" s="17"/>
      <c r="D47" s="17"/>
      <c r="E47" s="17"/>
      <c r="F47" s="17"/>
      <c r="G47" s="38"/>
      <c r="H47" s="12"/>
      <c r="I47" s="12"/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5"/>
      <c r="B48" s="17"/>
      <c r="C48" s="17"/>
      <c r="D48" s="17"/>
      <c r="E48" s="17"/>
      <c r="F48" s="17"/>
      <c r="G48" s="38"/>
      <c r="H48" s="12"/>
      <c r="I48" s="12"/>
      <c r="J48" s="12"/>
      <c r="K48" s="13"/>
      <c r="S48" s="8"/>
      <c r="T48" s="9"/>
      <c r="U48" s="9"/>
      <c r="V48" s="9"/>
      <c r="W48" s="9"/>
      <c r="X48" s="19"/>
      <c r="Y48" s="20"/>
    </row>
    <row r="49" spans="1:25" ht="15" thickBot="1" x14ac:dyDescent="0.35">
      <c r="A49" s="112"/>
      <c r="B49" s="9" t="s">
        <v>62</v>
      </c>
      <c r="C49" s="9" t="s">
        <v>27</v>
      </c>
      <c r="D49" s="9" t="s">
        <v>28</v>
      </c>
      <c r="E49" s="9" t="s">
        <v>29</v>
      </c>
      <c r="F49" s="9" t="s">
        <v>30</v>
      </c>
      <c r="G49" s="12" t="s">
        <v>31</v>
      </c>
      <c r="H49" s="12" t="s">
        <v>32</v>
      </c>
      <c r="I49" s="12" t="s">
        <v>33</v>
      </c>
      <c r="J49" s="12" t="s">
        <v>34</v>
      </c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 t="s">
        <v>90</v>
      </c>
      <c r="B50" s="30" t="s">
        <v>84</v>
      </c>
      <c r="C50" s="31">
        <f>COUNTIF($S$35:$T$40,"Kamerun")</f>
        <v>3</v>
      </c>
      <c r="D50" s="32">
        <f>SUMPRODUCT(($S$35:$T$40=B50)*($X$35:$Y$40=3))</f>
        <v>2</v>
      </c>
      <c r="E50" s="32">
        <f>SUMPRODUCT(($S$35:$T$40=B50)*($X$35:$Y$40=1))</f>
        <v>0</v>
      </c>
      <c r="F50" s="32">
        <f>SUMPRODUCT(($S$35:$T$40=B50)*($X$35:$Y$40=2))</f>
        <v>1</v>
      </c>
      <c r="G50" s="32">
        <f>SUMPRODUCT(($S$35:$S$40=B50)*($U$35:$U$40))+SUMPRODUCT(($T$35:$T$40=B50)*($V$35:$V$40))</f>
        <v>3</v>
      </c>
      <c r="H50" s="32">
        <f>SUMPRODUCT(($S$35:$S$40=B50)*($V$35:$V$40))+SUMPRODUCT(($T$35:$T$40=B50)*($U$35:$U$40))</f>
        <v>5</v>
      </c>
      <c r="I50" s="33">
        <f>(D50*2)+E50</f>
        <v>4</v>
      </c>
      <c r="J50" s="34">
        <f>(F50*2)+E50</f>
        <v>2</v>
      </c>
      <c r="K50" s="13"/>
      <c r="S50" s="8"/>
      <c r="T50" s="9"/>
      <c r="U50" s="9"/>
      <c r="V50" s="9"/>
      <c r="W50" s="9"/>
      <c r="X50" s="19"/>
      <c r="Y50" s="20"/>
    </row>
    <row r="51" spans="1:25" x14ac:dyDescent="0.3">
      <c r="A51" s="112"/>
      <c r="B51" s="36" t="s">
        <v>87</v>
      </c>
      <c r="C51" s="9">
        <f>COUNTIF($S$35:$T$40,"Rumänien")</f>
        <v>3</v>
      </c>
      <c r="D51" s="37">
        <f t="shared" ref="D51:D53" si="11">SUMPRODUCT(($S$35:$T$40=B51)*($X$35:$Y$40=3))</f>
        <v>1</v>
      </c>
      <c r="E51" s="37">
        <f t="shared" ref="E51:E53" si="12">SUMPRODUCT(($S$35:$T$40=B51)*($X$35:$Y$40=1))</f>
        <v>1</v>
      </c>
      <c r="F51" s="37">
        <f t="shared" ref="F51:F53" si="13">SUMPRODUCT(($S$35:$T$40=B51)*($X$35:$Y$40=2))</f>
        <v>1</v>
      </c>
      <c r="G51" s="37">
        <f t="shared" ref="G51:G53" si="14">SUMPRODUCT(($S$35:$S$40=B51)*($U$35:$U$40))+SUMPRODUCT(($T$35:$T$40=B51)*($V$35:$V$40))</f>
        <v>4</v>
      </c>
      <c r="H51" s="37">
        <f t="shared" ref="H51:H53" si="15">SUMPRODUCT(($S$35:$S$40=B51)*($V$35:$V$40))+SUMPRODUCT(($T$35:$T$40=B51)*($U$35:$U$40))</f>
        <v>3</v>
      </c>
      <c r="I51" s="38">
        <f t="shared" ref="I51:I53" si="16">(D51*2)+E51</f>
        <v>3</v>
      </c>
      <c r="J51" s="39">
        <f t="shared" ref="J51:J53" si="17">(F51*2)+E51</f>
        <v>3</v>
      </c>
      <c r="K51" s="13"/>
      <c r="S51" s="8"/>
      <c r="T51" s="9"/>
      <c r="U51" s="9"/>
      <c r="V51" s="9"/>
      <c r="W51" s="9"/>
      <c r="X51" s="19"/>
      <c r="Y51" s="20"/>
    </row>
    <row r="52" spans="1:25" x14ac:dyDescent="0.3">
      <c r="A52" s="112"/>
      <c r="B52" s="51" t="s">
        <v>7</v>
      </c>
      <c r="C52" s="9">
        <f>COUNTIF($S$35:$T$40,"Argentinien")</f>
        <v>3</v>
      </c>
      <c r="D52" s="37">
        <f t="shared" si="11"/>
        <v>1</v>
      </c>
      <c r="E52" s="37">
        <f t="shared" si="12"/>
        <v>1</v>
      </c>
      <c r="F52" s="37">
        <f t="shared" si="13"/>
        <v>1</v>
      </c>
      <c r="G52" s="37">
        <f t="shared" si="14"/>
        <v>3</v>
      </c>
      <c r="H52" s="37">
        <f t="shared" si="15"/>
        <v>2</v>
      </c>
      <c r="I52" s="38">
        <f t="shared" si="16"/>
        <v>3</v>
      </c>
      <c r="J52" s="39">
        <f t="shared" si="17"/>
        <v>3</v>
      </c>
      <c r="K52" s="13"/>
      <c r="S52" s="8"/>
      <c r="T52" s="9"/>
      <c r="U52" s="9"/>
      <c r="V52" s="9"/>
      <c r="W52" s="9"/>
      <c r="X52" s="19"/>
      <c r="Y52" s="20"/>
    </row>
    <row r="53" spans="1:25" ht="15" thickBot="1" x14ac:dyDescent="0.35">
      <c r="A53" s="112"/>
      <c r="B53" s="50" t="s">
        <v>23</v>
      </c>
      <c r="C53" s="23">
        <f>COUNTIF($S$35:$T$40,"UdSSR")</f>
        <v>3</v>
      </c>
      <c r="D53" s="42">
        <f t="shared" si="11"/>
        <v>1</v>
      </c>
      <c r="E53" s="42">
        <f t="shared" si="12"/>
        <v>0</v>
      </c>
      <c r="F53" s="42">
        <f t="shared" si="13"/>
        <v>2</v>
      </c>
      <c r="G53" s="42">
        <f t="shared" si="14"/>
        <v>4</v>
      </c>
      <c r="H53" s="42">
        <f t="shared" si="15"/>
        <v>4</v>
      </c>
      <c r="I53" s="43">
        <f t="shared" si="16"/>
        <v>2</v>
      </c>
      <c r="J53" s="44">
        <f t="shared" si="17"/>
        <v>4</v>
      </c>
      <c r="K53" s="13"/>
      <c r="S53" s="8"/>
      <c r="T53" s="9"/>
      <c r="U53" s="9"/>
      <c r="V53" s="9"/>
      <c r="W53" s="9"/>
      <c r="X53" s="19"/>
      <c r="Y53" s="20"/>
    </row>
    <row r="54" spans="1:25" ht="15" thickBot="1" x14ac:dyDescent="0.35">
      <c r="A54" s="112"/>
      <c r="B54" s="9"/>
      <c r="C54" s="9"/>
      <c r="D54" s="9"/>
      <c r="E54" s="9"/>
      <c r="F54" s="9"/>
      <c r="G54" s="12"/>
      <c r="H54" s="12"/>
      <c r="I54" s="12"/>
      <c r="J54" s="12"/>
      <c r="K54" s="45"/>
      <c r="S54" s="8"/>
      <c r="T54" s="9"/>
      <c r="U54" s="9"/>
      <c r="V54" s="9"/>
      <c r="W54" s="9"/>
      <c r="X54" s="19"/>
      <c r="Y54" s="20"/>
    </row>
    <row r="55" spans="1:25" ht="15" thickTop="1" x14ac:dyDescent="0.3">
      <c r="A55" s="111"/>
      <c r="B55" s="2"/>
      <c r="C55" s="2"/>
      <c r="D55" s="2"/>
      <c r="E55" s="2"/>
      <c r="F55" s="2"/>
      <c r="G55" s="3"/>
      <c r="H55" s="3"/>
      <c r="I55" s="3"/>
      <c r="J55" s="3"/>
      <c r="K55" s="13"/>
      <c r="S55" s="8"/>
      <c r="T55" s="9"/>
      <c r="U55" s="9"/>
      <c r="V55" s="9"/>
      <c r="W55" s="9"/>
      <c r="X55" s="19"/>
      <c r="Y55" s="20"/>
    </row>
    <row r="56" spans="1:25" ht="21" x14ac:dyDescent="0.4">
      <c r="A56" s="112"/>
      <c r="B56" s="9"/>
      <c r="C56" s="9"/>
      <c r="D56" s="9"/>
      <c r="E56" s="9"/>
      <c r="F56" s="14" t="s">
        <v>47</v>
      </c>
      <c r="G56" s="12"/>
      <c r="H56" s="12"/>
      <c r="I56" s="12"/>
      <c r="J56" s="12"/>
      <c r="K56" s="13"/>
      <c r="S56" s="46"/>
      <c r="T56" s="17"/>
      <c r="U56" s="17"/>
      <c r="V56" s="17"/>
      <c r="W56" s="17"/>
      <c r="X56" s="19"/>
      <c r="Y56" s="20"/>
    </row>
    <row r="57" spans="1:25" x14ac:dyDescent="0.3">
      <c r="A57" s="112"/>
      <c r="B57" s="9"/>
      <c r="C57" s="9"/>
      <c r="D57" s="9"/>
      <c r="E57" s="9"/>
      <c r="F57" s="15"/>
      <c r="G57" s="12"/>
      <c r="H57" s="12"/>
      <c r="I57" s="12"/>
      <c r="J57" s="12"/>
      <c r="K57" s="13"/>
      <c r="S57" s="46"/>
      <c r="T57" s="17"/>
      <c r="U57" s="17"/>
      <c r="V57" s="17"/>
      <c r="W57" s="17"/>
      <c r="X57" s="19"/>
      <c r="Y57" s="20"/>
    </row>
    <row r="58" spans="1:25" x14ac:dyDescent="0.3">
      <c r="A58" s="112"/>
      <c r="B58" s="9"/>
      <c r="C58" s="16">
        <v>33034</v>
      </c>
      <c r="D58" s="113" t="s">
        <v>16</v>
      </c>
      <c r="E58" s="9" t="s">
        <v>92</v>
      </c>
      <c r="F58" s="15">
        <v>2</v>
      </c>
      <c r="G58" s="12">
        <v>1</v>
      </c>
      <c r="H58" s="12"/>
      <c r="I58" s="12" t="s">
        <v>97</v>
      </c>
      <c r="J58" s="12"/>
      <c r="K58" s="13"/>
      <c r="S58" s="46" t="s">
        <v>16</v>
      </c>
      <c r="T58" s="17" t="s">
        <v>92</v>
      </c>
      <c r="U58" s="17">
        <v>2</v>
      </c>
      <c r="V58" s="17">
        <v>1</v>
      </c>
      <c r="W58" s="17"/>
      <c r="X58" s="19">
        <f t="shared" ref="X58:X63" si="18">(IF(U58&gt;V58,3,IF(U58=V58,1,2)))</f>
        <v>3</v>
      </c>
      <c r="Y58" s="20">
        <f t="shared" ref="Y58:Y63" si="19">(IF(V58&gt;U58,3,IF(U58=V58,1,2)))</f>
        <v>2</v>
      </c>
    </row>
    <row r="59" spans="1:25" ht="15" thickBot="1" x14ac:dyDescent="0.35">
      <c r="A59" s="112"/>
      <c r="B59" s="9"/>
      <c r="C59" s="21"/>
      <c r="D59" s="23"/>
      <c r="E59" s="23"/>
      <c r="F59" s="23" t="s">
        <v>19</v>
      </c>
      <c r="G59" s="28" t="s">
        <v>15</v>
      </c>
      <c r="H59" s="28"/>
      <c r="I59" s="28"/>
      <c r="J59" s="12"/>
      <c r="K59" s="13"/>
      <c r="S59" s="46" t="s">
        <v>86</v>
      </c>
      <c r="T59" s="17" t="s">
        <v>41</v>
      </c>
      <c r="U59" s="17">
        <v>1</v>
      </c>
      <c r="V59" s="17">
        <v>0</v>
      </c>
      <c r="W59" s="17"/>
      <c r="X59" s="19">
        <f t="shared" si="18"/>
        <v>3</v>
      </c>
      <c r="Y59" s="20">
        <f t="shared" si="19"/>
        <v>2</v>
      </c>
    </row>
    <row r="60" spans="1:25" x14ac:dyDescent="0.3">
      <c r="A60" s="112"/>
      <c r="B60" s="9"/>
      <c r="C60" s="16">
        <v>33035</v>
      </c>
      <c r="D60" s="113" t="s">
        <v>86</v>
      </c>
      <c r="E60" s="9" t="s">
        <v>41</v>
      </c>
      <c r="F60" s="15">
        <v>1</v>
      </c>
      <c r="G60" s="12">
        <v>0</v>
      </c>
      <c r="H60" s="12"/>
      <c r="I60" s="12" t="s">
        <v>98</v>
      </c>
      <c r="J60" s="12"/>
      <c r="K60" s="13"/>
      <c r="S60" s="46" t="s">
        <v>16</v>
      </c>
      <c r="T60" s="17" t="s">
        <v>86</v>
      </c>
      <c r="U60" s="17">
        <v>1</v>
      </c>
      <c r="V60" s="17">
        <v>0</v>
      </c>
      <c r="W60" s="17"/>
      <c r="X60" s="19">
        <f t="shared" si="18"/>
        <v>3</v>
      </c>
      <c r="Y60" s="20">
        <f t="shared" si="19"/>
        <v>2</v>
      </c>
    </row>
    <row r="61" spans="1:25" ht="15" thickBot="1" x14ac:dyDescent="0.35">
      <c r="A61" s="112"/>
      <c r="B61" s="9"/>
      <c r="C61" s="21"/>
      <c r="D61" s="23"/>
      <c r="E61" s="23"/>
      <c r="F61" s="23" t="s">
        <v>8</v>
      </c>
      <c r="G61" s="28" t="s">
        <v>15</v>
      </c>
      <c r="H61" s="28"/>
      <c r="I61" s="28"/>
      <c r="J61" s="12"/>
      <c r="K61" s="13"/>
      <c r="S61" s="46" t="s">
        <v>92</v>
      </c>
      <c r="T61" s="17" t="s">
        <v>41</v>
      </c>
      <c r="U61" s="17">
        <v>1</v>
      </c>
      <c r="V61" s="17">
        <v>2</v>
      </c>
      <c r="W61" s="17"/>
      <c r="X61" s="19">
        <f t="shared" si="18"/>
        <v>2</v>
      </c>
      <c r="Y61" s="20">
        <f t="shared" si="19"/>
        <v>3</v>
      </c>
    </row>
    <row r="62" spans="1:25" x14ac:dyDescent="0.3">
      <c r="A62" s="112"/>
      <c r="B62" s="9"/>
      <c r="C62" s="16">
        <v>33040</v>
      </c>
      <c r="D62" s="113" t="s">
        <v>16</v>
      </c>
      <c r="E62" s="9" t="s">
        <v>86</v>
      </c>
      <c r="F62" s="15">
        <v>1</v>
      </c>
      <c r="G62" s="12">
        <v>0</v>
      </c>
      <c r="H62" s="12"/>
      <c r="I62" s="12" t="s">
        <v>97</v>
      </c>
      <c r="J62" s="12"/>
      <c r="K62" s="13"/>
      <c r="S62" s="46" t="s">
        <v>16</v>
      </c>
      <c r="T62" s="17" t="s">
        <v>41</v>
      </c>
      <c r="U62" s="17">
        <v>1</v>
      </c>
      <c r="V62" s="17">
        <v>0</v>
      </c>
      <c r="W62" s="17"/>
      <c r="X62" s="19">
        <f t="shared" si="18"/>
        <v>3</v>
      </c>
      <c r="Y62" s="20">
        <f t="shared" si="19"/>
        <v>2</v>
      </c>
    </row>
    <row r="63" spans="1:25" ht="15" thickBot="1" x14ac:dyDescent="0.35">
      <c r="A63" s="112"/>
      <c r="B63" s="9"/>
      <c r="C63" s="21"/>
      <c r="D63" s="23"/>
      <c r="E63" s="23"/>
      <c r="F63" s="23" t="s">
        <v>19</v>
      </c>
      <c r="G63" s="28" t="s">
        <v>15</v>
      </c>
      <c r="H63" s="28"/>
      <c r="I63" s="28"/>
      <c r="J63" s="12"/>
      <c r="K63" s="13"/>
      <c r="S63" s="46" t="s">
        <v>92</v>
      </c>
      <c r="T63" s="17" t="s">
        <v>86</v>
      </c>
      <c r="U63" s="17">
        <v>1</v>
      </c>
      <c r="V63" s="17">
        <v>2</v>
      </c>
      <c r="W63" s="17"/>
      <c r="X63" s="19">
        <f t="shared" si="18"/>
        <v>2</v>
      </c>
      <c r="Y63" s="20">
        <f t="shared" si="19"/>
        <v>3</v>
      </c>
    </row>
    <row r="64" spans="1:25" x14ac:dyDescent="0.3">
      <c r="A64" s="112"/>
      <c r="B64" s="9"/>
      <c r="C64" s="16">
        <v>33040</v>
      </c>
      <c r="D64" s="9" t="s">
        <v>92</v>
      </c>
      <c r="E64" s="113" t="s">
        <v>41</v>
      </c>
      <c r="F64" s="9">
        <v>1</v>
      </c>
      <c r="G64" s="116">
        <v>2</v>
      </c>
      <c r="H64" s="12"/>
      <c r="I64" s="12" t="s">
        <v>98</v>
      </c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23"/>
      <c r="E65" s="23"/>
      <c r="F65" s="23" t="s">
        <v>8</v>
      </c>
      <c r="G65" s="28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33044</v>
      </c>
      <c r="D66" s="113" t="s">
        <v>16</v>
      </c>
      <c r="E66" s="9" t="s">
        <v>41</v>
      </c>
      <c r="F66" s="15">
        <v>1</v>
      </c>
      <c r="G66" s="12">
        <v>0</v>
      </c>
      <c r="H66" s="12"/>
      <c r="I66" s="12" t="s">
        <v>97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5" ht="15" thickBot="1" x14ac:dyDescent="0.35">
      <c r="A67" s="112"/>
      <c r="B67" s="9"/>
      <c r="C67" s="21"/>
      <c r="D67" s="23"/>
      <c r="E67" s="23"/>
      <c r="F67" s="23" t="s">
        <v>8</v>
      </c>
      <c r="G67" s="28" t="s">
        <v>15</v>
      </c>
      <c r="H67" s="28"/>
      <c r="I67" s="28"/>
      <c r="J67" s="12"/>
      <c r="K67" s="13"/>
      <c r="S67" s="8"/>
      <c r="T67" s="9"/>
      <c r="U67" s="9"/>
      <c r="V67" s="9"/>
      <c r="W67" s="9"/>
      <c r="X67" s="19"/>
      <c r="Y67" s="20"/>
    </row>
    <row r="68" spans="1:25" x14ac:dyDescent="0.3">
      <c r="A68" s="112"/>
      <c r="B68" s="9"/>
      <c r="C68" s="16">
        <v>33044</v>
      </c>
      <c r="D68" s="9" t="s">
        <v>92</v>
      </c>
      <c r="E68" s="113" t="s">
        <v>86</v>
      </c>
      <c r="F68" s="9">
        <v>1</v>
      </c>
      <c r="G68" s="116">
        <v>2</v>
      </c>
      <c r="H68" s="12"/>
      <c r="I68" s="12" t="s">
        <v>98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5"/>
      <c r="B69" s="9"/>
      <c r="C69" s="9"/>
      <c r="D69" s="9"/>
      <c r="E69" s="9"/>
      <c r="F69" s="9" t="s">
        <v>19</v>
      </c>
      <c r="G69" s="12" t="s">
        <v>15</v>
      </c>
      <c r="H69" s="12"/>
      <c r="I69" s="12"/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5"/>
      <c r="B70" s="9"/>
      <c r="C70" s="9"/>
      <c r="D70" s="9"/>
      <c r="E70" s="9"/>
      <c r="F70" s="9"/>
      <c r="G70" s="12"/>
      <c r="H70" s="12"/>
      <c r="I70" s="12"/>
      <c r="J70" s="12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5"/>
      <c r="B71" s="9"/>
      <c r="C71" s="9"/>
      <c r="D71" s="9"/>
      <c r="E71" s="9"/>
      <c r="F71" s="9"/>
      <c r="G71" s="12"/>
      <c r="H71" s="12"/>
      <c r="I71" s="12"/>
      <c r="J71" s="12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9" t="s">
        <v>62</v>
      </c>
      <c r="C72" s="9" t="s">
        <v>27</v>
      </c>
      <c r="D72" s="9" t="s">
        <v>28</v>
      </c>
      <c r="E72" s="9" t="s">
        <v>29</v>
      </c>
      <c r="F72" s="9" t="s">
        <v>30</v>
      </c>
      <c r="G72" s="12" t="s">
        <v>31</v>
      </c>
      <c r="H72" s="12" t="s">
        <v>32</v>
      </c>
      <c r="I72" s="12" t="s">
        <v>33</v>
      </c>
      <c r="J72" s="12" t="s">
        <v>34</v>
      </c>
      <c r="K72" s="13"/>
      <c r="S72" s="8"/>
      <c r="T72" s="9"/>
      <c r="U72" s="9"/>
      <c r="V72" s="9"/>
      <c r="W72" s="9"/>
      <c r="X72" s="19"/>
      <c r="Y72" s="20"/>
    </row>
    <row r="73" spans="1:25" x14ac:dyDescent="0.3">
      <c r="A73" s="112" t="s">
        <v>90</v>
      </c>
      <c r="B73" s="30" t="s">
        <v>16</v>
      </c>
      <c r="C73" s="31">
        <f>COUNTIF($S$58:$T$63,"Brasilien")</f>
        <v>3</v>
      </c>
      <c r="D73" s="32">
        <f>SUMPRODUCT(($S$58:$T$63=B73)*($X$58:$Y$63=3))</f>
        <v>3</v>
      </c>
      <c r="E73" s="32">
        <f>SUMPRODUCT(($S$58:$T$63=B73)*($X$58:$Y$63=1))</f>
        <v>0</v>
      </c>
      <c r="F73" s="32">
        <f>SUMPRODUCT(($S$58:$T$63=B73)*($X$58:$Y$63=2))</f>
        <v>0</v>
      </c>
      <c r="G73" s="32">
        <f>SUMPRODUCT(($S$58:$S$63=B73)*($U$58:$U$63))+SUMPRODUCT(($T$58:$T$63=B73)*($V$58:$V$63))</f>
        <v>4</v>
      </c>
      <c r="H73" s="32">
        <f>SUMPRODUCT(($S$58:$S$63=B73)*($V$58:$V$63))+SUMPRODUCT(($T$58:$T$63=B73)*($U$58:$U$63))</f>
        <v>1</v>
      </c>
      <c r="I73" s="33">
        <f>(D73*2)+E73</f>
        <v>6</v>
      </c>
      <c r="J73" s="34">
        <f>(F73*2)+E73</f>
        <v>0</v>
      </c>
      <c r="K73" s="13"/>
      <c r="S73" s="8"/>
      <c r="T73" s="9"/>
      <c r="U73" s="9"/>
      <c r="V73" s="9"/>
      <c r="W73" s="9"/>
      <c r="X73" s="19"/>
      <c r="Y73" s="20"/>
    </row>
    <row r="74" spans="1:25" x14ac:dyDescent="0.3">
      <c r="A74" s="112"/>
      <c r="B74" s="36" t="s">
        <v>86</v>
      </c>
      <c r="C74" s="9">
        <f>COUNTIF($S$58:$T$63,"Costa Rica")</f>
        <v>3</v>
      </c>
      <c r="D74" s="37">
        <f t="shared" ref="D74:D76" si="20">SUMPRODUCT(($S$58:$T$63=B74)*($X$58:$Y$63=3))</f>
        <v>2</v>
      </c>
      <c r="E74" s="37">
        <f t="shared" ref="E74:E76" si="21">SUMPRODUCT(($S$58:$T$63=B74)*($X$58:$Y$63=1))</f>
        <v>0</v>
      </c>
      <c r="F74" s="37">
        <f t="shared" ref="F74:F76" si="22">SUMPRODUCT(($S$58:$T$63=B74)*($X$58:$Y$63=2))</f>
        <v>1</v>
      </c>
      <c r="G74" s="37">
        <f t="shared" ref="G74:G76" si="23">SUMPRODUCT(($S$58:$S$63=B74)*($U$58:$U$63))+SUMPRODUCT(($T$58:$T$63=B74)*($V$58:$V$63))</f>
        <v>3</v>
      </c>
      <c r="H74" s="37">
        <f t="shared" ref="H74:H76" si="24">SUMPRODUCT(($S$58:$S$63=B74)*($V$58:$V$63))+SUMPRODUCT(($T$58:$T$63=B74)*($U$58:$U$63))</f>
        <v>2</v>
      </c>
      <c r="I74" s="38">
        <f t="shared" ref="I74:I76" si="25">(D74*2)+E74</f>
        <v>4</v>
      </c>
      <c r="J74" s="39">
        <f t="shared" ref="J74:J76" si="26">(F74*2)+E74</f>
        <v>2</v>
      </c>
      <c r="K74" s="13"/>
      <c r="S74" s="8"/>
      <c r="T74" s="9"/>
      <c r="U74" s="9"/>
      <c r="V74" s="9"/>
      <c r="W74" s="9"/>
      <c r="X74" s="19"/>
      <c r="Y74" s="20"/>
    </row>
    <row r="75" spans="1:25" x14ac:dyDescent="0.3">
      <c r="A75" s="112"/>
      <c r="B75" s="51" t="s">
        <v>41</v>
      </c>
      <c r="C75" s="9">
        <f>COUNTIF($S$58:$T$63,"Schottland")</f>
        <v>3</v>
      </c>
      <c r="D75" s="37">
        <f t="shared" si="20"/>
        <v>1</v>
      </c>
      <c r="E75" s="37">
        <f t="shared" si="21"/>
        <v>0</v>
      </c>
      <c r="F75" s="37">
        <f t="shared" si="22"/>
        <v>2</v>
      </c>
      <c r="G75" s="37">
        <f t="shared" si="23"/>
        <v>2</v>
      </c>
      <c r="H75" s="37">
        <f t="shared" si="24"/>
        <v>3</v>
      </c>
      <c r="I75" s="38">
        <f t="shared" si="25"/>
        <v>2</v>
      </c>
      <c r="J75" s="39">
        <f t="shared" si="26"/>
        <v>4</v>
      </c>
      <c r="K75" s="13"/>
      <c r="S75" s="8"/>
      <c r="T75" s="9"/>
      <c r="U75" s="9"/>
      <c r="V75" s="9"/>
      <c r="W75" s="9"/>
      <c r="X75" s="19"/>
      <c r="Y75" s="20"/>
    </row>
    <row r="76" spans="1:25" ht="15" thickBot="1" x14ac:dyDescent="0.35">
      <c r="A76" s="112"/>
      <c r="B76" s="50" t="s">
        <v>92</v>
      </c>
      <c r="C76" s="23">
        <f>COUNTIF($S$58:$T$63,"Schweden")</f>
        <v>3</v>
      </c>
      <c r="D76" s="42">
        <f t="shared" si="20"/>
        <v>0</v>
      </c>
      <c r="E76" s="42">
        <f t="shared" si="21"/>
        <v>0</v>
      </c>
      <c r="F76" s="42">
        <f t="shared" si="22"/>
        <v>3</v>
      </c>
      <c r="G76" s="42">
        <f t="shared" si="23"/>
        <v>3</v>
      </c>
      <c r="H76" s="42">
        <f t="shared" si="24"/>
        <v>6</v>
      </c>
      <c r="I76" s="43">
        <f t="shared" si="25"/>
        <v>0</v>
      </c>
      <c r="J76" s="44">
        <f t="shared" si="26"/>
        <v>6</v>
      </c>
      <c r="K76" s="13"/>
      <c r="S76" s="8"/>
      <c r="T76" s="9"/>
      <c r="U76" s="9"/>
      <c r="V76" s="9"/>
      <c r="W76" s="9"/>
      <c r="X76" s="19"/>
      <c r="Y76" s="20"/>
    </row>
    <row r="77" spans="1:25" ht="15" thickBot="1" x14ac:dyDescent="0.35">
      <c r="A77" s="112"/>
      <c r="B77" s="9"/>
      <c r="C77" s="9"/>
      <c r="D77" s="9"/>
      <c r="E77" s="9"/>
      <c r="F77" s="9"/>
      <c r="G77" s="12"/>
      <c r="H77" s="12"/>
      <c r="I77" s="12"/>
      <c r="J77" s="12"/>
      <c r="K77" s="45"/>
      <c r="S77" s="8"/>
      <c r="T77" s="9"/>
      <c r="U77" s="9"/>
      <c r="V77" s="9"/>
      <c r="W77" s="9"/>
      <c r="X77" s="19"/>
      <c r="Y77" s="20"/>
    </row>
    <row r="78" spans="1:25" ht="15" thickTop="1" x14ac:dyDescent="0.3">
      <c r="A78" s="111"/>
      <c r="B78" s="2"/>
      <c r="C78" s="2"/>
      <c r="D78" s="2"/>
      <c r="E78" s="2"/>
      <c r="F78" s="2"/>
      <c r="G78" s="3"/>
      <c r="H78" s="3"/>
      <c r="I78" s="3"/>
      <c r="J78" s="3"/>
      <c r="K78" s="13"/>
      <c r="S78" s="8"/>
      <c r="T78" s="9"/>
      <c r="U78" s="9"/>
      <c r="V78" s="9"/>
      <c r="W78" s="9"/>
      <c r="X78" s="19"/>
      <c r="Y78" s="20"/>
    </row>
    <row r="79" spans="1:25" ht="21" x14ac:dyDescent="0.4">
      <c r="A79" s="112"/>
      <c r="B79" s="9"/>
      <c r="C79" s="9"/>
      <c r="D79" s="9"/>
      <c r="E79" s="9"/>
      <c r="F79" s="14" t="s">
        <v>51</v>
      </c>
      <c r="G79" s="12"/>
      <c r="H79" s="12"/>
      <c r="I79" s="12"/>
      <c r="J79" s="12"/>
      <c r="K79" s="13"/>
      <c r="S79" s="8"/>
      <c r="T79" s="9"/>
      <c r="U79" s="9"/>
      <c r="V79" s="9"/>
      <c r="W79" s="9"/>
      <c r="X79" s="19"/>
      <c r="Y79" s="20"/>
    </row>
    <row r="80" spans="1:25" x14ac:dyDescent="0.3">
      <c r="A80" s="112"/>
      <c r="B80" s="9"/>
      <c r="C80" s="9"/>
      <c r="D80" s="9"/>
      <c r="E80" s="9"/>
      <c r="F80" s="15"/>
      <c r="G80" s="12"/>
      <c r="H80" s="12"/>
      <c r="I80" s="12"/>
      <c r="J80" s="12"/>
      <c r="K80" s="13"/>
      <c r="S80" s="8"/>
      <c r="T80" s="9"/>
      <c r="U80" s="9"/>
      <c r="V80" s="9"/>
      <c r="W80" s="9"/>
      <c r="X80" s="19"/>
      <c r="Y80" s="20"/>
    </row>
    <row r="81" spans="1:25" x14ac:dyDescent="0.3">
      <c r="A81" s="112"/>
      <c r="B81" s="9"/>
      <c r="C81" s="16">
        <v>33033</v>
      </c>
      <c r="D81" s="9" t="s">
        <v>93</v>
      </c>
      <c r="E81" s="113" t="s">
        <v>88</v>
      </c>
      <c r="F81" s="9">
        <v>0</v>
      </c>
      <c r="G81" s="116">
        <v>2</v>
      </c>
      <c r="H81" s="12"/>
      <c r="I81" s="12" t="s">
        <v>99</v>
      </c>
      <c r="J81" s="12"/>
      <c r="K81" s="13"/>
      <c r="S81" s="8" t="s">
        <v>93</v>
      </c>
      <c r="T81" s="9" t="s">
        <v>88</v>
      </c>
      <c r="U81" s="9">
        <v>0</v>
      </c>
      <c r="V81" s="9">
        <v>2</v>
      </c>
      <c r="W81" s="9"/>
      <c r="X81" s="19">
        <f t="shared" ref="X81:X86" si="27">(IF(U81&gt;V81,3,IF(U81=V81,1,2)))</f>
        <v>2</v>
      </c>
      <c r="Y81" s="20">
        <f t="shared" ref="Y81:Y86" si="28">(IF(V81&gt;U81,3,IF(U81=V81,1,2)))</f>
        <v>3</v>
      </c>
    </row>
    <row r="82" spans="1:25" ht="15" thickBot="1" x14ac:dyDescent="0.35">
      <c r="A82" s="112"/>
      <c r="B82" s="9"/>
      <c r="C82" s="21"/>
      <c r="D82" s="23"/>
      <c r="E82" s="23"/>
      <c r="F82" s="23" t="s">
        <v>8</v>
      </c>
      <c r="G82" s="28" t="s">
        <v>15</v>
      </c>
      <c r="H82" s="28"/>
      <c r="I82" s="28"/>
      <c r="J82" s="12"/>
      <c r="K82" s="13"/>
      <c r="S82" s="8" t="s">
        <v>13</v>
      </c>
      <c r="T82" s="9" t="s">
        <v>83</v>
      </c>
      <c r="U82" s="9">
        <v>4</v>
      </c>
      <c r="V82" s="9">
        <v>1</v>
      </c>
      <c r="W82" s="9"/>
      <c r="X82" s="19">
        <f t="shared" si="27"/>
        <v>3</v>
      </c>
      <c r="Y82" s="20">
        <f t="shared" si="28"/>
        <v>2</v>
      </c>
    </row>
    <row r="83" spans="1:25" x14ac:dyDescent="0.3">
      <c r="A83" s="112"/>
      <c r="B83" s="9"/>
      <c r="C83" s="16">
        <v>33034</v>
      </c>
      <c r="D83" s="113" t="s">
        <v>13</v>
      </c>
      <c r="E83" s="9" t="s">
        <v>83</v>
      </c>
      <c r="F83" s="15">
        <v>4</v>
      </c>
      <c r="G83" s="12">
        <v>1</v>
      </c>
      <c r="H83" s="12"/>
      <c r="I83" s="12" t="s">
        <v>94</v>
      </c>
      <c r="J83" s="12"/>
      <c r="K83" s="13"/>
      <c r="S83" s="8" t="s">
        <v>83</v>
      </c>
      <c r="T83" s="9" t="s">
        <v>88</v>
      </c>
      <c r="U83" s="9">
        <v>1</v>
      </c>
      <c r="V83" s="9">
        <v>0</v>
      </c>
      <c r="W83" s="9"/>
      <c r="X83" s="19">
        <f t="shared" si="27"/>
        <v>3</v>
      </c>
      <c r="Y83" s="20">
        <f t="shared" si="28"/>
        <v>2</v>
      </c>
    </row>
    <row r="84" spans="1:25" ht="15" thickBot="1" x14ac:dyDescent="0.35">
      <c r="A84" s="112"/>
      <c r="B84" s="9"/>
      <c r="C84" s="21"/>
      <c r="D84" s="23"/>
      <c r="E84" s="23"/>
      <c r="F84" s="23" t="s">
        <v>14</v>
      </c>
      <c r="G84" s="28" t="s">
        <v>15</v>
      </c>
      <c r="H84" s="28"/>
      <c r="I84" s="28"/>
      <c r="J84" s="12"/>
      <c r="K84" s="13"/>
      <c r="S84" s="8" t="s">
        <v>13</v>
      </c>
      <c r="T84" s="9" t="s">
        <v>93</v>
      </c>
      <c r="U84" s="9">
        <v>5</v>
      </c>
      <c r="V84" s="9">
        <v>1</v>
      </c>
      <c r="W84" s="9"/>
      <c r="X84" s="19">
        <f t="shared" si="27"/>
        <v>3</v>
      </c>
      <c r="Y84" s="20">
        <f t="shared" si="28"/>
        <v>2</v>
      </c>
    </row>
    <row r="85" spans="1:25" x14ac:dyDescent="0.3">
      <c r="A85" s="112"/>
      <c r="B85" s="9"/>
      <c r="C85" s="16">
        <v>33038</v>
      </c>
      <c r="D85" s="113" t="s">
        <v>83</v>
      </c>
      <c r="E85" s="9" t="s">
        <v>88</v>
      </c>
      <c r="F85" s="15">
        <v>1</v>
      </c>
      <c r="G85" s="12">
        <v>0</v>
      </c>
      <c r="H85" s="12"/>
      <c r="I85" s="12" t="s">
        <v>99</v>
      </c>
      <c r="J85" s="12"/>
      <c r="K85" s="13"/>
      <c r="S85" s="8" t="s">
        <v>13</v>
      </c>
      <c r="T85" s="9" t="s">
        <v>88</v>
      </c>
      <c r="U85" s="9">
        <v>1</v>
      </c>
      <c r="V85" s="9">
        <v>1</v>
      </c>
      <c r="W85" s="9"/>
      <c r="X85" s="19">
        <f t="shared" si="27"/>
        <v>1</v>
      </c>
      <c r="Y85" s="20">
        <f t="shared" si="28"/>
        <v>1</v>
      </c>
    </row>
    <row r="86" spans="1:25" ht="15" thickBot="1" x14ac:dyDescent="0.35">
      <c r="A86" s="112"/>
      <c r="B86" s="9"/>
      <c r="C86" s="21"/>
      <c r="D86" s="23"/>
      <c r="E86" s="23"/>
      <c r="F86" s="23" t="s">
        <v>8</v>
      </c>
      <c r="G86" s="28" t="s">
        <v>15</v>
      </c>
      <c r="H86" s="28"/>
      <c r="I86" s="28"/>
      <c r="J86" s="12"/>
      <c r="K86" s="13"/>
      <c r="S86" s="8" t="s">
        <v>83</v>
      </c>
      <c r="T86" s="9" t="s">
        <v>93</v>
      </c>
      <c r="U86" s="9">
        <v>4</v>
      </c>
      <c r="V86" s="9">
        <v>1</v>
      </c>
      <c r="W86" s="9"/>
      <c r="X86" s="19">
        <f t="shared" si="27"/>
        <v>3</v>
      </c>
      <c r="Y86" s="20">
        <f t="shared" si="28"/>
        <v>2</v>
      </c>
    </row>
    <row r="87" spans="1:25" x14ac:dyDescent="0.3">
      <c r="A87" s="112"/>
      <c r="B87" s="9"/>
      <c r="C87" s="16">
        <v>33039</v>
      </c>
      <c r="D87" s="113" t="s">
        <v>13</v>
      </c>
      <c r="E87" s="9" t="s">
        <v>93</v>
      </c>
      <c r="F87" s="15">
        <v>5</v>
      </c>
      <c r="G87" s="12">
        <v>1</v>
      </c>
      <c r="H87" s="12"/>
      <c r="I87" s="12" t="s">
        <v>94</v>
      </c>
      <c r="J87" s="12"/>
      <c r="K87" s="13"/>
      <c r="S87" s="8"/>
      <c r="T87" s="9"/>
      <c r="U87" s="9"/>
      <c r="V87" s="9"/>
      <c r="W87" s="9"/>
      <c r="X87" s="19"/>
      <c r="Y87" s="20"/>
    </row>
    <row r="88" spans="1:25" ht="15" thickBot="1" x14ac:dyDescent="0.35">
      <c r="A88" s="112"/>
      <c r="B88" s="9"/>
      <c r="C88" s="21"/>
      <c r="D88" s="23"/>
      <c r="E88" s="23"/>
      <c r="F88" s="23" t="s">
        <v>14</v>
      </c>
      <c r="G88" s="28" t="s">
        <v>15</v>
      </c>
      <c r="H88" s="28"/>
      <c r="I88" s="28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2"/>
      <c r="B89" s="9"/>
      <c r="C89" s="16">
        <v>33043</v>
      </c>
      <c r="D89" s="9" t="s">
        <v>13</v>
      </c>
      <c r="E89" s="9" t="s">
        <v>88</v>
      </c>
      <c r="F89" s="9">
        <v>1</v>
      </c>
      <c r="G89" s="12">
        <v>1</v>
      </c>
      <c r="H89" s="12"/>
      <c r="I89" s="12" t="s">
        <v>94</v>
      </c>
      <c r="J89" s="12"/>
      <c r="K89" s="13"/>
      <c r="S89" s="8"/>
      <c r="T89" s="9"/>
      <c r="U89" s="9"/>
      <c r="V89" s="9"/>
      <c r="W89" s="9"/>
      <c r="X89" s="9"/>
      <c r="Y89" s="10"/>
    </row>
    <row r="90" spans="1:25" ht="15" thickBot="1" x14ac:dyDescent="0.35">
      <c r="A90" s="112"/>
      <c r="B90" s="9"/>
      <c r="C90" s="21"/>
      <c r="D90" s="23"/>
      <c r="E90" s="23"/>
      <c r="F90" s="23" t="s">
        <v>8</v>
      </c>
      <c r="G90" s="28" t="s">
        <v>15</v>
      </c>
      <c r="H90" s="28"/>
      <c r="I90" s="28"/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17"/>
      <c r="C91" s="16">
        <v>33043</v>
      </c>
      <c r="D91" s="114" t="s">
        <v>83</v>
      </c>
      <c r="E91" s="17" t="s">
        <v>93</v>
      </c>
      <c r="F91" s="15">
        <v>4</v>
      </c>
      <c r="G91" s="12">
        <v>1</v>
      </c>
      <c r="H91" s="12"/>
      <c r="I91" s="12" t="s">
        <v>99</v>
      </c>
      <c r="J91" s="12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5"/>
      <c r="B92" s="17"/>
      <c r="C92" s="17"/>
      <c r="D92" s="17"/>
      <c r="E92" s="17"/>
      <c r="F92" s="9" t="s">
        <v>14</v>
      </c>
      <c r="G92" s="12" t="s">
        <v>9</v>
      </c>
      <c r="H92" s="12"/>
      <c r="I92" s="12"/>
      <c r="J92" s="12"/>
      <c r="K92" s="13"/>
      <c r="S92" s="8"/>
      <c r="T92" s="9"/>
      <c r="U92" s="9"/>
      <c r="V92" s="9"/>
      <c r="W92" s="9"/>
      <c r="X92" s="19"/>
      <c r="Y92" s="20"/>
    </row>
    <row r="93" spans="1:25" x14ac:dyDescent="0.3">
      <c r="A93" s="115"/>
      <c r="B93" s="17"/>
      <c r="C93" s="17"/>
      <c r="D93" s="17"/>
      <c r="E93" s="17"/>
      <c r="F93" s="9"/>
      <c r="G93" s="12"/>
      <c r="H93" s="12"/>
      <c r="I93" s="12"/>
      <c r="J93" s="12"/>
      <c r="K93" s="13"/>
      <c r="S93" s="8"/>
      <c r="T93" s="9"/>
      <c r="U93" s="9"/>
      <c r="V93" s="9"/>
      <c r="W93" s="9"/>
      <c r="X93" s="19"/>
      <c r="Y93" s="20"/>
    </row>
    <row r="94" spans="1:25" x14ac:dyDescent="0.3">
      <c r="A94" s="115"/>
      <c r="B94" s="17"/>
      <c r="C94" s="17"/>
      <c r="D94" s="17"/>
      <c r="E94" s="17"/>
      <c r="F94" s="9"/>
      <c r="G94" s="12"/>
      <c r="H94" s="12"/>
      <c r="I94" s="12"/>
      <c r="J94" s="12"/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2"/>
      <c r="B95" s="9" t="s">
        <v>62</v>
      </c>
      <c r="C95" s="9" t="s">
        <v>27</v>
      </c>
      <c r="D95" s="9" t="s">
        <v>28</v>
      </c>
      <c r="E95" s="9" t="s">
        <v>29</v>
      </c>
      <c r="F95" s="9" t="s">
        <v>30</v>
      </c>
      <c r="G95" s="12" t="s">
        <v>31</v>
      </c>
      <c r="H95" s="12" t="s">
        <v>32</v>
      </c>
      <c r="I95" s="12" t="s">
        <v>33</v>
      </c>
      <c r="J95" s="12" t="s">
        <v>34</v>
      </c>
      <c r="K95" s="13"/>
      <c r="S95" s="8"/>
      <c r="T95" s="9"/>
      <c r="U95" s="9"/>
      <c r="V95" s="9"/>
      <c r="W95" s="9"/>
      <c r="X95" s="9"/>
      <c r="Y95" s="10"/>
    </row>
    <row r="96" spans="1:25" x14ac:dyDescent="0.3">
      <c r="A96" s="112" t="s">
        <v>90</v>
      </c>
      <c r="B96" s="30" t="s">
        <v>13</v>
      </c>
      <c r="C96" s="31">
        <f>COUNTIF($S$81:$T$86,"BRD")</f>
        <v>3</v>
      </c>
      <c r="D96" s="32">
        <f>SUMPRODUCT(($S$81:$T$86=B96)*($X$81:$Y$86=3))</f>
        <v>2</v>
      </c>
      <c r="E96" s="32">
        <f>SUMPRODUCT(($S$81:$T$86=B96)*($X$81:$Y$86=1))</f>
        <v>1</v>
      </c>
      <c r="F96" s="32">
        <f>SUMPRODUCT(($S$81:$T$86=B96)*($X$81:$Y$86=2))</f>
        <v>0</v>
      </c>
      <c r="G96" s="32">
        <f>SUMPRODUCT(($S$81:$S$86=B96)*($U$81:$U$86))+SUMPRODUCT(($T$81:$T$86=B96)*($V$81:$V$86))</f>
        <v>10</v>
      </c>
      <c r="H96" s="32">
        <f>SUMPRODUCT(($S$81:$S$86=B96)*($V$81:$V$86))+SUMPRODUCT(($T$81:$T$86=B96)*($U$81:$U$86))</f>
        <v>3</v>
      </c>
      <c r="I96" s="33">
        <f>(D96*2)+E96</f>
        <v>5</v>
      </c>
      <c r="J96" s="34">
        <f>(F96*2)+E96</f>
        <v>1</v>
      </c>
      <c r="K96" s="13"/>
      <c r="S96" s="8"/>
      <c r="T96" s="9"/>
      <c r="U96" s="9"/>
      <c r="V96" s="9"/>
      <c r="W96" s="9"/>
      <c r="X96" s="9"/>
      <c r="Y96" s="10"/>
    </row>
    <row r="97" spans="1:25" x14ac:dyDescent="0.3">
      <c r="A97" s="112"/>
      <c r="B97" s="36" t="s">
        <v>83</v>
      </c>
      <c r="C97" s="9">
        <f>COUNTIF($S$81:$T$86,"Jugoslawien")</f>
        <v>3</v>
      </c>
      <c r="D97" s="37">
        <f t="shared" ref="D97:D99" si="29">SUMPRODUCT(($S$81:$T$86=B97)*($X$81:$Y$86=3))</f>
        <v>2</v>
      </c>
      <c r="E97" s="37">
        <f t="shared" ref="E97:E99" si="30">SUMPRODUCT(($S$81:$T$86=B97)*($X$81:$Y$86=1))</f>
        <v>0</v>
      </c>
      <c r="F97" s="37">
        <f t="shared" ref="F97:F99" si="31">SUMPRODUCT(($S$81:$T$86=B97)*($X$81:$Y$86=2))</f>
        <v>1</v>
      </c>
      <c r="G97" s="37">
        <f t="shared" ref="G97:G99" si="32">SUMPRODUCT(($S$81:$S$86=B97)*($U$81:$U$86))+SUMPRODUCT(($T$81:$T$86=B97)*($V$81:$V$86))</f>
        <v>6</v>
      </c>
      <c r="H97" s="37">
        <f t="shared" ref="H97:H99" si="33">SUMPRODUCT(($S$81:$S$86=B97)*($V$81:$V$86))+SUMPRODUCT(($T$81:$T$86=B97)*($U$81:$U$86))</f>
        <v>5</v>
      </c>
      <c r="I97" s="38">
        <f t="shared" ref="I97:I99" si="34">(D97*2)+E97</f>
        <v>4</v>
      </c>
      <c r="J97" s="39">
        <f t="shared" ref="J97:J99" si="35">(F97*2)+E97</f>
        <v>2</v>
      </c>
      <c r="K97" s="13"/>
      <c r="S97" s="8"/>
      <c r="T97" s="9"/>
      <c r="U97" s="9"/>
      <c r="V97" s="9"/>
      <c r="W97" s="9"/>
      <c r="X97" s="9"/>
      <c r="Y97" s="10"/>
    </row>
    <row r="98" spans="1:25" x14ac:dyDescent="0.3">
      <c r="A98" s="112"/>
      <c r="B98" s="51" t="s">
        <v>88</v>
      </c>
      <c r="C98" s="9">
        <f>COUNTIF($S$81:$T$86,"Kolumbien")</f>
        <v>3</v>
      </c>
      <c r="D98" s="37">
        <f t="shared" si="29"/>
        <v>1</v>
      </c>
      <c r="E98" s="37">
        <f t="shared" si="30"/>
        <v>1</v>
      </c>
      <c r="F98" s="37">
        <f t="shared" si="31"/>
        <v>1</v>
      </c>
      <c r="G98" s="37">
        <f t="shared" si="32"/>
        <v>3</v>
      </c>
      <c r="H98" s="37">
        <f t="shared" si="33"/>
        <v>2</v>
      </c>
      <c r="I98" s="38">
        <f t="shared" si="34"/>
        <v>3</v>
      </c>
      <c r="J98" s="39">
        <f t="shared" si="35"/>
        <v>3</v>
      </c>
      <c r="K98" s="13"/>
      <c r="S98" s="8"/>
      <c r="T98" s="9"/>
      <c r="U98" s="9"/>
      <c r="V98" s="9"/>
      <c r="W98" s="9"/>
      <c r="X98" s="19"/>
      <c r="Y98" s="20"/>
    </row>
    <row r="99" spans="1:25" ht="15" thickBot="1" x14ac:dyDescent="0.35">
      <c r="A99" s="112"/>
      <c r="B99" s="50" t="s">
        <v>93</v>
      </c>
      <c r="C99" s="23">
        <f>COUNTIF($S$81:$T$86,"VAE")</f>
        <v>3</v>
      </c>
      <c r="D99" s="42">
        <f t="shared" si="29"/>
        <v>0</v>
      </c>
      <c r="E99" s="42">
        <f t="shared" si="30"/>
        <v>0</v>
      </c>
      <c r="F99" s="42">
        <f t="shared" si="31"/>
        <v>3</v>
      </c>
      <c r="G99" s="42">
        <f t="shared" si="32"/>
        <v>2</v>
      </c>
      <c r="H99" s="42">
        <f t="shared" si="33"/>
        <v>11</v>
      </c>
      <c r="I99" s="43">
        <f t="shared" si="34"/>
        <v>0</v>
      </c>
      <c r="J99" s="44">
        <f t="shared" si="35"/>
        <v>6</v>
      </c>
      <c r="K99" s="13"/>
      <c r="S99" s="8"/>
      <c r="T99" s="9"/>
      <c r="U99" s="9"/>
      <c r="V99" s="9"/>
      <c r="W99" s="9"/>
      <c r="X99" s="19"/>
      <c r="Y99" s="20"/>
    </row>
    <row r="100" spans="1:25" ht="15" thickBot="1" x14ac:dyDescent="0.35">
      <c r="A100" s="112"/>
      <c r="B100" s="9"/>
      <c r="C100" s="9"/>
      <c r="D100" s="9"/>
      <c r="E100" s="9"/>
      <c r="F100" s="9"/>
      <c r="G100" s="12"/>
      <c r="H100" s="12"/>
      <c r="I100" s="12"/>
      <c r="J100" s="12"/>
      <c r="K100" s="45"/>
      <c r="S100" s="8"/>
      <c r="T100" s="9"/>
      <c r="U100" s="9"/>
      <c r="V100" s="9"/>
      <c r="W100" s="9"/>
      <c r="X100" s="19"/>
      <c r="Y100" s="20"/>
    </row>
    <row r="101" spans="1:25" ht="15" thickTop="1" x14ac:dyDescent="0.3">
      <c r="A101" s="111"/>
      <c r="B101" s="2"/>
      <c r="C101" s="2"/>
      <c r="D101" s="2"/>
      <c r="E101" s="2"/>
      <c r="F101" s="2"/>
      <c r="G101" s="3"/>
      <c r="H101" s="3"/>
      <c r="I101" s="3"/>
      <c r="J101" s="3"/>
      <c r="K101" s="13"/>
      <c r="S101" s="8"/>
      <c r="T101" s="9"/>
      <c r="U101" s="9"/>
      <c r="V101" s="9"/>
      <c r="W101" s="9"/>
      <c r="X101" s="19"/>
      <c r="Y101" s="20"/>
    </row>
    <row r="102" spans="1:25" ht="21" x14ac:dyDescent="0.4">
      <c r="A102" s="112"/>
      <c r="B102" s="9"/>
      <c r="C102" s="9"/>
      <c r="D102" s="9"/>
      <c r="E102" s="9"/>
      <c r="F102" s="14" t="s">
        <v>55</v>
      </c>
      <c r="G102" s="12"/>
      <c r="H102" s="12"/>
      <c r="I102" s="12"/>
      <c r="J102" s="12"/>
      <c r="K102" s="13"/>
      <c r="S102" s="8"/>
      <c r="T102" s="9"/>
      <c r="U102" s="9"/>
      <c r="V102" s="9"/>
      <c r="W102" s="9"/>
      <c r="X102" s="19"/>
      <c r="Y102" s="20"/>
    </row>
    <row r="103" spans="1:25" x14ac:dyDescent="0.3">
      <c r="A103" s="112"/>
      <c r="B103" s="9"/>
      <c r="C103" s="9"/>
      <c r="D103" s="9"/>
      <c r="E103" s="9"/>
      <c r="F103" s="15"/>
      <c r="G103" s="12"/>
      <c r="H103" s="12"/>
      <c r="I103" s="12"/>
      <c r="J103" s="12"/>
      <c r="K103" s="13"/>
      <c r="S103" s="8"/>
      <c r="T103" s="9"/>
      <c r="U103" s="9"/>
      <c r="V103" s="9"/>
      <c r="W103" s="9"/>
      <c r="X103" s="19"/>
      <c r="Y103" s="20"/>
    </row>
    <row r="104" spans="1:25" x14ac:dyDescent="0.3">
      <c r="A104" s="112"/>
      <c r="B104" s="9"/>
      <c r="C104" s="16">
        <v>33036</v>
      </c>
      <c r="D104" s="113" t="s">
        <v>20</v>
      </c>
      <c r="E104" s="9" t="s">
        <v>10</v>
      </c>
      <c r="F104" s="15">
        <v>2</v>
      </c>
      <c r="G104" s="12">
        <v>0</v>
      </c>
      <c r="H104" s="12"/>
      <c r="I104" s="12" t="s">
        <v>100</v>
      </c>
      <c r="J104" s="12"/>
      <c r="K104" s="13"/>
      <c r="S104" s="8" t="s">
        <v>20</v>
      </c>
      <c r="T104" s="9" t="s">
        <v>10</v>
      </c>
      <c r="U104" s="9">
        <v>2</v>
      </c>
      <c r="V104" s="9">
        <v>0</v>
      </c>
      <c r="W104" s="9"/>
      <c r="X104" s="19">
        <f t="shared" ref="X104:X109" si="36">(IF(U104&gt;V104,3,IF(U104=V104,1,2)))</f>
        <v>3</v>
      </c>
      <c r="Y104" s="20">
        <f t="shared" ref="Y104:Y109" si="37">(IF(V104&gt;U104,3,IF(U104=V104,1,2)))</f>
        <v>2</v>
      </c>
    </row>
    <row r="105" spans="1:25" ht="15" thickBot="1" x14ac:dyDescent="0.35">
      <c r="A105" s="112"/>
      <c r="B105" s="9"/>
      <c r="C105" s="21"/>
      <c r="D105" s="23"/>
      <c r="E105" s="23"/>
      <c r="F105" s="23" t="s">
        <v>8</v>
      </c>
      <c r="G105" s="28" t="s">
        <v>15</v>
      </c>
      <c r="H105" s="28"/>
      <c r="I105" s="28"/>
      <c r="J105" s="12"/>
      <c r="K105" s="13"/>
      <c r="S105" s="8" t="s">
        <v>38</v>
      </c>
      <c r="T105" s="9" t="s">
        <v>22</v>
      </c>
      <c r="U105" s="9">
        <v>0</v>
      </c>
      <c r="V105" s="9">
        <v>0</v>
      </c>
      <c r="W105" s="9"/>
      <c r="X105" s="19">
        <f t="shared" si="36"/>
        <v>1</v>
      </c>
      <c r="Y105" s="20">
        <f t="shared" si="37"/>
        <v>1</v>
      </c>
    </row>
    <row r="106" spans="1:25" ht="15" thickBot="1" x14ac:dyDescent="0.35">
      <c r="A106" s="112"/>
      <c r="B106" s="9"/>
      <c r="C106" s="21">
        <v>33037</v>
      </c>
      <c r="D106" s="23" t="s">
        <v>38</v>
      </c>
      <c r="E106" s="23" t="s">
        <v>22</v>
      </c>
      <c r="F106" s="23">
        <v>0</v>
      </c>
      <c r="G106" s="28">
        <v>0</v>
      </c>
      <c r="H106" s="28"/>
      <c r="I106" s="28" t="s">
        <v>101</v>
      </c>
      <c r="J106" s="12"/>
      <c r="K106" s="13"/>
      <c r="S106" s="8" t="s">
        <v>20</v>
      </c>
      <c r="T106" s="9" t="s">
        <v>38</v>
      </c>
      <c r="U106" s="9">
        <v>3</v>
      </c>
      <c r="V106" s="9">
        <v>1</v>
      </c>
      <c r="W106" s="9"/>
      <c r="X106" s="19">
        <f t="shared" si="36"/>
        <v>3</v>
      </c>
      <c r="Y106" s="20">
        <f t="shared" si="37"/>
        <v>2</v>
      </c>
    </row>
    <row r="107" spans="1:25" x14ac:dyDescent="0.3">
      <c r="A107" s="112"/>
      <c r="B107" s="9"/>
      <c r="C107" s="16">
        <v>33041</v>
      </c>
      <c r="D107" s="113" t="s">
        <v>20</v>
      </c>
      <c r="E107" s="9" t="s">
        <v>38</v>
      </c>
      <c r="F107" s="15">
        <v>3</v>
      </c>
      <c r="G107" s="12">
        <v>1</v>
      </c>
      <c r="H107" s="12"/>
      <c r="I107" s="12" t="s">
        <v>100</v>
      </c>
      <c r="J107" s="12"/>
      <c r="K107" s="13"/>
      <c r="S107" s="8" t="s">
        <v>10</v>
      </c>
      <c r="T107" s="9" t="s">
        <v>22</v>
      </c>
      <c r="U107" s="9">
        <v>1</v>
      </c>
      <c r="V107" s="9">
        <v>3</v>
      </c>
      <c r="W107" s="9"/>
      <c r="X107" s="19">
        <f t="shared" si="36"/>
        <v>2</v>
      </c>
      <c r="Y107" s="20">
        <f t="shared" si="37"/>
        <v>3</v>
      </c>
    </row>
    <row r="108" spans="1:25" ht="15" thickBot="1" x14ac:dyDescent="0.35">
      <c r="A108" s="112"/>
      <c r="B108" s="9"/>
      <c r="C108" s="21"/>
      <c r="D108" s="23"/>
      <c r="E108" s="23"/>
      <c r="F108" s="23" t="s">
        <v>14</v>
      </c>
      <c r="G108" s="28" t="s">
        <v>15</v>
      </c>
      <c r="H108" s="28"/>
      <c r="I108" s="28"/>
      <c r="J108" s="12"/>
      <c r="K108" s="13"/>
      <c r="S108" s="8" t="s">
        <v>20</v>
      </c>
      <c r="T108" s="9" t="s">
        <v>22</v>
      </c>
      <c r="U108" s="9">
        <v>1</v>
      </c>
      <c r="V108" s="9">
        <v>2</v>
      </c>
      <c r="W108" s="9"/>
      <c r="X108" s="19">
        <f t="shared" si="36"/>
        <v>2</v>
      </c>
      <c r="Y108" s="20">
        <f t="shared" si="37"/>
        <v>3</v>
      </c>
    </row>
    <row r="109" spans="1:25" x14ac:dyDescent="0.3">
      <c r="A109" s="112"/>
      <c r="B109" s="9"/>
      <c r="C109" s="16">
        <v>33041</v>
      </c>
      <c r="D109" s="9" t="s">
        <v>10</v>
      </c>
      <c r="E109" s="113" t="s">
        <v>22</v>
      </c>
      <c r="F109" s="9">
        <v>1</v>
      </c>
      <c r="G109" s="116">
        <v>3</v>
      </c>
      <c r="H109" s="12"/>
      <c r="I109" s="12" t="s">
        <v>101</v>
      </c>
      <c r="J109" s="12"/>
      <c r="K109" s="13"/>
      <c r="S109" s="8" t="s">
        <v>10</v>
      </c>
      <c r="T109" s="9" t="s">
        <v>38</v>
      </c>
      <c r="U109" s="9">
        <v>0</v>
      </c>
      <c r="V109" s="9">
        <v>1</v>
      </c>
      <c r="W109" s="9"/>
      <c r="X109" s="19">
        <f t="shared" si="36"/>
        <v>2</v>
      </c>
      <c r="Y109" s="20">
        <f t="shared" si="37"/>
        <v>3</v>
      </c>
    </row>
    <row r="110" spans="1:25" ht="15" thickBot="1" x14ac:dyDescent="0.35">
      <c r="A110" s="112"/>
      <c r="B110" s="9"/>
      <c r="C110" s="21"/>
      <c r="D110" s="23"/>
      <c r="E110" s="23"/>
      <c r="F110" s="23" t="s">
        <v>19</v>
      </c>
      <c r="G110" s="28" t="s">
        <v>9</v>
      </c>
      <c r="H110" s="28"/>
      <c r="I110" s="28"/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/>
      <c r="B111" s="9"/>
      <c r="C111" s="16">
        <v>33045</v>
      </c>
      <c r="D111" s="9" t="s">
        <v>20</v>
      </c>
      <c r="E111" s="113" t="s">
        <v>22</v>
      </c>
      <c r="F111" s="9">
        <v>1</v>
      </c>
      <c r="G111" s="116">
        <v>2</v>
      </c>
      <c r="H111" s="12"/>
      <c r="I111" s="12" t="s">
        <v>100</v>
      </c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A112" s="112"/>
      <c r="B112" s="9"/>
      <c r="C112" s="21"/>
      <c r="D112" s="23"/>
      <c r="E112" s="23"/>
      <c r="F112" s="23" t="s">
        <v>19</v>
      </c>
      <c r="G112" s="28" t="s">
        <v>44</v>
      </c>
      <c r="H112" s="28"/>
      <c r="I112" s="28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x14ac:dyDescent="0.3">
      <c r="A113" s="112"/>
      <c r="B113" s="17"/>
      <c r="C113" s="16">
        <v>33045</v>
      </c>
      <c r="D113" s="17" t="s">
        <v>10</v>
      </c>
      <c r="E113" s="114" t="s">
        <v>38</v>
      </c>
      <c r="F113" s="9">
        <v>0</v>
      </c>
      <c r="G113" s="116">
        <v>1</v>
      </c>
      <c r="H113" s="12"/>
      <c r="I113" s="12" t="s">
        <v>101</v>
      </c>
      <c r="J113" s="12"/>
      <c r="K113" s="13"/>
      <c r="S113" s="8"/>
      <c r="T113" s="9"/>
      <c r="U113" s="9"/>
      <c r="V113" s="9"/>
      <c r="W113" s="9"/>
      <c r="X113" s="19"/>
      <c r="Y113" s="20"/>
    </row>
    <row r="114" spans="1:25" x14ac:dyDescent="0.3">
      <c r="A114" s="115"/>
      <c r="B114" s="17"/>
      <c r="C114" s="17"/>
      <c r="D114" s="17"/>
      <c r="E114" s="17"/>
      <c r="F114" s="9" t="s">
        <v>8</v>
      </c>
      <c r="G114" s="12" t="s">
        <v>15</v>
      </c>
      <c r="H114" s="12"/>
      <c r="I114" s="12"/>
      <c r="J114" s="12"/>
      <c r="K114" s="13"/>
      <c r="S114" s="8"/>
      <c r="T114" s="9"/>
      <c r="U114" s="9"/>
      <c r="V114" s="9"/>
      <c r="W114" s="9"/>
      <c r="X114" s="19"/>
      <c r="Y114" s="20"/>
    </row>
    <row r="115" spans="1:25" x14ac:dyDescent="0.3">
      <c r="A115" s="115"/>
      <c r="B115" s="17"/>
      <c r="C115" s="17"/>
      <c r="D115" s="17"/>
      <c r="E115" s="17"/>
      <c r="F115" s="9"/>
      <c r="G115" s="12"/>
      <c r="H115" s="12"/>
      <c r="I115" s="12"/>
      <c r="J115" s="12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5"/>
      <c r="B116" s="17"/>
      <c r="C116" s="17"/>
      <c r="D116" s="17"/>
      <c r="E116" s="17"/>
      <c r="F116" s="9"/>
      <c r="G116" s="12"/>
      <c r="H116" s="12"/>
      <c r="I116" s="12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2"/>
      <c r="B117" s="9" t="s">
        <v>62</v>
      </c>
      <c r="C117" s="9" t="s">
        <v>27</v>
      </c>
      <c r="D117" s="9" t="s">
        <v>28</v>
      </c>
      <c r="E117" s="9" t="s">
        <v>29</v>
      </c>
      <c r="F117" s="9" t="s">
        <v>30</v>
      </c>
      <c r="G117" s="12" t="s">
        <v>31</v>
      </c>
      <c r="H117" s="12" t="s">
        <v>32</v>
      </c>
      <c r="I117" s="12" t="s">
        <v>33</v>
      </c>
      <c r="J117" s="12" t="s">
        <v>34</v>
      </c>
      <c r="K117" s="13"/>
      <c r="S117" s="8"/>
      <c r="T117" s="9"/>
      <c r="U117" s="9"/>
      <c r="V117" s="9"/>
      <c r="W117" s="9"/>
      <c r="X117" s="9"/>
      <c r="Y117" s="10"/>
    </row>
    <row r="118" spans="1:25" x14ac:dyDescent="0.3">
      <c r="A118" s="112" t="s">
        <v>90</v>
      </c>
      <c r="B118" s="30" t="s">
        <v>22</v>
      </c>
      <c r="C118" s="31">
        <f>COUNTIF($S$104:$T$109,"Spanien")</f>
        <v>3</v>
      </c>
      <c r="D118" s="32">
        <f>SUMPRODUCT(($S$104:$T$109=B118)*($X$104:$Y$109=3))</f>
        <v>2</v>
      </c>
      <c r="E118" s="32">
        <f>SUMPRODUCT(($S$104:$T$109=B118)*($X$104:$Y$109=1))</f>
        <v>1</v>
      </c>
      <c r="F118" s="32">
        <f>SUMPRODUCT(($S$104:$T$109=B118)*($X$104:$Y$109=2))</f>
        <v>0</v>
      </c>
      <c r="G118" s="32">
        <f>SUMPRODUCT(($S$104:$S$109=B118)*($U$104:$U$109))+SUMPRODUCT(($T$104:$T$109=B118)*($V$104:$V$109))</f>
        <v>5</v>
      </c>
      <c r="H118" s="32">
        <f>SUMPRODUCT(($S$104:$S$109=B118)*($V$104:$V$109))+SUMPRODUCT(($T$104:$T$109=B118)*($U$104:$U$109))</f>
        <v>2</v>
      </c>
      <c r="I118" s="33">
        <f>(D118*2)+E118</f>
        <v>5</v>
      </c>
      <c r="J118" s="34">
        <f>(F118*2)+E118</f>
        <v>1</v>
      </c>
      <c r="K118" s="13"/>
      <c r="S118" s="8"/>
      <c r="T118" s="9"/>
      <c r="U118" s="9"/>
      <c r="V118" s="9"/>
      <c r="W118" s="9"/>
      <c r="X118" s="9"/>
      <c r="Y118" s="10"/>
    </row>
    <row r="119" spans="1:25" x14ac:dyDescent="0.3">
      <c r="A119" s="112"/>
      <c r="B119" s="36" t="s">
        <v>20</v>
      </c>
      <c r="C119" s="9">
        <f>COUNTIF($S$104:$T$109,"Belgien")</f>
        <v>3</v>
      </c>
      <c r="D119" s="37">
        <f t="shared" ref="D119:D121" si="38">SUMPRODUCT(($S$104:$T$109=B119)*($X$104:$Y$109=3))</f>
        <v>2</v>
      </c>
      <c r="E119" s="37">
        <f t="shared" ref="E119:E121" si="39">SUMPRODUCT(($S$104:$T$109=B119)*($X$104:$Y$109=1))</f>
        <v>0</v>
      </c>
      <c r="F119" s="37">
        <f t="shared" ref="F119:F121" si="40">SUMPRODUCT(($S$104:$T$109=B119)*($X$104:$Y$109=2))</f>
        <v>1</v>
      </c>
      <c r="G119" s="37">
        <f t="shared" ref="G119:G121" si="41">SUMPRODUCT(($S$104:$S$109=B119)*($U$104:$U$109))+SUMPRODUCT(($T$104:$T$109=B119)*($V$104:$V$109))</f>
        <v>6</v>
      </c>
      <c r="H119" s="37">
        <f t="shared" ref="H119:H121" si="42">SUMPRODUCT(($S$104:$S$109=B119)*($V$104:$V$109))+SUMPRODUCT(($T$104:$T$109=B119)*($U$104:$U$109))</f>
        <v>3</v>
      </c>
      <c r="I119" s="38">
        <f t="shared" ref="I119:I121" si="43">(D119*2)+E119</f>
        <v>4</v>
      </c>
      <c r="J119" s="39">
        <f t="shared" ref="J119:J121" si="44">(F119*2)+E119</f>
        <v>2</v>
      </c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51" t="s">
        <v>38</v>
      </c>
      <c r="C120" s="9">
        <f>COUNTIF($S$104:$T$109,"Uruguay")</f>
        <v>3</v>
      </c>
      <c r="D120" s="37">
        <f t="shared" si="38"/>
        <v>1</v>
      </c>
      <c r="E120" s="37">
        <f t="shared" si="39"/>
        <v>1</v>
      </c>
      <c r="F120" s="37">
        <f t="shared" si="40"/>
        <v>1</v>
      </c>
      <c r="G120" s="37">
        <f t="shared" si="41"/>
        <v>2</v>
      </c>
      <c r="H120" s="37">
        <f t="shared" si="42"/>
        <v>3</v>
      </c>
      <c r="I120" s="38">
        <f t="shared" si="43"/>
        <v>3</v>
      </c>
      <c r="J120" s="39">
        <f t="shared" si="44"/>
        <v>3</v>
      </c>
      <c r="K120" s="13"/>
      <c r="S120" s="8"/>
      <c r="T120" s="9"/>
      <c r="U120" s="9"/>
      <c r="V120" s="9"/>
      <c r="W120" s="9"/>
      <c r="X120" s="19"/>
      <c r="Y120" s="20"/>
    </row>
    <row r="121" spans="1:25" ht="15" thickBot="1" x14ac:dyDescent="0.35">
      <c r="A121" s="112"/>
      <c r="B121" s="50" t="s">
        <v>10</v>
      </c>
      <c r="C121" s="23">
        <f>COUNTIF($S$104:$T$109,"Südkorea")</f>
        <v>3</v>
      </c>
      <c r="D121" s="42">
        <f t="shared" si="38"/>
        <v>0</v>
      </c>
      <c r="E121" s="42">
        <f t="shared" si="39"/>
        <v>0</v>
      </c>
      <c r="F121" s="42">
        <f t="shared" si="40"/>
        <v>3</v>
      </c>
      <c r="G121" s="42">
        <f t="shared" si="41"/>
        <v>1</v>
      </c>
      <c r="H121" s="42">
        <f t="shared" si="42"/>
        <v>6</v>
      </c>
      <c r="I121" s="43">
        <f t="shared" si="43"/>
        <v>0</v>
      </c>
      <c r="J121" s="44">
        <f t="shared" si="44"/>
        <v>6</v>
      </c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7"/>
      <c r="B122" s="53"/>
      <c r="C122" s="53"/>
      <c r="D122" s="53"/>
      <c r="E122" s="53"/>
      <c r="F122" s="53"/>
      <c r="G122" s="54"/>
      <c r="H122" s="54"/>
      <c r="I122" s="54"/>
      <c r="J122" s="54"/>
      <c r="K122" s="45"/>
      <c r="S122" s="8"/>
      <c r="T122" s="9"/>
      <c r="U122" s="9"/>
      <c r="V122" s="9"/>
      <c r="W122" s="9"/>
      <c r="X122" s="19"/>
      <c r="Y122" s="20"/>
    </row>
    <row r="123" spans="1:25" ht="15" thickTop="1" x14ac:dyDescent="0.3">
      <c r="A123" s="111"/>
      <c r="B123" s="2"/>
      <c r="C123" s="2"/>
      <c r="D123" s="2"/>
      <c r="E123" s="2"/>
      <c r="F123" s="2"/>
      <c r="G123" s="3"/>
      <c r="H123" s="3"/>
      <c r="I123" s="3"/>
      <c r="J123" s="3"/>
      <c r="K123" s="13"/>
      <c r="S123" s="8"/>
      <c r="T123" s="9"/>
      <c r="U123" s="9"/>
      <c r="V123" s="9"/>
      <c r="W123" s="9"/>
      <c r="X123" s="19"/>
      <c r="Y123" s="20"/>
    </row>
    <row r="124" spans="1:25" ht="21" x14ac:dyDescent="0.4">
      <c r="A124" s="112"/>
      <c r="B124" s="9"/>
      <c r="C124" s="9"/>
      <c r="D124" s="9"/>
      <c r="E124" s="9"/>
      <c r="F124" s="14" t="s">
        <v>58</v>
      </c>
      <c r="G124" s="12"/>
      <c r="H124" s="12"/>
      <c r="I124" s="12"/>
      <c r="J124" s="12"/>
      <c r="K124" s="13"/>
      <c r="S124" s="8"/>
      <c r="T124" s="9"/>
      <c r="U124" s="9"/>
      <c r="V124" s="9"/>
      <c r="W124" s="9"/>
      <c r="X124" s="19"/>
      <c r="Y124" s="20"/>
    </row>
    <row r="125" spans="1:25" x14ac:dyDescent="0.3">
      <c r="A125" s="112"/>
      <c r="B125" s="9"/>
      <c r="C125" s="9"/>
      <c r="D125" s="9"/>
      <c r="E125" s="9"/>
      <c r="F125" s="15"/>
      <c r="G125" s="12"/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x14ac:dyDescent="0.3">
      <c r="A126" s="112"/>
      <c r="B126" s="9"/>
      <c r="C126" s="16">
        <v>33035</v>
      </c>
      <c r="D126" s="9" t="s">
        <v>24</v>
      </c>
      <c r="E126" s="9" t="s">
        <v>85</v>
      </c>
      <c r="F126" s="9">
        <v>1</v>
      </c>
      <c r="G126" s="12">
        <v>1</v>
      </c>
      <c r="H126" s="12"/>
      <c r="I126" s="12" t="s">
        <v>102</v>
      </c>
      <c r="J126" s="12"/>
      <c r="K126" s="13"/>
      <c r="S126" s="8" t="s">
        <v>24</v>
      </c>
      <c r="T126" s="9" t="s">
        <v>85</v>
      </c>
      <c r="U126" s="9">
        <v>1</v>
      </c>
      <c r="V126" s="9">
        <v>1</v>
      </c>
      <c r="W126" s="9"/>
      <c r="X126" s="19">
        <f t="shared" ref="X126:X131" si="45">(IF(U126&gt;V126,3,IF(U126=V126,1,2)))</f>
        <v>1</v>
      </c>
      <c r="Y126" s="20">
        <f t="shared" ref="Y126:Y131" si="46">(IF(V126&gt;U126,3,IF(U126=V126,1,2)))</f>
        <v>1</v>
      </c>
    </row>
    <row r="127" spans="1:25" ht="15" thickBot="1" x14ac:dyDescent="0.35">
      <c r="A127" s="112"/>
      <c r="B127" s="9"/>
      <c r="C127" s="21"/>
      <c r="D127" s="23"/>
      <c r="E127" s="23"/>
      <c r="F127" s="23" t="s">
        <v>19</v>
      </c>
      <c r="G127" s="28" t="s">
        <v>15</v>
      </c>
      <c r="H127" s="28"/>
      <c r="I127" s="28"/>
      <c r="J127" s="12"/>
      <c r="K127" s="13"/>
      <c r="S127" s="8" t="s">
        <v>89</v>
      </c>
      <c r="T127" s="9" t="s">
        <v>91</v>
      </c>
      <c r="U127" s="9">
        <v>1</v>
      </c>
      <c r="V127" s="9">
        <v>1</v>
      </c>
      <c r="W127" s="9"/>
      <c r="X127" s="19">
        <f t="shared" si="45"/>
        <v>1</v>
      </c>
      <c r="Y127" s="20">
        <f t="shared" si="46"/>
        <v>1</v>
      </c>
    </row>
    <row r="128" spans="1:25" x14ac:dyDescent="0.3">
      <c r="A128" s="112"/>
      <c r="B128" s="9"/>
      <c r="C128" s="16">
        <v>33036</v>
      </c>
      <c r="D128" s="9" t="s">
        <v>89</v>
      </c>
      <c r="E128" s="9" t="s">
        <v>91</v>
      </c>
      <c r="F128" s="9">
        <v>1</v>
      </c>
      <c r="G128" s="12">
        <v>1</v>
      </c>
      <c r="H128" s="12"/>
      <c r="I128" s="12" t="s">
        <v>103</v>
      </c>
      <c r="J128" s="12"/>
      <c r="K128" s="13"/>
      <c r="S128" s="8" t="s">
        <v>24</v>
      </c>
      <c r="T128" s="9" t="s">
        <v>89</v>
      </c>
      <c r="U128" s="9">
        <v>0</v>
      </c>
      <c r="V128" s="9">
        <v>0</v>
      </c>
      <c r="W128" s="9"/>
      <c r="X128" s="19">
        <f t="shared" si="45"/>
        <v>1</v>
      </c>
      <c r="Y128" s="20">
        <f t="shared" si="46"/>
        <v>1</v>
      </c>
    </row>
    <row r="129" spans="1:25" ht="15" thickBot="1" x14ac:dyDescent="0.35">
      <c r="A129" s="112"/>
      <c r="B129" s="9"/>
      <c r="C129" s="21"/>
      <c r="D129" s="23"/>
      <c r="E129" s="23"/>
      <c r="F129" s="23" t="s">
        <v>8</v>
      </c>
      <c r="G129" s="28" t="s">
        <v>15</v>
      </c>
      <c r="H129" s="28"/>
      <c r="I129" s="28"/>
      <c r="J129" s="12"/>
      <c r="K129" s="13"/>
      <c r="S129" s="8" t="s">
        <v>85</v>
      </c>
      <c r="T129" s="9" t="s">
        <v>91</v>
      </c>
      <c r="U129" s="9">
        <v>0</v>
      </c>
      <c r="V129" s="9">
        <v>0</v>
      </c>
      <c r="W129" s="9"/>
      <c r="X129" s="19">
        <f t="shared" si="45"/>
        <v>1</v>
      </c>
      <c r="Y129" s="20">
        <f t="shared" si="46"/>
        <v>1</v>
      </c>
    </row>
    <row r="130" spans="1:25" ht="15" thickBot="1" x14ac:dyDescent="0.35">
      <c r="A130" s="112"/>
      <c r="B130" s="9"/>
      <c r="C130" s="21">
        <v>33040</v>
      </c>
      <c r="D130" s="23" t="s">
        <v>24</v>
      </c>
      <c r="E130" s="23" t="s">
        <v>89</v>
      </c>
      <c r="F130" s="23">
        <v>0</v>
      </c>
      <c r="G130" s="28">
        <v>0</v>
      </c>
      <c r="H130" s="28"/>
      <c r="I130" s="28" t="s">
        <v>102</v>
      </c>
      <c r="J130" s="12"/>
      <c r="K130" s="13"/>
      <c r="S130" s="8" t="s">
        <v>24</v>
      </c>
      <c r="T130" s="9" t="s">
        <v>91</v>
      </c>
      <c r="U130" s="9">
        <v>1</v>
      </c>
      <c r="V130" s="9">
        <v>0</v>
      </c>
      <c r="W130" s="9"/>
      <c r="X130" s="19">
        <f t="shared" si="45"/>
        <v>3</v>
      </c>
      <c r="Y130" s="20">
        <f t="shared" si="46"/>
        <v>2</v>
      </c>
    </row>
    <row r="131" spans="1:25" ht="15" thickBot="1" x14ac:dyDescent="0.35">
      <c r="A131" s="112"/>
      <c r="B131" s="9"/>
      <c r="C131" s="21">
        <v>33041</v>
      </c>
      <c r="D131" s="23" t="s">
        <v>85</v>
      </c>
      <c r="E131" s="23" t="s">
        <v>91</v>
      </c>
      <c r="F131" s="23">
        <v>0</v>
      </c>
      <c r="G131" s="28">
        <v>0</v>
      </c>
      <c r="H131" s="28"/>
      <c r="I131" s="28" t="s">
        <v>103</v>
      </c>
      <c r="J131" s="12"/>
      <c r="K131" s="13"/>
      <c r="S131" s="8" t="s">
        <v>85</v>
      </c>
      <c r="T131" s="9" t="s">
        <v>89</v>
      </c>
      <c r="U131" s="9">
        <v>1</v>
      </c>
      <c r="V131" s="9">
        <v>1</v>
      </c>
      <c r="W131" s="9"/>
      <c r="X131" s="19">
        <f t="shared" si="45"/>
        <v>1</v>
      </c>
      <c r="Y131" s="20">
        <f t="shared" si="46"/>
        <v>1</v>
      </c>
    </row>
    <row r="132" spans="1:25" x14ac:dyDescent="0.3">
      <c r="A132" s="112"/>
      <c r="B132" s="9"/>
      <c r="C132" s="16">
        <v>33045</v>
      </c>
      <c r="D132" s="113" t="s">
        <v>24</v>
      </c>
      <c r="E132" s="9" t="s">
        <v>91</v>
      </c>
      <c r="F132" s="15">
        <v>1</v>
      </c>
      <c r="G132" s="12">
        <v>0</v>
      </c>
      <c r="H132" s="12"/>
      <c r="I132" s="12" t="s">
        <v>102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ht="15" thickBot="1" x14ac:dyDescent="0.35">
      <c r="A133" s="112"/>
      <c r="B133" s="9"/>
      <c r="C133" s="21"/>
      <c r="D133" s="118"/>
      <c r="E133" s="23"/>
      <c r="F133" s="119" t="s">
        <v>8</v>
      </c>
      <c r="G133" s="28" t="s">
        <v>15</v>
      </c>
      <c r="H133" s="28"/>
      <c r="I133" s="28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33045</v>
      </c>
      <c r="D134" s="17" t="s">
        <v>85</v>
      </c>
      <c r="E134" s="17" t="s">
        <v>89</v>
      </c>
      <c r="F134" s="9">
        <v>1</v>
      </c>
      <c r="G134" s="12">
        <v>1</v>
      </c>
      <c r="H134" s="12"/>
      <c r="I134" s="12" t="s">
        <v>103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17"/>
      <c r="E135" s="17"/>
      <c r="F135" s="9" t="s">
        <v>8</v>
      </c>
      <c r="G135" s="12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33</v>
      </c>
      <c r="J137" s="12" t="s">
        <v>34</v>
      </c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 t="s">
        <v>90</v>
      </c>
      <c r="B138" s="30" t="s">
        <v>24</v>
      </c>
      <c r="C138" s="31">
        <f>COUNTIF($S$126:$T$131,"England")</f>
        <v>3</v>
      </c>
      <c r="D138" s="32">
        <f>SUMPRODUCT(($S$126:$T$131=B138)*($X$126:$Y$131=3))</f>
        <v>1</v>
      </c>
      <c r="E138" s="32">
        <f>SUMPRODUCT(($S$126:$T$131=B138)*($X$126:$Y$131=1))</f>
        <v>2</v>
      </c>
      <c r="F138" s="32">
        <f>SUMPRODUCT(($S$126:$T$131=B138)*($X$126:$Y$131=2))</f>
        <v>0</v>
      </c>
      <c r="G138" s="32">
        <f>SUMPRODUCT(($S$126:$S$131=B138)*($U$126:$U$131))+SUMPRODUCT(($T$126:$T$131=B138)*($V$126:$V$131))</f>
        <v>2</v>
      </c>
      <c r="H138" s="32">
        <f>SUMPRODUCT(($S$126:$S$131=B138)*($V$126:$V$131))+SUMPRODUCT(($T$126:$T$131=B138)*($U$126:$U$131))</f>
        <v>1</v>
      </c>
      <c r="I138" s="33">
        <f>(D138*2)+E138</f>
        <v>4</v>
      </c>
      <c r="J138" s="34">
        <f>(F138*2)+E138</f>
        <v>2</v>
      </c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36" t="s">
        <v>85</v>
      </c>
      <c r="C139" s="9">
        <f>COUNTIF($S$126:$T$131,"Irland")</f>
        <v>3</v>
      </c>
      <c r="D139" s="37">
        <f t="shared" ref="D139:D141" si="47">SUMPRODUCT(($S$126:$T$131=B139)*($X$126:$Y$131=3))</f>
        <v>0</v>
      </c>
      <c r="E139" s="37">
        <f t="shared" ref="E139:E141" si="48">SUMPRODUCT(($S$126:$T$131=B139)*($X$126:$Y$131=1))</f>
        <v>3</v>
      </c>
      <c r="F139" s="37">
        <f t="shared" ref="F139:F141" si="49">SUMPRODUCT(($S$126:$T$131=B139)*($X$126:$Y$131=2))</f>
        <v>0</v>
      </c>
      <c r="G139" s="37">
        <f t="shared" ref="G139:G141" si="50">SUMPRODUCT(($S$126:$S$131=B139)*($U$126:$U$131))+SUMPRODUCT(($T$126:$T$131=B139)*($V$126:$V$131))</f>
        <v>2</v>
      </c>
      <c r="H139" s="37">
        <f t="shared" ref="H139:H141" si="51">SUMPRODUCT(($S$126:$S$131=B139)*($V$126:$V$131))+SUMPRODUCT(($T$126:$T$131=B139)*($U$126:$U$131))</f>
        <v>2</v>
      </c>
      <c r="I139" s="38">
        <f t="shared" ref="I139:I141" si="52">(D139*2)+E139</f>
        <v>3</v>
      </c>
      <c r="J139" s="39">
        <f t="shared" ref="J139:J141" si="53">(F139*2)+E139</f>
        <v>3</v>
      </c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51" t="s">
        <v>89</v>
      </c>
      <c r="C140" s="9">
        <f>COUNTIF($S$126:$T$131,"Niederlande")</f>
        <v>3</v>
      </c>
      <c r="D140" s="37">
        <f t="shared" si="47"/>
        <v>0</v>
      </c>
      <c r="E140" s="37">
        <f t="shared" si="48"/>
        <v>3</v>
      </c>
      <c r="F140" s="37">
        <f t="shared" si="49"/>
        <v>0</v>
      </c>
      <c r="G140" s="37">
        <f t="shared" si="50"/>
        <v>2</v>
      </c>
      <c r="H140" s="37">
        <f t="shared" si="51"/>
        <v>2</v>
      </c>
      <c r="I140" s="38">
        <f t="shared" si="52"/>
        <v>3</v>
      </c>
      <c r="J140" s="39">
        <f t="shared" si="53"/>
        <v>3</v>
      </c>
      <c r="K140" s="13"/>
      <c r="S140" s="120"/>
      <c r="T140" s="57"/>
      <c r="U140" s="57"/>
      <c r="V140" s="57"/>
      <c r="W140" s="57"/>
      <c r="X140" s="57"/>
      <c r="Y140" s="58"/>
    </row>
    <row r="141" spans="1:25" ht="15" thickBot="1" x14ac:dyDescent="0.35">
      <c r="A141" s="112"/>
      <c r="B141" s="50" t="s">
        <v>91</v>
      </c>
      <c r="C141" s="23">
        <f>COUNTIF($S$126:$T$131,"Ägypten")</f>
        <v>3</v>
      </c>
      <c r="D141" s="42">
        <f t="shared" si="47"/>
        <v>0</v>
      </c>
      <c r="E141" s="42">
        <f t="shared" si="48"/>
        <v>2</v>
      </c>
      <c r="F141" s="42">
        <f t="shared" si="49"/>
        <v>1</v>
      </c>
      <c r="G141" s="42">
        <f t="shared" si="50"/>
        <v>1</v>
      </c>
      <c r="H141" s="42">
        <f t="shared" si="51"/>
        <v>2</v>
      </c>
      <c r="I141" s="43">
        <f t="shared" si="52"/>
        <v>2</v>
      </c>
      <c r="J141" s="44">
        <f t="shared" si="53"/>
        <v>4</v>
      </c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19"/>
      <c r="Y142" s="20"/>
    </row>
    <row r="143" spans="1:25" x14ac:dyDescent="0.3">
      <c r="A143" s="112"/>
      <c r="B143" s="9"/>
      <c r="C143" s="18" t="s">
        <v>104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19"/>
      <c r="Y143" s="20"/>
    </row>
    <row r="144" spans="1:25" ht="15" thickBot="1" x14ac:dyDescent="0.35">
      <c r="A144" s="117"/>
      <c r="B144" s="53"/>
      <c r="C144" s="53"/>
      <c r="D144" s="53"/>
      <c r="E144" s="53"/>
      <c r="F144" s="53"/>
      <c r="G144" s="54"/>
      <c r="H144" s="54"/>
      <c r="I144" s="54"/>
      <c r="J144" s="54"/>
      <c r="K144" s="45"/>
      <c r="S144" s="8"/>
      <c r="T144" s="9"/>
      <c r="U144" s="9"/>
      <c r="V144" s="9"/>
      <c r="W144" s="9"/>
      <c r="X144" s="19"/>
      <c r="Y144" s="20"/>
    </row>
    <row r="145" spans="1:26" ht="15" thickTop="1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6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R146" s="55"/>
      <c r="S146" s="8"/>
      <c r="T146" s="9"/>
      <c r="U146" s="9"/>
      <c r="V146" s="9"/>
      <c r="W146" s="9"/>
      <c r="X146" s="9"/>
      <c r="Y146" s="10"/>
      <c r="Z146" s="55"/>
    </row>
    <row r="147" spans="1:26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R147" s="55"/>
      <c r="S147" s="8"/>
      <c r="T147" s="9"/>
      <c r="U147" s="9"/>
      <c r="V147" s="9"/>
      <c r="W147" s="9"/>
      <c r="X147" s="9"/>
      <c r="Y147" s="10"/>
      <c r="Z147" s="55"/>
    </row>
    <row r="148" spans="1:26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33</v>
      </c>
      <c r="J148" s="12" t="s">
        <v>34</v>
      </c>
      <c r="K148" s="13"/>
      <c r="R148" s="55"/>
      <c r="S148" s="120"/>
      <c r="T148" s="57"/>
      <c r="U148" s="57"/>
      <c r="V148" s="57"/>
      <c r="W148" s="57"/>
      <c r="X148" s="57"/>
      <c r="Y148" s="58"/>
      <c r="Z148" s="55"/>
    </row>
    <row r="149" spans="1:26" x14ac:dyDescent="0.3">
      <c r="A149" s="112"/>
      <c r="B149" s="59" t="s">
        <v>7</v>
      </c>
      <c r="C149" s="60">
        <v>3</v>
      </c>
      <c r="D149" s="60">
        <v>1</v>
      </c>
      <c r="E149" s="60">
        <v>1</v>
      </c>
      <c r="F149" s="60">
        <v>1</v>
      </c>
      <c r="G149" s="62">
        <v>3</v>
      </c>
      <c r="H149" s="62">
        <v>2</v>
      </c>
      <c r="I149" s="62">
        <v>3</v>
      </c>
      <c r="J149" s="63">
        <v>3</v>
      </c>
      <c r="K149" s="13"/>
      <c r="S149" s="8"/>
      <c r="T149" s="9"/>
      <c r="U149" s="9"/>
      <c r="V149" s="9"/>
      <c r="W149" s="9"/>
      <c r="X149" s="19"/>
      <c r="Y149" s="20"/>
    </row>
    <row r="150" spans="1:26" x14ac:dyDescent="0.3">
      <c r="A150" s="112"/>
      <c r="B150" s="64" t="s">
        <v>88</v>
      </c>
      <c r="C150" s="65">
        <v>3</v>
      </c>
      <c r="D150" s="65">
        <v>1</v>
      </c>
      <c r="E150" s="65">
        <v>1</v>
      </c>
      <c r="F150" s="65">
        <v>1</v>
      </c>
      <c r="G150" s="67">
        <v>3</v>
      </c>
      <c r="H150" s="67">
        <v>2</v>
      </c>
      <c r="I150" s="67">
        <v>3</v>
      </c>
      <c r="J150" s="68">
        <v>3</v>
      </c>
      <c r="K150" s="13"/>
      <c r="S150" s="8"/>
      <c r="T150" s="9"/>
      <c r="U150" s="9"/>
      <c r="V150" s="9"/>
      <c r="W150" s="9"/>
      <c r="X150" s="19"/>
      <c r="Y150" s="20"/>
    </row>
    <row r="151" spans="1:26" x14ac:dyDescent="0.3">
      <c r="A151" s="112"/>
      <c r="B151" s="64" t="s">
        <v>89</v>
      </c>
      <c r="C151" s="65">
        <v>3</v>
      </c>
      <c r="D151" s="65">
        <v>0</v>
      </c>
      <c r="E151" s="65">
        <v>3</v>
      </c>
      <c r="F151" s="65">
        <v>0</v>
      </c>
      <c r="G151" s="67">
        <v>2</v>
      </c>
      <c r="H151" s="67">
        <v>2</v>
      </c>
      <c r="I151" s="67">
        <v>3</v>
      </c>
      <c r="J151" s="68">
        <v>3</v>
      </c>
      <c r="K151" s="13"/>
      <c r="S151" s="8"/>
      <c r="T151" s="9"/>
      <c r="U151" s="9"/>
      <c r="V151" s="9"/>
      <c r="W151" s="9"/>
      <c r="X151" s="19"/>
      <c r="Y151" s="20"/>
    </row>
    <row r="152" spans="1:26" x14ac:dyDescent="0.3">
      <c r="A152" s="112"/>
      <c r="B152" s="64" t="s">
        <v>38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3</v>
      </c>
      <c r="I152" s="67">
        <v>3</v>
      </c>
      <c r="J152" s="68">
        <v>3</v>
      </c>
      <c r="K152" s="13"/>
      <c r="S152" s="8"/>
      <c r="T152" s="9"/>
      <c r="U152" s="9"/>
      <c r="V152" s="9"/>
      <c r="W152" s="9"/>
      <c r="X152" s="19"/>
      <c r="Y152" s="20"/>
    </row>
    <row r="153" spans="1:26" x14ac:dyDescent="0.3">
      <c r="A153" s="112"/>
      <c r="B153" s="51" t="s">
        <v>76</v>
      </c>
      <c r="C153" s="9">
        <v>3</v>
      </c>
      <c r="D153" s="9">
        <v>1</v>
      </c>
      <c r="E153" s="9">
        <v>0</v>
      </c>
      <c r="F153" s="9">
        <v>2</v>
      </c>
      <c r="G153" s="12">
        <v>2</v>
      </c>
      <c r="H153" s="12">
        <v>3</v>
      </c>
      <c r="I153" s="12">
        <v>2</v>
      </c>
      <c r="J153" s="104">
        <v>4</v>
      </c>
      <c r="K153" s="13"/>
      <c r="S153" s="8"/>
      <c r="T153" s="9"/>
      <c r="U153" s="9"/>
      <c r="V153" s="9"/>
      <c r="W153" s="9"/>
      <c r="X153" s="19"/>
      <c r="Y153" s="20"/>
    </row>
    <row r="154" spans="1:26" ht="15" thickBot="1" x14ac:dyDescent="0.35">
      <c r="A154" s="112"/>
      <c r="B154" s="50" t="s">
        <v>41</v>
      </c>
      <c r="C154" s="23">
        <v>3</v>
      </c>
      <c r="D154" s="23">
        <v>1</v>
      </c>
      <c r="E154" s="23">
        <v>0</v>
      </c>
      <c r="F154" s="23">
        <v>2</v>
      </c>
      <c r="G154" s="28">
        <v>2</v>
      </c>
      <c r="H154" s="28">
        <v>3</v>
      </c>
      <c r="I154" s="28">
        <v>2</v>
      </c>
      <c r="J154" s="105">
        <v>4</v>
      </c>
      <c r="K154" s="13"/>
      <c r="S154" s="8"/>
      <c r="T154" s="9"/>
      <c r="U154" s="9"/>
      <c r="V154" s="9"/>
      <c r="W154" s="9"/>
      <c r="X154" s="19"/>
      <c r="Y154" s="20"/>
    </row>
    <row r="155" spans="1:26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6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9"/>
      <c r="Y156" s="10"/>
    </row>
    <row r="157" spans="1:26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8"/>
      <c r="T157" s="9"/>
      <c r="U157" s="9"/>
      <c r="V157" s="9"/>
      <c r="W157" s="9"/>
      <c r="X157" s="19"/>
      <c r="Y157" s="20"/>
    </row>
    <row r="158" spans="1:26" x14ac:dyDescent="0.3">
      <c r="A158" s="112"/>
      <c r="B158" s="9"/>
      <c r="C158" s="9"/>
      <c r="D158" s="9"/>
      <c r="E158" s="9"/>
      <c r="F158" s="9"/>
      <c r="G158" s="12"/>
      <c r="H158" s="12"/>
      <c r="I158" s="12"/>
      <c r="J158" s="12"/>
      <c r="K158" s="13"/>
      <c r="S158" s="8"/>
      <c r="T158" s="9"/>
      <c r="U158" s="9"/>
      <c r="V158" s="9"/>
      <c r="W158" s="9"/>
      <c r="X158" s="9"/>
      <c r="Y158" s="10"/>
    </row>
    <row r="159" spans="1:26" x14ac:dyDescent="0.3">
      <c r="A159" s="112"/>
      <c r="B159" s="9"/>
      <c r="C159" s="16">
        <v>33047</v>
      </c>
      <c r="D159" s="114" t="s">
        <v>84</v>
      </c>
      <c r="E159" s="65" t="s">
        <v>88</v>
      </c>
      <c r="F159" s="25">
        <v>2</v>
      </c>
      <c r="G159" s="38">
        <v>1</v>
      </c>
      <c r="H159" s="12" t="s">
        <v>65</v>
      </c>
      <c r="I159" s="12" t="s">
        <v>96</v>
      </c>
      <c r="J159" s="12"/>
      <c r="K159" s="13"/>
      <c r="S159" s="46" t="s">
        <v>84</v>
      </c>
      <c r="T159" s="17" t="s">
        <v>88</v>
      </c>
      <c r="U159" s="17">
        <v>2</v>
      </c>
      <c r="V159" s="17">
        <v>1</v>
      </c>
      <c r="W159" s="17"/>
      <c r="X159" s="19">
        <f t="shared" ref="X159:X166" si="54">(IF(U159&gt;V159,3,IF(U159=V159,1,2)))</f>
        <v>3</v>
      </c>
      <c r="Y159" s="20">
        <f t="shared" ref="Y159:Y166" si="55">(IF(V159&gt;U159,3,IF(U159=V159,1,2)))</f>
        <v>2</v>
      </c>
    </row>
    <row r="160" spans="1:26" x14ac:dyDescent="0.3">
      <c r="A160" s="112"/>
      <c r="B160" s="9"/>
      <c r="C160" s="16"/>
      <c r="D160" s="17"/>
      <c r="E160" s="17"/>
      <c r="F160" s="17">
        <v>0</v>
      </c>
      <c r="G160" s="38">
        <v>0</v>
      </c>
      <c r="H160" s="12"/>
      <c r="I160" s="12"/>
      <c r="J160" s="12"/>
      <c r="K160" s="13"/>
      <c r="S160" s="8" t="s">
        <v>79</v>
      </c>
      <c r="T160" s="9" t="s">
        <v>86</v>
      </c>
      <c r="U160" s="9">
        <v>4</v>
      </c>
      <c r="V160" s="9">
        <v>1</v>
      </c>
      <c r="W160" s="9"/>
      <c r="X160" s="19">
        <f t="shared" si="54"/>
        <v>3</v>
      </c>
      <c r="Y160" s="20">
        <f t="shared" si="55"/>
        <v>2</v>
      </c>
    </row>
    <row r="161" spans="1:25" ht="15" thickBot="1" x14ac:dyDescent="0.35">
      <c r="A161" s="112"/>
      <c r="B161" s="9"/>
      <c r="C161" s="21"/>
      <c r="D161" s="22"/>
      <c r="E161" s="22"/>
      <c r="F161" s="22" t="s">
        <v>8</v>
      </c>
      <c r="G161" s="43" t="s">
        <v>15</v>
      </c>
      <c r="H161" s="28"/>
      <c r="I161" s="28"/>
      <c r="J161" s="12"/>
      <c r="K161" s="13"/>
      <c r="S161" s="46" t="s">
        <v>16</v>
      </c>
      <c r="T161" s="17" t="s">
        <v>7</v>
      </c>
      <c r="U161" s="17">
        <v>0</v>
      </c>
      <c r="V161" s="17">
        <v>1</v>
      </c>
      <c r="W161" s="17"/>
      <c r="X161" s="19">
        <f t="shared" si="54"/>
        <v>2</v>
      </c>
      <c r="Y161" s="20">
        <f t="shared" si="55"/>
        <v>3</v>
      </c>
    </row>
    <row r="162" spans="1:25" x14ac:dyDescent="0.3">
      <c r="A162" s="112"/>
      <c r="B162" s="9"/>
      <c r="C162" s="16">
        <v>33047</v>
      </c>
      <c r="D162" s="121" t="s">
        <v>80</v>
      </c>
      <c r="E162" s="17" t="s">
        <v>86</v>
      </c>
      <c r="F162" s="25">
        <v>4</v>
      </c>
      <c r="G162" s="38">
        <v>1</v>
      </c>
      <c r="H162" s="12"/>
      <c r="I162" s="12" t="s">
        <v>95</v>
      </c>
      <c r="J162" s="12"/>
      <c r="K162" s="13"/>
      <c r="S162" s="8" t="s">
        <v>13</v>
      </c>
      <c r="T162" s="9" t="s">
        <v>89</v>
      </c>
      <c r="U162" s="9">
        <v>2</v>
      </c>
      <c r="V162" s="9">
        <v>1</v>
      </c>
      <c r="W162" s="9"/>
      <c r="X162" s="19">
        <f t="shared" si="54"/>
        <v>3</v>
      </c>
      <c r="Y162" s="20">
        <f t="shared" si="55"/>
        <v>2</v>
      </c>
    </row>
    <row r="163" spans="1:25" ht="15" thickBot="1" x14ac:dyDescent="0.35">
      <c r="A163" s="112"/>
      <c r="B163" s="9"/>
      <c r="C163" s="21"/>
      <c r="D163" s="22"/>
      <c r="E163" s="22"/>
      <c r="F163" s="22" t="s">
        <v>19</v>
      </c>
      <c r="G163" s="43" t="s">
        <v>15</v>
      </c>
      <c r="H163" s="28"/>
      <c r="I163" s="28"/>
      <c r="J163" s="12"/>
      <c r="K163" s="13"/>
      <c r="S163" s="8" t="s">
        <v>87</v>
      </c>
      <c r="T163" s="9" t="s">
        <v>85</v>
      </c>
      <c r="U163" s="9">
        <v>4</v>
      </c>
      <c r="V163" s="9">
        <v>5</v>
      </c>
      <c r="W163" s="9"/>
      <c r="X163" s="19">
        <f t="shared" si="54"/>
        <v>2</v>
      </c>
      <c r="Y163" s="20">
        <f t="shared" si="55"/>
        <v>3</v>
      </c>
    </row>
    <row r="164" spans="1:25" x14ac:dyDescent="0.3">
      <c r="A164" s="112"/>
      <c r="B164" s="103"/>
      <c r="C164" s="16">
        <v>33048</v>
      </c>
      <c r="D164" s="17" t="s">
        <v>16</v>
      </c>
      <c r="E164" s="122" t="s">
        <v>7</v>
      </c>
      <c r="F164" s="17">
        <v>0</v>
      </c>
      <c r="G164" s="123">
        <v>1</v>
      </c>
      <c r="H164" s="12"/>
      <c r="I164" s="12" t="s">
        <v>97</v>
      </c>
      <c r="J164" s="12"/>
      <c r="K164" s="13"/>
      <c r="S164" s="46" t="s">
        <v>5</v>
      </c>
      <c r="T164" s="17" t="s">
        <v>38</v>
      </c>
      <c r="U164" s="17">
        <v>2</v>
      </c>
      <c r="V164" s="17">
        <v>0</v>
      </c>
      <c r="W164" s="17"/>
      <c r="X164" s="19">
        <f t="shared" si="54"/>
        <v>3</v>
      </c>
      <c r="Y164" s="20">
        <f t="shared" si="55"/>
        <v>2</v>
      </c>
    </row>
    <row r="165" spans="1:25" ht="15" thickBot="1" x14ac:dyDescent="0.35">
      <c r="A165" s="112"/>
      <c r="B165" s="103"/>
      <c r="C165" s="21"/>
      <c r="D165" s="22"/>
      <c r="E165" s="22"/>
      <c r="F165" s="22" t="s">
        <v>8</v>
      </c>
      <c r="G165" s="43" t="s">
        <v>15</v>
      </c>
      <c r="H165" s="28"/>
      <c r="I165" s="28"/>
      <c r="J165" s="12"/>
      <c r="K165" s="13"/>
      <c r="S165" s="8" t="s">
        <v>22</v>
      </c>
      <c r="T165" s="9" t="s">
        <v>83</v>
      </c>
      <c r="U165" s="9">
        <v>1</v>
      </c>
      <c r="V165" s="9">
        <v>2</v>
      </c>
      <c r="W165" s="9"/>
      <c r="X165" s="19">
        <f t="shared" si="54"/>
        <v>2</v>
      </c>
      <c r="Y165" s="20">
        <f t="shared" si="55"/>
        <v>3</v>
      </c>
    </row>
    <row r="166" spans="1:25" x14ac:dyDescent="0.3">
      <c r="A166" s="115"/>
      <c r="B166" s="9"/>
      <c r="C166" s="16">
        <v>33048</v>
      </c>
      <c r="D166" s="114" t="s">
        <v>13</v>
      </c>
      <c r="E166" s="65" t="s">
        <v>89</v>
      </c>
      <c r="F166" s="25">
        <v>2</v>
      </c>
      <c r="G166" s="38">
        <v>1</v>
      </c>
      <c r="H166" s="12"/>
      <c r="I166" s="12" t="s">
        <v>94</v>
      </c>
      <c r="J166" s="12"/>
      <c r="K166" s="13"/>
      <c r="S166" s="8" t="s">
        <v>24</v>
      </c>
      <c r="T166" s="9" t="s">
        <v>20</v>
      </c>
      <c r="U166" s="9">
        <v>1</v>
      </c>
      <c r="V166" s="9">
        <v>0</v>
      </c>
      <c r="W166" s="9"/>
      <c r="X166" s="19">
        <f t="shared" si="54"/>
        <v>3</v>
      </c>
      <c r="Y166" s="20">
        <f t="shared" si="55"/>
        <v>2</v>
      </c>
    </row>
    <row r="167" spans="1:25" ht="15" thickBot="1" x14ac:dyDescent="0.35">
      <c r="A167" s="115"/>
      <c r="B167" s="9"/>
      <c r="C167" s="21"/>
      <c r="D167" s="22"/>
      <c r="E167" s="22"/>
      <c r="F167" s="22" t="s">
        <v>8</v>
      </c>
      <c r="G167" s="43" t="s">
        <v>15</v>
      </c>
      <c r="H167" s="28"/>
      <c r="I167" s="28"/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x14ac:dyDescent="0.3">
      <c r="A168" s="115"/>
      <c r="B168" s="9"/>
      <c r="C168" s="16">
        <v>33049</v>
      </c>
      <c r="D168" s="100" t="s">
        <v>87</v>
      </c>
      <c r="E168" s="114" t="s">
        <v>85</v>
      </c>
      <c r="F168" s="100">
        <v>4</v>
      </c>
      <c r="G168" s="123">
        <v>5</v>
      </c>
      <c r="H168" s="12" t="s">
        <v>68</v>
      </c>
      <c r="I168" s="12" t="s">
        <v>98</v>
      </c>
      <c r="J168" s="12"/>
      <c r="K168" s="13"/>
      <c r="S168" s="46"/>
      <c r="T168" s="17"/>
      <c r="U168" s="17"/>
      <c r="V168" s="17"/>
      <c r="W168" s="17"/>
      <c r="X168" s="17"/>
      <c r="Y168" s="124"/>
    </row>
    <row r="169" spans="1:25" x14ac:dyDescent="0.3">
      <c r="A169" s="115"/>
      <c r="B169" s="9"/>
      <c r="C169" s="16"/>
      <c r="D169" s="17"/>
      <c r="E169" s="17"/>
      <c r="F169" s="17">
        <v>0</v>
      </c>
      <c r="G169" s="38">
        <v>0</v>
      </c>
      <c r="H169" s="12" t="s">
        <v>65</v>
      </c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115"/>
      <c r="B170" s="9"/>
      <c r="C170" s="16"/>
      <c r="D170" s="17"/>
      <c r="E170" s="17"/>
      <c r="F170" s="17">
        <v>0</v>
      </c>
      <c r="G170" s="38">
        <v>0</v>
      </c>
      <c r="H170" s="12"/>
      <c r="I170" s="12"/>
      <c r="J170" s="12"/>
      <c r="K170" s="13"/>
      <c r="S170" s="46"/>
      <c r="T170" s="17"/>
      <c r="U170" s="17"/>
      <c r="V170" s="17"/>
      <c r="W170" s="17"/>
      <c r="X170" s="19"/>
      <c r="Y170" s="20"/>
    </row>
    <row r="171" spans="1:25" ht="15" thickBot="1" x14ac:dyDescent="0.35">
      <c r="A171" s="115"/>
      <c r="B171" s="9"/>
      <c r="C171" s="21"/>
      <c r="D171" s="22"/>
      <c r="E171" s="22"/>
      <c r="F171" s="22" t="s">
        <v>8</v>
      </c>
      <c r="G171" s="43" t="s">
        <v>15</v>
      </c>
      <c r="H171" s="28"/>
      <c r="I171" s="28"/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16">
        <v>33049</v>
      </c>
      <c r="D172" s="125" t="s">
        <v>5</v>
      </c>
      <c r="E172" s="65" t="s">
        <v>38</v>
      </c>
      <c r="F172" s="25">
        <v>2</v>
      </c>
      <c r="G172" s="38">
        <v>0</v>
      </c>
      <c r="H172" s="12"/>
      <c r="I172" s="12" t="s">
        <v>77</v>
      </c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A173" s="115"/>
      <c r="B173" s="9"/>
      <c r="C173" s="21"/>
      <c r="D173" s="22"/>
      <c r="E173" s="22"/>
      <c r="F173" s="22" t="s">
        <v>8</v>
      </c>
      <c r="G173" s="43" t="s">
        <v>15</v>
      </c>
      <c r="H173" s="28"/>
      <c r="I173" s="28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9"/>
      <c r="C174" s="16">
        <v>33050</v>
      </c>
      <c r="D174" s="17" t="s">
        <v>22</v>
      </c>
      <c r="E174" s="114" t="s">
        <v>83</v>
      </c>
      <c r="F174" s="17">
        <v>1</v>
      </c>
      <c r="G174" s="123">
        <v>2</v>
      </c>
      <c r="H174" s="12" t="s">
        <v>65</v>
      </c>
      <c r="I174" s="12" t="s">
        <v>100</v>
      </c>
      <c r="J174" s="12"/>
      <c r="K174" s="13"/>
      <c r="S174" s="46"/>
      <c r="T174" s="17"/>
      <c r="U174" s="17"/>
      <c r="V174" s="17"/>
      <c r="W174" s="17"/>
      <c r="X174" s="17"/>
      <c r="Y174" s="124"/>
    </row>
    <row r="175" spans="1:25" x14ac:dyDescent="0.3">
      <c r="A175" s="115"/>
      <c r="B175" s="9"/>
      <c r="C175" s="16"/>
      <c r="D175" s="17"/>
      <c r="E175" s="17"/>
      <c r="F175" s="17">
        <v>1</v>
      </c>
      <c r="G175" s="38">
        <v>1</v>
      </c>
      <c r="H175" s="12"/>
      <c r="I175" s="12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ht="15" thickBot="1" x14ac:dyDescent="0.35">
      <c r="A176" s="115"/>
      <c r="B176" s="9"/>
      <c r="C176" s="21"/>
      <c r="D176" s="22"/>
      <c r="E176" s="22"/>
      <c r="F176" s="22" t="s">
        <v>8</v>
      </c>
      <c r="G176" s="43" t="s">
        <v>15</v>
      </c>
      <c r="H176" s="28"/>
      <c r="I176" s="28"/>
      <c r="J176" s="12"/>
      <c r="K176" s="13"/>
      <c r="S176" s="8"/>
      <c r="T176" s="9"/>
      <c r="U176" s="9"/>
      <c r="V176" s="9"/>
      <c r="W176" s="9"/>
      <c r="X176" s="9"/>
      <c r="Y176" s="10"/>
    </row>
    <row r="177" spans="1:25" x14ac:dyDescent="0.3">
      <c r="A177" s="115"/>
      <c r="B177" s="9"/>
      <c r="C177" s="16">
        <v>33050</v>
      </c>
      <c r="D177" s="114" t="s">
        <v>24</v>
      </c>
      <c r="E177" s="17" t="s">
        <v>20</v>
      </c>
      <c r="F177" s="25">
        <v>1</v>
      </c>
      <c r="G177" s="38">
        <v>0</v>
      </c>
      <c r="H177" s="12" t="s">
        <v>65</v>
      </c>
      <c r="I177" s="12" t="s">
        <v>99</v>
      </c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17"/>
      <c r="E178" s="17"/>
      <c r="F178" s="17">
        <v>0</v>
      </c>
      <c r="G178" s="38">
        <v>0</v>
      </c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 t="s">
        <v>8</v>
      </c>
      <c r="G179" s="12" t="s">
        <v>15</v>
      </c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x14ac:dyDescent="0.3">
      <c r="A180" s="115"/>
      <c r="B180" s="9"/>
      <c r="C180" s="9"/>
      <c r="D180" s="9"/>
      <c r="E180" s="9"/>
      <c r="F180" s="9"/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19"/>
      <c r="Y180" s="20"/>
    </row>
    <row r="181" spans="1:25" x14ac:dyDescent="0.3">
      <c r="A181" s="115"/>
      <c r="B181" s="9"/>
      <c r="C181" s="9"/>
      <c r="D181" s="9"/>
      <c r="E181" s="9"/>
      <c r="F181" s="9"/>
      <c r="G181" s="12"/>
      <c r="H181" s="12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ht="21" x14ac:dyDescent="0.4">
      <c r="A182" s="115"/>
      <c r="B182" s="9"/>
      <c r="C182" s="9"/>
      <c r="D182" s="9"/>
      <c r="E182" s="9"/>
      <c r="F182" s="14" t="s">
        <v>67</v>
      </c>
      <c r="G182" s="12"/>
      <c r="H182" s="12"/>
      <c r="I182" s="12"/>
      <c r="J182" s="12"/>
      <c r="K182" s="13"/>
      <c r="S182" s="8"/>
      <c r="T182" s="9"/>
      <c r="U182" s="9"/>
      <c r="V182" s="9"/>
      <c r="W182" s="9"/>
      <c r="X182" s="9"/>
      <c r="Y182" s="10"/>
    </row>
    <row r="183" spans="1:25" x14ac:dyDescent="0.3">
      <c r="A183" s="115"/>
      <c r="B183" s="9"/>
      <c r="C183" s="9"/>
      <c r="D183" s="9"/>
      <c r="E183" s="9"/>
      <c r="F183" s="9"/>
      <c r="G183" s="12"/>
      <c r="H183" s="12"/>
      <c r="I183" s="12"/>
      <c r="J183" s="12"/>
      <c r="K183" s="13"/>
      <c r="S183" s="8"/>
      <c r="T183" s="9"/>
      <c r="U183" s="9"/>
      <c r="V183" s="9"/>
      <c r="W183" s="9"/>
      <c r="X183" s="9"/>
      <c r="Y183" s="10"/>
    </row>
    <row r="184" spans="1:25" x14ac:dyDescent="0.3">
      <c r="A184" s="115"/>
      <c r="B184" s="9"/>
      <c r="C184" s="16">
        <v>33054</v>
      </c>
      <c r="D184" s="9" t="s">
        <v>83</v>
      </c>
      <c r="E184" s="114" t="s">
        <v>7</v>
      </c>
      <c r="F184" s="17">
        <v>2</v>
      </c>
      <c r="G184" s="123">
        <v>3</v>
      </c>
      <c r="H184" s="38" t="s">
        <v>68</v>
      </c>
      <c r="I184" s="12" t="s">
        <v>81</v>
      </c>
      <c r="J184" s="12"/>
      <c r="K184" s="13"/>
      <c r="S184" s="8" t="s">
        <v>83</v>
      </c>
      <c r="T184" s="9" t="s">
        <v>7</v>
      </c>
      <c r="U184" s="9">
        <v>2</v>
      </c>
      <c r="V184" s="9">
        <v>3</v>
      </c>
      <c r="W184" s="9"/>
      <c r="X184" s="19">
        <f t="shared" ref="X184:X187" si="56">(IF(U184&gt;V184,3,IF(U184=V184,1,2)))</f>
        <v>2</v>
      </c>
      <c r="Y184" s="20">
        <f t="shared" ref="Y184:Y187" si="57">(IF(V184&gt;U184,3,IF(U184=V184,1,2)))</f>
        <v>3</v>
      </c>
    </row>
    <row r="185" spans="1:25" x14ac:dyDescent="0.3">
      <c r="A185" s="115"/>
      <c r="B185" s="9"/>
      <c r="C185" s="16"/>
      <c r="D185" s="9"/>
      <c r="E185" s="17"/>
      <c r="F185" s="17">
        <v>0</v>
      </c>
      <c r="G185" s="38">
        <v>0</v>
      </c>
      <c r="H185" s="38" t="s">
        <v>65</v>
      </c>
      <c r="I185" s="12"/>
      <c r="J185" s="12"/>
      <c r="K185" s="13"/>
      <c r="S185" s="8" t="s">
        <v>5</v>
      </c>
      <c r="T185" s="9" t="s">
        <v>85</v>
      </c>
      <c r="U185" s="9">
        <v>1</v>
      </c>
      <c r="V185" s="9">
        <v>0</v>
      </c>
      <c r="W185" s="9"/>
      <c r="X185" s="19">
        <f t="shared" si="56"/>
        <v>3</v>
      </c>
      <c r="Y185" s="20">
        <f t="shared" si="57"/>
        <v>2</v>
      </c>
    </row>
    <row r="186" spans="1:25" x14ac:dyDescent="0.3">
      <c r="A186" s="115"/>
      <c r="B186" s="9"/>
      <c r="C186" s="16"/>
      <c r="D186" s="17"/>
      <c r="E186" s="17"/>
      <c r="F186" s="17">
        <v>0</v>
      </c>
      <c r="G186" s="38">
        <v>0</v>
      </c>
      <c r="H186" s="38"/>
      <c r="I186" s="12"/>
      <c r="J186" s="12"/>
      <c r="K186" s="13"/>
      <c r="S186" s="8" t="s">
        <v>13</v>
      </c>
      <c r="T186" s="9" t="s">
        <v>79</v>
      </c>
      <c r="U186" s="9">
        <v>1</v>
      </c>
      <c r="V186" s="9">
        <v>0</v>
      </c>
      <c r="W186" s="9"/>
      <c r="X186" s="19">
        <f t="shared" si="56"/>
        <v>3</v>
      </c>
      <c r="Y186" s="20">
        <f t="shared" si="57"/>
        <v>2</v>
      </c>
    </row>
    <row r="187" spans="1:25" ht="15" thickBot="1" x14ac:dyDescent="0.35">
      <c r="A187" s="115"/>
      <c r="B187" s="9"/>
      <c r="C187" s="21"/>
      <c r="D187" s="22"/>
      <c r="E187" s="22"/>
      <c r="F187" s="22" t="s">
        <v>8</v>
      </c>
      <c r="G187" s="43" t="s">
        <v>15</v>
      </c>
      <c r="H187" s="43"/>
      <c r="I187" s="28"/>
      <c r="J187" s="12"/>
      <c r="K187" s="13"/>
      <c r="S187" s="8" t="s">
        <v>24</v>
      </c>
      <c r="T187" s="9" t="s">
        <v>84</v>
      </c>
      <c r="U187" s="9">
        <v>3</v>
      </c>
      <c r="V187" s="9">
        <v>2</v>
      </c>
      <c r="W187" s="9"/>
      <c r="X187" s="19">
        <f t="shared" si="56"/>
        <v>3</v>
      </c>
      <c r="Y187" s="20">
        <f t="shared" si="57"/>
        <v>2</v>
      </c>
    </row>
    <row r="188" spans="1:25" x14ac:dyDescent="0.3">
      <c r="A188" s="115"/>
      <c r="B188" s="9"/>
      <c r="C188" s="16">
        <v>33054</v>
      </c>
      <c r="D188" s="114" t="s">
        <v>5</v>
      </c>
      <c r="E188" s="17" t="s">
        <v>85</v>
      </c>
      <c r="F188" s="25">
        <v>1</v>
      </c>
      <c r="G188" s="38">
        <v>0</v>
      </c>
      <c r="H188" s="38"/>
      <c r="I188" s="12" t="s">
        <v>77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ht="15" thickBot="1" x14ac:dyDescent="0.35">
      <c r="A189" s="115"/>
      <c r="B189" s="9"/>
      <c r="C189" s="21"/>
      <c r="D189" s="22"/>
      <c r="E189" s="22"/>
      <c r="F189" s="22" t="s">
        <v>19</v>
      </c>
      <c r="G189" s="43" t="s">
        <v>15</v>
      </c>
      <c r="H189" s="43"/>
      <c r="I189" s="28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16">
        <v>33055</v>
      </c>
      <c r="D190" s="114" t="s">
        <v>13</v>
      </c>
      <c r="E190" s="17" t="s">
        <v>79</v>
      </c>
      <c r="F190" s="25">
        <v>1</v>
      </c>
      <c r="G190" s="38">
        <v>0</v>
      </c>
      <c r="H190" s="38"/>
      <c r="I190" s="12" t="s">
        <v>94</v>
      </c>
      <c r="J190" s="12"/>
      <c r="K190" s="13"/>
      <c r="S190" s="46"/>
      <c r="T190" s="17"/>
      <c r="U190" s="17"/>
      <c r="V190" s="17"/>
      <c r="W190" s="17"/>
      <c r="X190" s="17"/>
      <c r="Y190" s="124"/>
    </row>
    <row r="191" spans="1:25" ht="15" thickBot="1" x14ac:dyDescent="0.35">
      <c r="A191" s="115"/>
      <c r="B191" s="9"/>
      <c r="C191" s="21"/>
      <c r="D191" s="22"/>
      <c r="E191" s="22"/>
      <c r="F191" s="22" t="s">
        <v>19</v>
      </c>
      <c r="G191" s="43" t="s">
        <v>15</v>
      </c>
      <c r="H191" s="43"/>
      <c r="I191" s="28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16">
        <v>33055</v>
      </c>
      <c r="D192" s="114" t="s">
        <v>24</v>
      </c>
      <c r="E192" s="17" t="s">
        <v>84</v>
      </c>
      <c r="F192" s="25">
        <v>3</v>
      </c>
      <c r="G192" s="38">
        <v>2</v>
      </c>
      <c r="H192" s="38" t="s">
        <v>65</v>
      </c>
      <c r="I192" s="12" t="s">
        <v>96</v>
      </c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5"/>
      <c r="B193" s="9"/>
      <c r="C193" s="9"/>
      <c r="D193" s="17"/>
      <c r="E193" s="17"/>
      <c r="F193" s="17">
        <v>2</v>
      </c>
      <c r="G193" s="38">
        <v>2</v>
      </c>
      <c r="H193" s="38"/>
      <c r="I193" s="12"/>
      <c r="J193" s="12"/>
      <c r="K193" s="13"/>
      <c r="S193" s="8"/>
      <c r="T193" s="9"/>
      <c r="U193" s="9"/>
      <c r="V193" s="9"/>
      <c r="W193" s="9"/>
      <c r="X193" s="9"/>
      <c r="Y193" s="10"/>
    </row>
    <row r="194" spans="1:25" x14ac:dyDescent="0.3">
      <c r="A194" s="115"/>
      <c r="B194" s="9"/>
      <c r="C194" s="9"/>
      <c r="D194" s="17"/>
      <c r="E194" s="17"/>
      <c r="F194" s="17" t="s">
        <v>19</v>
      </c>
      <c r="G194" s="38" t="s">
        <v>15</v>
      </c>
      <c r="H194" s="38"/>
      <c r="I194" s="12"/>
      <c r="J194" s="12"/>
      <c r="K194" s="13"/>
      <c r="S194" s="8"/>
      <c r="T194" s="9"/>
      <c r="U194" s="9"/>
      <c r="V194" s="9"/>
      <c r="W194" s="9"/>
      <c r="X194" s="9"/>
      <c r="Y194" s="10"/>
    </row>
    <row r="195" spans="1:25" x14ac:dyDescent="0.3">
      <c r="A195" s="115"/>
      <c r="B195" s="9"/>
      <c r="C195" s="9"/>
      <c r="D195" s="17"/>
      <c r="E195" s="17"/>
      <c r="F195" s="17"/>
      <c r="G195" s="38"/>
      <c r="H195" s="38"/>
      <c r="I195" s="12"/>
      <c r="J195" s="12"/>
      <c r="K195" s="13"/>
      <c r="S195" s="8"/>
      <c r="T195" s="9"/>
      <c r="U195" s="9"/>
      <c r="V195" s="9"/>
      <c r="W195" s="9"/>
      <c r="X195" s="9"/>
      <c r="Y195" s="10"/>
    </row>
    <row r="196" spans="1:25" x14ac:dyDescent="0.3">
      <c r="A196" s="11"/>
      <c r="B196" s="17"/>
      <c r="C196" s="17"/>
      <c r="D196" s="17"/>
      <c r="E196" s="17"/>
      <c r="F196" s="17"/>
      <c r="G196" s="38"/>
      <c r="H196" s="38"/>
      <c r="I196" s="38"/>
      <c r="J196" s="38"/>
      <c r="K196" s="13"/>
      <c r="S196" s="8"/>
      <c r="T196" s="9"/>
      <c r="U196" s="9"/>
      <c r="V196" s="9"/>
      <c r="W196" s="9"/>
      <c r="X196" s="9"/>
      <c r="Y196" s="10"/>
    </row>
    <row r="197" spans="1:25" ht="21" x14ac:dyDescent="0.4">
      <c r="A197" s="11"/>
      <c r="B197" s="17"/>
      <c r="C197" s="17"/>
      <c r="D197" s="17"/>
      <c r="E197" s="17"/>
      <c r="F197" s="126" t="s">
        <v>69</v>
      </c>
      <c r="G197" s="38"/>
      <c r="H197" s="38"/>
      <c r="I197" s="38"/>
      <c r="J197" s="38"/>
      <c r="K197" s="13"/>
      <c r="S197" s="8"/>
      <c r="T197" s="9"/>
      <c r="U197" s="9"/>
      <c r="V197" s="9"/>
      <c r="W197" s="9"/>
      <c r="X197" s="9"/>
      <c r="Y197" s="10"/>
    </row>
    <row r="198" spans="1:25" x14ac:dyDescent="0.3">
      <c r="A198" s="115"/>
      <c r="B198" s="15"/>
      <c r="C198" s="9"/>
      <c r="D198" s="9"/>
      <c r="E198" s="9"/>
      <c r="F198" s="9"/>
      <c r="G198" s="12"/>
      <c r="H198" s="12"/>
      <c r="I198" s="12"/>
      <c r="J198" s="12"/>
      <c r="K198" s="13"/>
      <c r="S198" s="8"/>
      <c r="T198" s="9"/>
      <c r="U198" s="9"/>
      <c r="V198" s="9"/>
      <c r="W198" s="9"/>
      <c r="X198" s="9"/>
      <c r="Y198" s="10"/>
    </row>
    <row r="199" spans="1:25" s="35" customFormat="1" x14ac:dyDescent="0.3">
      <c r="A199" s="127"/>
      <c r="B199" s="57"/>
      <c r="C199" s="128">
        <v>33057</v>
      </c>
      <c r="D199" s="17" t="s">
        <v>5</v>
      </c>
      <c r="E199" s="114" t="s">
        <v>7</v>
      </c>
      <c r="F199" s="17">
        <v>3</v>
      </c>
      <c r="G199" s="25">
        <v>4</v>
      </c>
      <c r="H199" s="17" t="s">
        <v>68</v>
      </c>
      <c r="I199" s="38" t="s">
        <v>96</v>
      </c>
      <c r="J199" s="38"/>
      <c r="K199" s="40"/>
      <c r="S199" s="8" t="s">
        <v>5</v>
      </c>
      <c r="T199" s="9" t="s">
        <v>7</v>
      </c>
      <c r="U199" s="9">
        <v>4</v>
      </c>
      <c r="V199" s="9">
        <v>5</v>
      </c>
      <c r="W199" s="9"/>
      <c r="X199" s="19">
        <f t="shared" ref="X199:X200" si="58">(IF(U199&gt;V199,3,IF(U199=V199,1,2)))</f>
        <v>2</v>
      </c>
      <c r="Y199" s="20">
        <f t="shared" ref="Y199:Y200" si="59">(IF(V199&gt;U199,3,IF(U199=V199,1,2)))</f>
        <v>3</v>
      </c>
    </row>
    <row r="200" spans="1:25" s="35" customFormat="1" x14ac:dyDescent="0.3">
      <c r="A200" s="127"/>
      <c r="B200" s="57"/>
      <c r="C200" s="128"/>
      <c r="D200" s="17"/>
      <c r="E200" s="17"/>
      <c r="F200" s="17">
        <v>1</v>
      </c>
      <c r="G200" s="17">
        <v>1</v>
      </c>
      <c r="H200" s="17" t="s">
        <v>65</v>
      </c>
      <c r="I200" s="38"/>
      <c r="J200" s="38"/>
      <c r="K200" s="40"/>
      <c r="S200" s="8" t="s">
        <v>13</v>
      </c>
      <c r="T200" s="9" t="s">
        <v>24</v>
      </c>
      <c r="U200" s="9">
        <v>5</v>
      </c>
      <c r="V200" s="9">
        <v>4</v>
      </c>
      <c r="W200" s="9"/>
      <c r="X200" s="19">
        <f t="shared" si="58"/>
        <v>3</v>
      </c>
      <c r="Y200" s="20">
        <f t="shared" si="59"/>
        <v>2</v>
      </c>
    </row>
    <row r="201" spans="1:25" s="35" customFormat="1" x14ac:dyDescent="0.3">
      <c r="A201" s="127"/>
      <c r="B201" s="57"/>
      <c r="C201" s="128"/>
      <c r="D201" s="17"/>
      <c r="E201" s="17"/>
      <c r="F201" s="17">
        <v>1</v>
      </c>
      <c r="G201" s="17">
        <v>1</v>
      </c>
      <c r="H201" s="17"/>
      <c r="I201" s="38"/>
      <c r="J201" s="38"/>
      <c r="K201" s="40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27"/>
      <c r="B202" s="57"/>
      <c r="C202" s="129"/>
      <c r="D202" s="22"/>
      <c r="E202" s="22"/>
      <c r="F202" s="22" t="s">
        <v>19</v>
      </c>
      <c r="G202" s="22" t="s">
        <v>15</v>
      </c>
      <c r="H202" s="22"/>
      <c r="I202" s="43"/>
      <c r="J202" s="38"/>
      <c r="K202" s="40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27"/>
      <c r="B203" s="57"/>
      <c r="C203" s="128">
        <v>33058</v>
      </c>
      <c r="D203" s="114" t="s">
        <v>13</v>
      </c>
      <c r="E203" s="17" t="s">
        <v>24</v>
      </c>
      <c r="F203" s="25">
        <v>4</v>
      </c>
      <c r="G203" s="17">
        <v>3</v>
      </c>
      <c r="H203" s="17" t="s">
        <v>68</v>
      </c>
      <c r="I203" s="38" t="s">
        <v>97</v>
      </c>
      <c r="J203" s="38"/>
      <c r="K203" s="40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27"/>
      <c r="B204" s="57"/>
      <c r="C204" s="128"/>
      <c r="D204" s="17"/>
      <c r="E204" s="17"/>
      <c r="F204" s="17">
        <v>1</v>
      </c>
      <c r="G204" s="17">
        <v>1</v>
      </c>
      <c r="H204" s="17" t="s">
        <v>65</v>
      </c>
      <c r="I204" s="38"/>
      <c r="J204" s="38"/>
      <c r="K204" s="40"/>
      <c r="S204" s="8"/>
      <c r="T204" s="9"/>
      <c r="U204" s="9"/>
      <c r="V204" s="9"/>
      <c r="W204" s="9"/>
      <c r="X204" s="9"/>
      <c r="Y204" s="10"/>
    </row>
    <row r="205" spans="1:25" x14ac:dyDescent="0.3">
      <c r="A205" s="115"/>
      <c r="B205" s="9"/>
      <c r="C205" s="9"/>
      <c r="D205" s="9"/>
      <c r="E205" s="9"/>
      <c r="F205" s="9">
        <v>1</v>
      </c>
      <c r="G205" s="12">
        <v>1</v>
      </c>
      <c r="H205" s="12"/>
      <c r="I205" s="12"/>
      <c r="J205" s="12"/>
      <c r="K205" s="13"/>
      <c r="S205" s="8"/>
      <c r="T205" s="9"/>
      <c r="U205" s="9"/>
      <c r="V205" s="9"/>
      <c r="W205" s="9"/>
      <c r="X205" s="9"/>
      <c r="Y205" s="10"/>
    </row>
    <row r="206" spans="1:25" x14ac:dyDescent="0.3">
      <c r="A206" s="115"/>
      <c r="B206" s="9"/>
      <c r="C206" s="9"/>
      <c r="D206" s="9"/>
      <c r="E206" s="9"/>
      <c r="F206" s="9" t="s">
        <v>8</v>
      </c>
      <c r="G206" s="12" t="s">
        <v>15</v>
      </c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x14ac:dyDescent="0.3">
      <c r="A207" s="115"/>
      <c r="B207" s="9"/>
      <c r="C207" s="9"/>
      <c r="D207" s="9"/>
      <c r="E207" s="9"/>
      <c r="F207" s="9"/>
      <c r="G207" s="12"/>
      <c r="H207" s="12"/>
      <c r="I207" s="12"/>
      <c r="J207" s="12"/>
      <c r="K207" s="13"/>
      <c r="S207" s="8"/>
      <c r="T207" s="9"/>
      <c r="U207" s="9"/>
      <c r="V207" s="9"/>
      <c r="W207" s="9"/>
      <c r="X207" s="9"/>
      <c r="Y207" s="10"/>
    </row>
    <row r="208" spans="1:25" ht="15" thickBot="1" x14ac:dyDescent="0.35">
      <c r="A208" s="115"/>
      <c r="B208" s="9"/>
      <c r="C208" s="9"/>
      <c r="D208" s="9"/>
      <c r="E208" s="9"/>
      <c r="F208" s="9"/>
      <c r="G208" s="12"/>
      <c r="H208" s="12"/>
      <c r="I208" s="12"/>
      <c r="J208" s="12"/>
      <c r="K208" s="13"/>
      <c r="S208" s="8"/>
      <c r="T208" s="9"/>
      <c r="U208" s="9"/>
      <c r="V208" s="9"/>
      <c r="W208" s="9"/>
      <c r="X208" s="9"/>
      <c r="Y208" s="10"/>
    </row>
    <row r="209" spans="1:25" ht="21" x14ac:dyDescent="0.4">
      <c r="A209" s="115"/>
      <c r="B209" s="9"/>
      <c r="C209" s="196" t="s">
        <v>105</v>
      </c>
      <c r="D209" s="198"/>
      <c r="E209" s="198"/>
      <c r="F209" s="198"/>
      <c r="G209" s="198"/>
      <c r="H209" s="198"/>
      <c r="I209" s="199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29"/>
      <c r="B210" s="17"/>
      <c r="C210" s="36"/>
      <c r="D210" s="17"/>
      <c r="E210" s="114" t="s">
        <v>5</v>
      </c>
      <c r="F210" s="130" t="s">
        <v>106</v>
      </c>
      <c r="G210" s="17" t="s">
        <v>24</v>
      </c>
      <c r="H210" s="38"/>
      <c r="I210" s="39"/>
      <c r="J210" s="38"/>
      <c r="K210" s="98"/>
      <c r="L210" s="99"/>
      <c r="S210" s="8" t="s">
        <v>5</v>
      </c>
      <c r="T210" s="9" t="s">
        <v>24</v>
      </c>
      <c r="U210" s="9">
        <v>2</v>
      </c>
      <c r="V210" s="9">
        <v>1</v>
      </c>
      <c r="W210" s="9"/>
      <c r="X210" s="19">
        <f t="shared" ref="X210" si="60">(IF(U210&gt;V210,3,IF(U210=V210,1,2)))</f>
        <v>3</v>
      </c>
      <c r="Y210" s="20">
        <f t="shared" ref="Y210" si="61">(IF(V210&gt;U210,3,IF(U210=V210,1,2)))</f>
        <v>2</v>
      </c>
    </row>
    <row r="211" spans="1:25" x14ac:dyDescent="0.3">
      <c r="A211" s="115"/>
      <c r="B211" s="9"/>
      <c r="C211" s="51"/>
      <c r="D211" s="9"/>
      <c r="E211" s="15">
        <v>2</v>
      </c>
      <c r="F211" s="103"/>
      <c r="G211" s="9">
        <v>1</v>
      </c>
      <c r="H211" s="12"/>
      <c r="I211" s="104"/>
      <c r="J211" s="12"/>
      <c r="K211" s="102"/>
      <c r="L211" s="47"/>
      <c r="S211" s="8"/>
      <c r="T211" s="9"/>
      <c r="U211" s="9"/>
      <c r="V211" s="9"/>
      <c r="W211" s="9"/>
      <c r="X211" s="9"/>
      <c r="Y211" s="10"/>
    </row>
    <row r="212" spans="1:25" ht="15" thickBot="1" x14ac:dyDescent="0.35">
      <c r="A212" s="115"/>
      <c r="B212" s="9"/>
      <c r="C212" s="50"/>
      <c r="D212" s="23"/>
      <c r="E212" s="23" t="s">
        <v>8</v>
      </c>
      <c r="F212" s="23"/>
      <c r="G212" s="23" t="s">
        <v>15</v>
      </c>
      <c r="H212" s="28"/>
      <c r="I212" s="105"/>
      <c r="J212" s="12"/>
      <c r="K212" s="102"/>
      <c r="L212" s="47"/>
      <c r="S212" s="8"/>
      <c r="T212" s="9"/>
      <c r="U212" s="9"/>
      <c r="V212" s="9"/>
      <c r="W212" s="9"/>
      <c r="X212" s="9"/>
      <c r="Y212" s="10"/>
    </row>
    <row r="213" spans="1:25" x14ac:dyDescent="0.3">
      <c r="A213" s="115"/>
      <c r="B213" s="9"/>
      <c r="C213" s="9"/>
      <c r="D213" s="9"/>
      <c r="E213" s="9"/>
      <c r="F213" s="9"/>
      <c r="G213" s="9"/>
      <c r="H213" s="12"/>
      <c r="I213" s="12"/>
      <c r="J213" s="12"/>
      <c r="K213" s="102"/>
      <c r="L213" s="47"/>
      <c r="S213" s="8"/>
      <c r="T213" s="9"/>
      <c r="U213" s="9"/>
      <c r="V213" s="9"/>
      <c r="W213" s="9"/>
      <c r="X213" s="9"/>
      <c r="Y213" s="10"/>
    </row>
    <row r="214" spans="1:25" x14ac:dyDescent="0.3">
      <c r="A214" s="115"/>
      <c r="B214" s="9"/>
      <c r="C214" s="9"/>
      <c r="D214" s="9"/>
      <c r="E214" s="9"/>
      <c r="F214" s="9"/>
      <c r="G214" s="9"/>
      <c r="H214" s="12"/>
      <c r="I214" s="12"/>
      <c r="J214" s="12"/>
      <c r="K214" s="102"/>
      <c r="L214" s="47"/>
      <c r="S214" s="8"/>
      <c r="T214" s="9"/>
      <c r="U214" s="9"/>
      <c r="V214" s="9"/>
      <c r="W214" s="9"/>
      <c r="X214" s="9"/>
      <c r="Y214" s="10"/>
    </row>
    <row r="215" spans="1:25" x14ac:dyDescent="0.3">
      <c r="A215" s="115"/>
      <c r="B215" s="9"/>
      <c r="C215" s="9"/>
      <c r="D215" s="9"/>
      <c r="E215" s="9"/>
      <c r="F215" s="9"/>
      <c r="G215" s="9"/>
      <c r="H215" s="12"/>
      <c r="I215" s="12"/>
      <c r="J215" s="12"/>
      <c r="K215" s="102"/>
      <c r="L215" s="47"/>
      <c r="S215" s="8"/>
      <c r="T215" s="9"/>
      <c r="U215" s="9"/>
      <c r="V215" s="9"/>
      <c r="W215" s="9"/>
      <c r="X215" s="9"/>
      <c r="Y215" s="10"/>
    </row>
    <row r="216" spans="1:25" ht="15" thickBot="1" x14ac:dyDescent="0.35">
      <c r="A216" s="115"/>
      <c r="B216" s="9"/>
      <c r="C216" s="9"/>
      <c r="D216" s="9"/>
      <c r="E216" s="9"/>
      <c r="F216" s="9"/>
      <c r="G216" s="9"/>
      <c r="H216" s="12"/>
      <c r="I216" s="12"/>
      <c r="J216" s="12"/>
      <c r="K216" s="102"/>
      <c r="L216" s="47"/>
      <c r="S216" s="8"/>
      <c r="T216" s="9"/>
      <c r="U216" s="9"/>
      <c r="V216" s="9"/>
      <c r="W216" s="9"/>
      <c r="X216" s="9"/>
      <c r="Y216" s="10"/>
    </row>
    <row r="217" spans="1:25" ht="21" x14ac:dyDescent="0.4">
      <c r="A217" s="115"/>
      <c r="B217" s="9"/>
      <c r="C217" s="196" t="s">
        <v>107</v>
      </c>
      <c r="D217" s="198"/>
      <c r="E217" s="198"/>
      <c r="F217" s="198"/>
      <c r="G217" s="198"/>
      <c r="H217" s="198"/>
      <c r="I217" s="199"/>
      <c r="J217" s="12"/>
      <c r="K217" s="102"/>
      <c r="L217" s="47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29"/>
      <c r="B218" s="17"/>
      <c r="C218" s="36"/>
      <c r="D218" s="17"/>
      <c r="E218" s="17" t="s">
        <v>7</v>
      </c>
      <c r="F218" s="130" t="s">
        <v>106</v>
      </c>
      <c r="G218" s="131" t="s">
        <v>13</v>
      </c>
      <c r="H218" s="38"/>
      <c r="I218" s="39"/>
      <c r="J218" s="38"/>
      <c r="K218" s="98"/>
      <c r="L218" s="99"/>
      <c r="S218" s="8" t="s">
        <v>7</v>
      </c>
      <c r="T218" s="9" t="s">
        <v>13</v>
      </c>
      <c r="U218" s="9">
        <v>0</v>
      </c>
      <c r="V218" s="9">
        <v>1</v>
      </c>
      <c r="W218" s="9"/>
      <c r="X218" s="19">
        <f t="shared" ref="X218" si="62">(IF(U218&gt;V218,3,IF(U218=V218,1,2)))</f>
        <v>2</v>
      </c>
      <c r="Y218" s="20">
        <f t="shared" ref="Y218" si="63">(IF(V218&gt;U218,3,IF(U218=V218,1,2)))</f>
        <v>3</v>
      </c>
    </row>
    <row r="219" spans="1:25" x14ac:dyDescent="0.3">
      <c r="A219" s="115"/>
      <c r="B219" s="9"/>
      <c r="C219" s="51"/>
      <c r="D219" s="9"/>
      <c r="E219" s="103">
        <v>0</v>
      </c>
      <c r="F219" s="103"/>
      <c r="G219" s="116">
        <v>1</v>
      </c>
      <c r="H219" s="12"/>
      <c r="I219" s="104"/>
      <c r="J219" s="12"/>
      <c r="K219" s="102"/>
      <c r="L219" s="47"/>
      <c r="S219" s="8"/>
      <c r="T219" s="9"/>
      <c r="U219" s="9"/>
      <c r="V219" s="9"/>
      <c r="W219" s="9"/>
      <c r="X219" s="9"/>
      <c r="Y219" s="10"/>
    </row>
    <row r="220" spans="1:25" ht="15" thickBot="1" x14ac:dyDescent="0.35">
      <c r="A220" s="115"/>
      <c r="B220" s="9"/>
      <c r="C220" s="50"/>
      <c r="D220" s="23"/>
      <c r="E220" s="23" t="s">
        <v>8</v>
      </c>
      <c r="F220" s="23"/>
      <c r="G220" s="28" t="s">
        <v>15</v>
      </c>
      <c r="H220" s="28"/>
      <c r="I220" s="105"/>
      <c r="J220" s="12"/>
      <c r="K220" s="102"/>
      <c r="L220" s="47"/>
      <c r="S220" s="106"/>
      <c r="T220" s="107"/>
      <c r="U220" s="107"/>
      <c r="V220" s="107"/>
      <c r="W220" s="107"/>
      <c r="X220" s="107"/>
      <c r="Y220" s="108"/>
    </row>
    <row r="221" spans="1:25" x14ac:dyDescent="0.3">
      <c r="A221" s="115"/>
      <c r="B221" s="9"/>
      <c r="C221" s="9"/>
      <c r="D221" s="9"/>
      <c r="E221" s="9"/>
      <c r="F221" s="9"/>
      <c r="G221" s="12"/>
      <c r="H221" s="12"/>
      <c r="I221" s="12"/>
      <c r="J221" s="12"/>
      <c r="K221" s="102"/>
      <c r="L221" s="47"/>
    </row>
    <row r="222" spans="1:25" s="35" customFormat="1" x14ac:dyDescent="0.3">
      <c r="A222" s="29"/>
      <c r="B222" s="17"/>
      <c r="C222" s="17"/>
      <c r="D222" s="17"/>
      <c r="E222" s="17"/>
      <c r="F222" s="17"/>
      <c r="G222" s="38"/>
      <c r="H222" s="38"/>
      <c r="I222" s="38"/>
      <c r="J222" s="38"/>
      <c r="K222" s="98"/>
      <c r="L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/>
      <c r="B223" s="17"/>
      <c r="C223" s="17"/>
      <c r="D223" s="17"/>
      <c r="E223" s="17"/>
      <c r="F223" s="17"/>
      <c r="G223" s="38"/>
      <c r="H223" s="38"/>
      <c r="I223" s="38"/>
      <c r="J223" s="38"/>
      <c r="K223" s="40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/>
      <c r="B224" s="17"/>
      <c r="C224" s="17"/>
      <c r="D224" s="17"/>
      <c r="E224" s="17"/>
      <c r="F224" s="17"/>
      <c r="G224" s="38"/>
      <c r="H224" s="38"/>
      <c r="I224" s="38"/>
      <c r="J224" s="38"/>
      <c r="K224" s="40"/>
      <c r="S224" s="47"/>
      <c r="T224" s="47"/>
      <c r="U224" s="47"/>
      <c r="V224" s="47"/>
      <c r="W224" s="47"/>
      <c r="X224" s="47"/>
      <c r="Y224" s="47"/>
    </row>
    <row r="225" spans="1:25" ht="15" thickBot="1" x14ac:dyDescent="0.35">
      <c r="A225" s="112" t="s">
        <v>72</v>
      </c>
      <c r="B225" s="9" t="s">
        <v>62</v>
      </c>
      <c r="C225" s="9" t="s">
        <v>27</v>
      </c>
      <c r="D225" s="9" t="s">
        <v>28</v>
      </c>
      <c r="E225" s="9" t="s">
        <v>29</v>
      </c>
      <c r="F225" s="9" t="s">
        <v>30</v>
      </c>
      <c r="G225" s="12" t="s">
        <v>31</v>
      </c>
      <c r="H225" s="12" t="s">
        <v>32</v>
      </c>
      <c r="I225" s="12" t="s">
        <v>33</v>
      </c>
      <c r="J225" s="12" t="s">
        <v>34</v>
      </c>
      <c r="K225" s="102"/>
      <c r="L225" s="47"/>
    </row>
    <row r="226" spans="1:25" s="35" customFormat="1" x14ac:dyDescent="0.3">
      <c r="A226" s="11"/>
      <c r="B226" s="30" t="s">
        <v>13</v>
      </c>
      <c r="C226" s="109">
        <f>COUNTIF($S$12:$T$218,"BRD")</f>
        <v>7</v>
      </c>
      <c r="D226" s="32">
        <f t="shared" ref="D226:D249" si="64">SUMPRODUCT(($S$12:$T$218=B226)*($X$12:$Y$218=3))</f>
        <v>6</v>
      </c>
      <c r="E226" s="32">
        <f t="shared" ref="E226:E249" si="65">SUMPRODUCT(($S$12:$T$218=B226)*($X$12:$Y$218=1))</f>
        <v>1</v>
      </c>
      <c r="F226" s="32">
        <f t="shared" ref="F226:F249" si="66">SUMPRODUCT(($S$12:$T$218=B226)*($X$12:$Y$218=2))</f>
        <v>0</v>
      </c>
      <c r="G226" s="32">
        <f t="shared" ref="G226:G249" si="67">SUMPRODUCT(($S$12:$S$218=B226)*($U$12:$U$218))+SUMPRODUCT(($T$12:$T$218=B226)*($V$12:$V$218))</f>
        <v>19</v>
      </c>
      <c r="H226" s="32">
        <f t="shared" ref="H226:H249" si="68">SUMPRODUCT(($S$12:$S$218=B226)*($V$12:$V$218))+SUMPRODUCT(($T$12:$T$218=B226)*($U$12:$U$218))</f>
        <v>8</v>
      </c>
      <c r="I226" s="33">
        <f t="shared" ref="I226:I249" si="69">(D226*2)+E226</f>
        <v>13</v>
      </c>
      <c r="J226" s="34">
        <f t="shared" ref="J226:J249" si="70">(F226*2)+E226</f>
        <v>1</v>
      </c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/>
      <c r="B227" s="36" t="s">
        <v>5</v>
      </c>
      <c r="C227" s="17">
        <f>COUNTIF($S$12:$T$218,"Italien")</f>
        <v>7</v>
      </c>
      <c r="D227" s="37">
        <f t="shared" si="64"/>
        <v>6</v>
      </c>
      <c r="E227" s="37">
        <f t="shared" si="65"/>
        <v>0</v>
      </c>
      <c r="F227" s="37">
        <f t="shared" si="66"/>
        <v>1</v>
      </c>
      <c r="G227" s="37">
        <f t="shared" si="67"/>
        <v>13</v>
      </c>
      <c r="H227" s="37">
        <f t="shared" si="68"/>
        <v>6</v>
      </c>
      <c r="I227" s="38">
        <f t="shared" si="69"/>
        <v>12</v>
      </c>
      <c r="J227" s="39">
        <f t="shared" si="70"/>
        <v>2</v>
      </c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/>
      <c r="B228" s="36" t="s">
        <v>7</v>
      </c>
      <c r="C228" s="17">
        <f>COUNTIF($S$12:$T$218,"Argentinien")</f>
        <v>7</v>
      </c>
      <c r="D228" s="37">
        <f t="shared" si="64"/>
        <v>4</v>
      </c>
      <c r="E228" s="37">
        <f t="shared" si="65"/>
        <v>1</v>
      </c>
      <c r="F228" s="37">
        <f t="shared" si="66"/>
        <v>2</v>
      </c>
      <c r="G228" s="37">
        <f t="shared" si="67"/>
        <v>12</v>
      </c>
      <c r="H228" s="37">
        <f t="shared" si="68"/>
        <v>9</v>
      </c>
      <c r="I228" s="38">
        <f t="shared" si="69"/>
        <v>9</v>
      </c>
      <c r="J228" s="39">
        <f t="shared" si="70"/>
        <v>5</v>
      </c>
      <c r="K228" s="98"/>
      <c r="L228" s="99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/>
      <c r="B229" s="36" t="s">
        <v>24</v>
      </c>
      <c r="C229" s="9">
        <f>COUNTIF($S$12:$T$218,"England")</f>
        <v>7</v>
      </c>
      <c r="D229" s="37">
        <f t="shared" si="64"/>
        <v>3</v>
      </c>
      <c r="E229" s="37">
        <f t="shared" si="65"/>
        <v>2</v>
      </c>
      <c r="F229" s="37">
        <f t="shared" si="66"/>
        <v>2</v>
      </c>
      <c r="G229" s="37">
        <f t="shared" si="67"/>
        <v>11</v>
      </c>
      <c r="H229" s="37">
        <f t="shared" si="68"/>
        <v>10</v>
      </c>
      <c r="I229" s="38">
        <f t="shared" si="69"/>
        <v>8</v>
      </c>
      <c r="J229" s="39">
        <f t="shared" si="70"/>
        <v>6</v>
      </c>
      <c r="K229" s="98"/>
      <c r="L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/>
      <c r="B230" s="36" t="s">
        <v>16</v>
      </c>
      <c r="C230" s="17">
        <f>COUNTIF($S$12:$T$218,"Brasilien")</f>
        <v>4</v>
      </c>
      <c r="D230" s="37">
        <f t="shared" si="64"/>
        <v>3</v>
      </c>
      <c r="E230" s="37">
        <f t="shared" si="65"/>
        <v>0</v>
      </c>
      <c r="F230" s="37">
        <f t="shared" si="66"/>
        <v>1</v>
      </c>
      <c r="G230" s="37">
        <f t="shared" si="67"/>
        <v>4</v>
      </c>
      <c r="H230" s="37">
        <f t="shared" si="68"/>
        <v>2</v>
      </c>
      <c r="I230" s="38">
        <f t="shared" si="69"/>
        <v>6</v>
      </c>
      <c r="J230" s="39">
        <f t="shared" si="70"/>
        <v>2</v>
      </c>
      <c r="K230" s="98"/>
      <c r="L230" s="99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/>
      <c r="B231" s="36" t="s">
        <v>82</v>
      </c>
      <c r="C231" s="9">
        <f>COUNTIF($S$12:$T$218,"ČSFR")</f>
        <v>5</v>
      </c>
      <c r="D231" s="37">
        <f t="shared" si="64"/>
        <v>3</v>
      </c>
      <c r="E231" s="37">
        <f t="shared" si="65"/>
        <v>0</v>
      </c>
      <c r="F231" s="37">
        <f t="shared" si="66"/>
        <v>2</v>
      </c>
      <c r="G231" s="37">
        <f t="shared" si="67"/>
        <v>10</v>
      </c>
      <c r="H231" s="37">
        <f t="shared" si="68"/>
        <v>5</v>
      </c>
      <c r="I231" s="38">
        <f t="shared" si="69"/>
        <v>6</v>
      </c>
      <c r="J231" s="39">
        <f t="shared" si="70"/>
        <v>4</v>
      </c>
      <c r="K231" s="98"/>
      <c r="L231" s="99"/>
      <c r="S231" s="47"/>
      <c r="T231" s="47"/>
      <c r="U231" s="47"/>
      <c r="V231" s="47"/>
      <c r="W231" s="47"/>
      <c r="X231" s="47"/>
      <c r="Y231" s="47"/>
    </row>
    <row r="232" spans="1:25" s="35" customFormat="1" x14ac:dyDescent="0.3">
      <c r="A232" s="11"/>
      <c r="B232" s="36" t="s">
        <v>83</v>
      </c>
      <c r="C232" s="9">
        <f>COUNTIF($S$12:$T$218,"Jugoslawien")</f>
        <v>5</v>
      </c>
      <c r="D232" s="37">
        <f t="shared" si="64"/>
        <v>3</v>
      </c>
      <c r="E232" s="37">
        <f t="shared" si="65"/>
        <v>0</v>
      </c>
      <c r="F232" s="37">
        <f t="shared" si="66"/>
        <v>2</v>
      </c>
      <c r="G232" s="37">
        <f t="shared" si="67"/>
        <v>10</v>
      </c>
      <c r="H232" s="37">
        <f t="shared" si="68"/>
        <v>9</v>
      </c>
      <c r="I232" s="38">
        <f t="shared" si="69"/>
        <v>6</v>
      </c>
      <c r="J232" s="39">
        <f t="shared" si="70"/>
        <v>4</v>
      </c>
      <c r="K232" s="40"/>
      <c r="S232" s="47"/>
      <c r="T232" s="47"/>
      <c r="U232" s="47"/>
      <c r="V232" s="47"/>
      <c r="W232" s="47"/>
      <c r="X232" s="47"/>
      <c r="Y232" s="47"/>
    </row>
    <row r="233" spans="1:25" s="35" customFormat="1" x14ac:dyDescent="0.3">
      <c r="A233" s="11"/>
      <c r="B233" s="36" t="s">
        <v>84</v>
      </c>
      <c r="C233" s="9">
        <f>COUNTIF($S$12:$T$218,"Kamerun")</f>
        <v>5</v>
      </c>
      <c r="D233" s="37">
        <f t="shared" si="64"/>
        <v>3</v>
      </c>
      <c r="E233" s="37">
        <f t="shared" si="65"/>
        <v>0</v>
      </c>
      <c r="F233" s="37">
        <f t="shared" si="66"/>
        <v>2</v>
      </c>
      <c r="G233" s="37">
        <f t="shared" si="67"/>
        <v>7</v>
      </c>
      <c r="H233" s="37">
        <f t="shared" si="68"/>
        <v>9</v>
      </c>
      <c r="I233" s="38">
        <f t="shared" si="69"/>
        <v>6</v>
      </c>
      <c r="J233" s="39">
        <f t="shared" si="70"/>
        <v>4</v>
      </c>
      <c r="K233" s="40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/>
      <c r="B234" s="36" t="s">
        <v>22</v>
      </c>
      <c r="C234" s="9">
        <f>COUNTIF($S$12:$T$218,"Spanien")</f>
        <v>4</v>
      </c>
      <c r="D234" s="37">
        <f t="shared" si="64"/>
        <v>2</v>
      </c>
      <c r="E234" s="37">
        <f t="shared" si="65"/>
        <v>1</v>
      </c>
      <c r="F234" s="37">
        <f t="shared" si="66"/>
        <v>1</v>
      </c>
      <c r="G234" s="37">
        <f t="shared" si="67"/>
        <v>6</v>
      </c>
      <c r="H234" s="37">
        <f t="shared" si="68"/>
        <v>4</v>
      </c>
      <c r="I234" s="38">
        <f t="shared" si="69"/>
        <v>5</v>
      </c>
      <c r="J234" s="39">
        <f t="shared" si="70"/>
        <v>3</v>
      </c>
      <c r="K234" s="98"/>
      <c r="L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/>
      <c r="B235" s="36" t="s">
        <v>85</v>
      </c>
      <c r="C235" s="9">
        <f>COUNTIF($S$12:$T$218,"Irland")</f>
        <v>5</v>
      </c>
      <c r="D235" s="37">
        <f t="shared" si="64"/>
        <v>1</v>
      </c>
      <c r="E235" s="37">
        <f t="shared" si="65"/>
        <v>3</v>
      </c>
      <c r="F235" s="37">
        <f t="shared" si="66"/>
        <v>1</v>
      </c>
      <c r="G235" s="37">
        <f t="shared" si="67"/>
        <v>7</v>
      </c>
      <c r="H235" s="37">
        <f t="shared" si="68"/>
        <v>7</v>
      </c>
      <c r="I235" s="38">
        <f t="shared" si="69"/>
        <v>5</v>
      </c>
      <c r="J235" s="39">
        <f t="shared" si="70"/>
        <v>5</v>
      </c>
      <c r="K235" s="40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/>
      <c r="B236" s="36" t="s">
        <v>20</v>
      </c>
      <c r="C236" s="9">
        <f>COUNTIF($S$12:$T$218,"Belgien")</f>
        <v>4</v>
      </c>
      <c r="D236" s="37">
        <f t="shared" si="64"/>
        <v>2</v>
      </c>
      <c r="E236" s="37">
        <f t="shared" si="65"/>
        <v>0</v>
      </c>
      <c r="F236" s="37">
        <f t="shared" si="66"/>
        <v>2</v>
      </c>
      <c r="G236" s="37">
        <f t="shared" si="67"/>
        <v>6</v>
      </c>
      <c r="H236" s="37">
        <f t="shared" si="68"/>
        <v>4</v>
      </c>
      <c r="I236" s="38">
        <f t="shared" si="69"/>
        <v>4</v>
      </c>
      <c r="J236" s="39">
        <f t="shared" si="70"/>
        <v>4</v>
      </c>
      <c r="K236" s="98"/>
      <c r="L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/>
      <c r="B237" s="36" t="s">
        <v>86</v>
      </c>
      <c r="C237" s="9">
        <f>COUNTIF($S$12:$T$218,"Costa Rica")</f>
        <v>4</v>
      </c>
      <c r="D237" s="37">
        <f t="shared" si="64"/>
        <v>2</v>
      </c>
      <c r="E237" s="37">
        <f t="shared" si="65"/>
        <v>0</v>
      </c>
      <c r="F237" s="37">
        <f t="shared" si="66"/>
        <v>2</v>
      </c>
      <c r="G237" s="37">
        <f t="shared" si="67"/>
        <v>4</v>
      </c>
      <c r="H237" s="37">
        <f t="shared" si="68"/>
        <v>6</v>
      </c>
      <c r="I237" s="38">
        <f t="shared" si="69"/>
        <v>4</v>
      </c>
      <c r="J237" s="39">
        <f t="shared" si="70"/>
        <v>4</v>
      </c>
      <c r="K237" s="98"/>
      <c r="L237" s="99"/>
      <c r="S237" s="47"/>
      <c r="T237" s="47"/>
      <c r="U237" s="47"/>
      <c r="V237" s="47"/>
      <c r="W237" s="47"/>
      <c r="X237" s="47"/>
      <c r="Y237" s="47"/>
    </row>
    <row r="238" spans="1:25" s="35" customFormat="1" x14ac:dyDescent="0.3">
      <c r="A238" s="11"/>
      <c r="B238" s="36" t="s">
        <v>87</v>
      </c>
      <c r="C238" s="9">
        <f>COUNTIF($S$12:$T$218,"Rumänien")</f>
        <v>4</v>
      </c>
      <c r="D238" s="37">
        <f t="shared" si="64"/>
        <v>1</v>
      </c>
      <c r="E238" s="37">
        <f t="shared" si="65"/>
        <v>1</v>
      </c>
      <c r="F238" s="37">
        <f t="shared" si="66"/>
        <v>2</v>
      </c>
      <c r="G238" s="37">
        <f t="shared" si="67"/>
        <v>8</v>
      </c>
      <c r="H238" s="37">
        <f t="shared" si="68"/>
        <v>8</v>
      </c>
      <c r="I238" s="38">
        <f t="shared" si="69"/>
        <v>3</v>
      </c>
      <c r="J238" s="39">
        <f t="shared" si="70"/>
        <v>5</v>
      </c>
      <c r="K238" s="98"/>
      <c r="L238" s="99"/>
      <c r="S238" s="47"/>
      <c r="T238" s="47"/>
      <c r="U238" s="47"/>
      <c r="V238" s="47"/>
      <c r="W238" s="47"/>
      <c r="X238" s="47"/>
      <c r="Y238" s="47"/>
    </row>
    <row r="239" spans="1:25" s="35" customFormat="1" x14ac:dyDescent="0.3">
      <c r="A239" s="11"/>
      <c r="B239" s="36" t="s">
        <v>88</v>
      </c>
      <c r="C239" s="9">
        <f>COUNTIF($S$12:$T$218,"Kolumbien")</f>
        <v>4</v>
      </c>
      <c r="D239" s="37">
        <f t="shared" si="64"/>
        <v>1</v>
      </c>
      <c r="E239" s="37">
        <f t="shared" si="65"/>
        <v>1</v>
      </c>
      <c r="F239" s="37">
        <f t="shared" si="66"/>
        <v>2</v>
      </c>
      <c r="G239" s="37">
        <f t="shared" si="67"/>
        <v>4</v>
      </c>
      <c r="H239" s="37">
        <f t="shared" si="68"/>
        <v>4</v>
      </c>
      <c r="I239" s="38">
        <f t="shared" si="69"/>
        <v>3</v>
      </c>
      <c r="J239" s="39">
        <f t="shared" si="70"/>
        <v>5</v>
      </c>
      <c r="K239" s="40"/>
      <c r="S239" s="47"/>
      <c r="T239" s="47"/>
      <c r="U239" s="47"/>
      <c r="V239" s="47"/>
      <c r="W239" s="47"/>
      <c r="X239" s="47"/>
      <c r="Y239" s="47"/>
    </row>
    <row r="240" spans="1:25" s="35" customFormat="1" x14ac:dyDescent="0.3">
      <c r="A240" s="11"/>
      <c r="B240" s="36" t="s">
        <v>89</v>
      </c>
      <c r="C240" s="9">
        <f>COUNTIF($S$12:$T$218,"Niederlande")</f>
        <v>4</v>
      </c>
      <c r="D240" s="37">
        <f t="shared" si="64"/>
        <v>0</v>
      </c>
      <c r="E240" s="37">
        <f t="shared" si="65"/>
        <v>3</v>
      </c>
      <c r="F240" s="37">
        <f t="shared" si="66"/>
        <v>1</v>
      </c>
      <c r="G240" s="37">
        <f t="shared" si="67"/>
        <v>3</v>
      </c>
      <c r="H240" s="37">
        <f t="shared" si="68"/>
        <v>4</v>
      </c>
      <c r="I240" s="38">
        <f t="shared" si="69"/>
        <v>3</v>
      </c>
      <c r="J240" s="39">
        <f t="shared" si="70"/>
        <v>5</v>
      </c>
      <c r="K240" s="40"/>
      <c r="S240" s="47"/>
      <c r="T240" s="47"/>
      <c r="U240" s="47"/>
      <c r="V240" s="47"/>
      <c r="W240" s="47"/>
      <c r="X240" s="47"/>
      <c r="Y240" s="47"/>
    </row>
    <row r="241" spans="1:25" s="35" customFormat="1" x14ac:dyDescent="0.3">
      <c r="A241" s="11"/>
      <c r="B241" s="36" t="s">
        <v>38</v>
      </c>
      <c r="C241" s="9">
        <f>COUNTIF($S$12:$T$218,"Uruguay")</f>
        <v>4</v>
      </c>
      <c r="D241" s="37">
        <f t="shared" si="64"/>
        <v>1</v>
      </c>
      <c r="E241" s="37">
        <f t="shared" si="65"/>
        <v>1</v>
      </c>
      <c r="F241" s="37">
        <f t="shared" si="66"/>
        <v>2</v>
      </c>
      <c r="G241" s="37">
        <f t="shared" si="67"/>
        <v>2</v>
      </c>
      <c r="H241" s="37">
        <f t="shared" si="68"/>
        <v>5</v>
      </c>
      <c r="I241" s="38">
        <f t="shared" si="69"/>
        <v>3</v>
      </c>
      <c r="J241" s="39">
        <f t="shared" si="70"/>
        <v>5</v>
      </c>
      <c r="K241" s="98"/>
      <c r="L241" s="99"/>
      <c r="S241" s="47"/>
      <c r="T241" s="47"/>
      <c r="U241" s="47"/>
      <c r="V241" s="47"/>
      <c r="W241" s="47"/>
      <c r="X241" s="47"/>
      <c r="Y241" s="47"/>
    </row>
    <row r="242" spans="1:25" s="35" customFormat="1" x14ac:dyDescent="0.3">
      <c r="A242" s="11"/>
      <c r="B242" s="36" t="s">
        <v>23</v>
      </c>
      <c r="C242" s="9">
        <f>COUNTIF($S$12:$T$218,"UdSSR")</f>
        <v>3</v>
      </c>
      <c r="D242" s="37">
        <f t="shared" si="64"/>
        <v>1</v>
      </c>
      <c r="E242" s="37">
        <f t="shared" si="65"/>
        <v>0</v>
      </c>
      <c r="F242" s="37">
        <f t="shared" si="66"/>
        <v>2</v>
      </c>
      <c r="G242" s="37">
        <f t="shared" si="67"/>
        <v>4</v>
      </c>
      <c r="H242" s="37">
        <f t="shared" si="68"/>
        <v>4</v>
      </c>
      <c r="I242" s="38">
        <f t="shared" si="69"/>
        <v>2</v>
      </c>
      <c r="J242" s="39">
        <f t="shared" si="70"/>
        <v>4</v>
      </c>
      <c r="K242" s="98"/>
      <c r="L242" s="99"/>
      <c r="S242" s="47"/>
      <c r="T242" s="47"/>
      <c r="U242" s="47"/>
      <c r="V242" s="47"/>
      <c r="W242" s="47"/>
      <c r="X242" s="47"/>
      <c r="Y242" s="47"/>
    </row>
    <row r="243" spans="1:25" s="35" customFormat="1" x14ac:dyDescent="0.3">
      <c r="A243" s="11"/>
      <c r="B243" s="36" t="s">
        <v>76</v>
      </c>
      <c r="C243" s="9">
        <f>COUNTIF($S$12:$T$218,"Österreich")</f>
        <v>3</v>
      </c>
      <c r="D243" s="37">
        <f t="shared" si="64"/>
        <v>1</v>
      </c>
      <c r="E243" s="37">
        <f t="shared" si="65"/>
        <v>0</v>
      </c>
      <c r="F243" s="37">
        <f t="shared" si="66"/>
        <v>2</v>
      </c>
      <c r="G243" s="37">
        <f t="shared" si="67"/>
        <v>2</v>
      </c>
      <c r="H243" s="37">
        <f t="shared" si="68"/>
        <v>3</v>
      </c>
      <c r="I243" s="38">
        <f t="shared" si="69"/>
        <v>2</v>
      </c>
      <c r="J243" s="39">
        <f t="shared" si="70"/>
        <v>4</v>
      </c>
      <c r="K243" s="40"/>
      <c r="S243" s="47"/>
      <c r="T243" s="47"/>
      <c r="U243" s="47"/>
      <c r="V243" s="47"/>
      <c r="W243" s="47"/>
      <c r="X243" s="47"/>
      <c r="Y243" s="47"/>
    </row>
    <row r="244" spans="1:25" s="35" customFormat="1" x14ac:dyDescent="0.3">
      <c r="A244" s="11"/>
      <c r="B244" s="36" t="s">
        <v>41</v>
      </c>
      <c r="C244" s="9">
        <f>COUNTIF($S$12:$T$218,"Schottland")</f>
        <v>3</v>
      </c>
      <c r="D244" s="37">
        <f t="shared" si="64"/>
        <v>1</v>
      </c>
      <c r="E244" s="37">
        <f t="shared" si="65"/>
        <v>0</v>
      </c>
      <c r="F244" s="37">
        <f t="shared" si="66"/>
        <v>2</v>
      </c>
      <c r="G244" s="37">
        <f t="shared" si="67"/>
        <v>2</v>
      </c>
      <c r="H244" s="37">
        <f t="shared" si="68"/>
        <v>3</v>
      </c>
      <c r="I244" s="38">
        <f t="shared" si="69"/>
        <v>2</v>
      </c>
      <c r="J244" s="39">
        <f t="shared" si="70"/>
        <v>4</v>
      </c>
      <c r="K244" s="40"/>
      <c r="S244" s="47"/>
      <c r="T244" s="47"/>
      <c r="U244" s="47"/>
      <c r="V244" s="47"/>
      <c r="W244" s="47"/>
      <c r="X244" s="47"/>
      <c r="Y244" s="47"/>
    </row>
    <row r="245" spans="1:25" s="35" customFormat="1" x14ac:dyDescent="0.3">
      <c r="A245" s="11"/>
      <c r="B245" s="36" t="s">
        <v>91</v>
      </c>
      <c r="C245" s="9">
        <f>COUNTIF($S$12:$T$218,"Ägypten")</f>
        <v>3</v>
      </c>
      <c r="D245" s="37">
        <f t="shared" si="64"/>
        <v>0</v>
      </c>
      <c r="E245" s="37">
        <f t="shared" si="65"/>
        <v>2</v>
      </c>
      <c r="F245" s="37">
        <f t="shared" si="66"/>
        <v>1</v>
      </c>
      <c r="G245" s="37">
        <f t="shared" si="67"/>
        <v>1</v>
      </c>
      <c r="H245" s="37">
        <f t="shared" si="68"/>
        <v>2</v>
      </c>
      <c r="I245" s="38">
        <f t="shared" si="69"/>
        <v>2</v>
      </c>
      <c r="J245" s="39">
        <f t="shared" si="70"/>
        <v>4</v>
      </c>
      <c r="K245" s="98"/>
      <c r="L245" s="99"/>
      <c r="S245" s="47"/>
      <c r="T245" s="47"/>
      <c r="U245" s="47"/>
      <c r="V245" s="47"/>
      <c r="W245" s="47"/>
      <c r="X245" s="47"/>
      <c r="Y245" s="47"/>
    </row>
    <row r="246" spans="1:25" s="35" customFormat="1" x14ac:dyDescent="0.3">
      <c r="A246" s="11"/>
      <c r="B246" s="36" t="s">
        <v>92</v>
      </c>
      <c r="C246" s="9">
        <f>COUNTIF($S$12:$T$218,"Schweden")</f>
        <v>3</v>
      </c>
      <c r="D246" s="37">
        <f t="shared" si="64"/>
        <v>0</v>
      </c>
      <c r="E246" s="37">
        <f t="shared" si="65"/>
        <v>0</v>
      </c>
      <c r="F246" s="37">
        <f t="shared" si="66"/>
        <v>3</v>
      </c>
      <c r="G246" s="37">
        <f t="shared" si="67"/>
        <v>3</v>
      </c>
      <c r="H246" s="37">
        <f t="shared" si="68"/>
        <v>6</v>
      </c>
      <c r="I246" s="38">
        <f t="shared" si="69"/>
        <v>0</v>
      </c>
      <c r="J246" s="39">
        <f t="shared" si="70"/>
        <v>6</v>
      </c>
      <c r="K246" s="98"/>
      <c r="L246" s="99"/>
      <c r="S246" s="47"/>
      <c r="T246" s="47"/>
      <c r="U246" s="47"/>
      <c r="V246" s="47"/>
      <c r="W246" s="47"/>
      <c r="X246" s="47"/>
      <c r="Y246" s="47"/>
    </row>
    <row r="247" spans="1:25" s="35" customFormat="1" x14ac:dyDescent="0.3">
      <c r="A247" s="11"/>
      <c r="B247" s="36" t="s">
        <v>78</v>
      </c>
      <c r="C247" s="9">
        <f>COUNTIF($S$12:$T$218,"USA")</f>
        <v>3</v>
      </c>
      <c r="D247" s="37">
        <f t="shared" si="64"/>
        <v>0</v>
      </c>
      <c r="E247" s="37">
        <f t="shared" si="65"/>
        <v>0</v>
      </c>
      <c r="F247" s="37">
        <f t="shared" si="66"/>
        <v>3</v>
      </c>
      <c r="G247" s="37">
        <f t="shared" si="67"/>
        <v>2</v>
      </c>
      <c r="H247" s="37">
        <f t="shared" si="68"/>
        <v>8</v>
      </c>
      <c r="I247" s="38">
        <f t="shared" si="69"/>
        <v>0</v>
      </c>
      <c r="J247" s="39">
        <f t="shared" si="70"/>
        <v>6</v>
      </c>
      <c r="K247" s="98"/>
      <c r="L247" s="99"/>
      <c r="S247" s="47"/>
      <c r="T247" s="47"/>
      <c r="U247" s="47"/>
      <c r="V247" s="47"/>
      <c r="W247" s="47"/>
      <c r="X247" s="47"/>
      <c r="Y247" s="47"/>
    </row>
    <row r="248" spans="1:25" s="35" customFormat="1" x14ac:dyDescent="0.3">
      <c r="A248" s="11"/>
      <c r="B248" s="36" t="s">
        <v>93</v>
      </c>
      <c r="C248" s="9">
        <f>COUNTIF($S$12:$T$218,"VAE")</f>
        <v>3</v>
      </c>
      <c r="D248" s="37">
        <f t="shared" si="64"/>
        <v>0</v>
      </c>
      <c r="E248" s="37">
        <f t="shared" si="65"/>
        <v>0</v>
      </c>
      <c r="F248" s="37">
        <f t="shared" si="66"/>
        <v>3</v>
      </c>
      <c r="G248" s="37">
        <f t="shared" si="67"/>
        <v>2</v>
      </c>
      <c r="H248" s="37">
        <f t="shared" si="68"/>
        <v>11</v>
      </c>
      <c r="I248" s="38">
        <f t="shared" si="69"/>
        <v>0</v>
      </c>
      <c r="J248" s="39">
        <f t="shared" si="70"/>
        <v>6</v>
      </c>
      <c r="K248" s="98"/>
      <c r="L248" s="99"/>
      <c r="S248" s="47"/>
      <c r="T248" s="47"/>
      <c r="U248" s="47"/>
      <c r="V248" s="47"/>
      <c r="W248" s="47"/>
      <c r="X248" s="47"/>
      <c r="Y248" s="47"/>
    </row>
    <row r="249" spans="1:25" s="35" customFormat="1" ht="15" thickBot="1" x14ac:dyDescent="0.35">
      <c r="A249" s="11"/>
      <c r="B249" s="41" t="s">
        <v>10</v>
      </c>
      <c r="C249" s="23">
        <f>COUNTIF($S$12:$T$218,"Südkorea")</f>
        <v>3</v>
      </c>
      <c r="D249" s="42">
        <f t="shared" si="64"/>
        <v>0</v>
      </c>
      <c r="E249" s="42">
        <f t="shared" si="65"/>
        <v>0</v>
      </c>
      <c r="F249" s="42">
        <f t="shared" si="66"/>
        <v>3</v>
      </c>
      <c r="G249" s="42">
        <f t="shared" si="67"/>
        <v>1</v>
      </c>
      <c r="H249" s="42">
        <f t="shared" si="68"/>
        <v>6</v>
      </c>
      <c r="I249" s="43">
        <f t="shared" si="69"/>
        <v>0</v>
      </c>
      <c r="J249" s="44">
        <f t="shared" si="70"/>
        <v>6</v>
      </c>
      <c r="K249" s="98"/>
      <c r="L249" s="99"/>
      <c r="S249" s="47"/>
      <c r="T249" s="47"/>
      <c r="U249" s="47"/>
      <c r="V249" s="47"/>
      <c r="W249" s="47"/>
      <c r="X249" s="47"/>
      <c r="Y249" s="47"/>
    </row>
    <row r="250" spans="1:25" x14ac:dyDescent="0.3">
      <c r="A250" s="112"/>
      <c r="B250" s="9"/>
      <c r="C250" s="9"/>
      <c r="D250" s="9"/>
      <c r="E250" s="9"/>
      <c r="F250" s="9"/>
      <c r="G250" s="12"/>
      <c r="H250" s="12"/>
      <c r="I250" s="12"/>
      <c r="J250" s="12"/>
      <c r="K250" s="13"/>
    </row>
    <row r="251" spans="1:25" ht="15" thickBot="1" x14ac:dyDescent="0.35">
      <c r="A251" s="117"/>
      <c r="B251" s="53"/>
      <c r="C251" s="53"/>
      <c r="D251" s="53"/>
      <c r="E251" s="53"/>
      <c r="F251" s="53"/>
      <c r="G251" s="54"/>
      <c r="H251" s="54"/>
      <c r="I251" s="54"/>
      <c r="J251" s="54"/>
      <c r="K251" s="45"/>
    </row>
    <row r="252" spans="1:25" ht="15" thickTop="1" x14ac:dyDescent="0.3"/>
  </sheetData>
  <mergeCells count="5">
    <mergeCell ref="A2:K2"/>
    <mergeCell ref="A4:K4"/>
    <mergeCell ref="A5:K5"/>
    <mergeCell ref="C209:I209"/>
    <mergeCell ref="C217:I217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A255"/>
  <sheetViews>
    <sheetView topLeftCell="A218" zoomScaleNormal="100" workbookViewId="0">
      <selection activeCell="K231" sqref="K231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1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86" t="s">
        <v>108</v>
      </c>
      <c r="B2" s="187"/>
      <c r="C2" s="187"/>
      <c r="D2" s="187"/>
      <c r="E2" s="187"/>
      <c r="F2" s="187"/>
      <c r="G2" s="187"/>
      <c r="H2" s="187"/>
      <c r="I2" s="187"/>
      <c r="J2" s="187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89" t="s">
        <v>109</v>
      </c>
      <c r="B4" s="190"/>
      <c r="C4" s="190"/>
      <c r="D4" s="190"/>
      <c r="E4" s="190"/>
      <c r="F4" s="190"/>
      <c r="G4" s="190"/>
      <c r="H4" s="190"/>
      <c r="I4" s="190"/>
      <c r="J4" s="190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191" t="s">
        <v>110</v>
      </c>
      <c r="B5" s="192"/>
      <c r="C5" s="192"/>
      <c r="D5" s="192"/>
      <c r="E5" s="192"/>
      <c r="F5" s="192"/>
      <c r="G5" s="192"/>
      <c r="H5" s="192"/>
      <c r="I5" s="192"/>
      <c r="J5" s="192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 t="s">
        <v>111</v>
      </c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34503</v>
      </c>
      <c r="D12" s="83" t="s">
        <v>78</v>
      </c>
      <c r="E12" s="83" t="s">
        <v>112</v>
      </c>
      <c r="F12" s="83">
        <v>1</v>
      </c>
      <c r="G12" s="83">
        <v>1</v>
      </c>
      <c r="H12" s="9"/>
      <c r="I12" s="9" t="s">
        <v>113</v>
      </c>
      <c r="J12" s="12"/>
      <c r="K12" s="13"/>
      <c r="S12" s="8" t="s">
        <v>78</v>
      </c>
      <c r="T12" s="9" t="s">
        <v>112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16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23"/>
      <c r="J13" s="12"/>
      <c r="K13" s="13"/>
      <c r="S13" s="8" t="s">
        <v>88</v>
      </c>
      <c r="T13" s="9" t="s">
        <v>87</v>
      </c>
      <c r="U13" s="9">
        <v>1</v>
      </c>
      <c r="V13" s="9">
        <v>3</v>
      </c>
      <c r="W13" s="9"/>
      <c r="X13" s="19">
        <f t="shared" si="0"/>
        <v>2</v>
      </c>
      <c r="Y13" s="20">
        <f t="shared" si="1"/>
        <v>3</v>
      </c>
      <c r="AA13" t="s">
        <v>92</v>
      </c>
    </row>
    <row r="14" spans="1:27" x14ac:dyDescent="0.3">
      <c r="A14" s="112"/>
      <c r="B14" s="9"/>
      <c r="C14" s="16">
        <v>34503</v>
      </c>
      <c r="D14" s="83" t="s">
        <v>88</v>
      </c>
      <c r="E14" s="83" t="s">
        <v>87</v>
      </c>
      <c r="F14" s="83">
        <v>1</v>
      </c>
      <c r="G14" s="83">
        <v>3</v>
      </c>
      <c r="H14" s="9"/>
      <c r="I14" s="12" t="s">
        <v>114</v>
      </c>
      <c r="J14" s="12"/>
      <c r="K14" s="13"/>
      <c r="S14" s="8" t="s">
        <v>87</v>
      </c>
      <c r="T14" s="132" t="s">
        <v>112</v>
      </c>
      <c r="U14" s="9">
        <v>1</v>
      </c>
      <c r="V14" s="9">
        <v>4</v>
      </c>
      <c r="W14" s="9"/>
      <c r="X14" s="19">
        <f t="shared" si="0"/>
        <v>2</v>
      </c>
      <c r="Y14" s="20">
        <f t="shared" si="1"/>
        <v>3</v>
      </c>
      <c r="AA14" t="s">
        <v>5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44</v>
      </c>
      <c r="H15" s="23"/>
      <c r="I15" s="28"/>
      <c r="J15" s="12"/>
      <c r="K15" s="13"/>
      <c r="S15" s="8" t="s">
        <v>78</v>
      </c>
      <c r="T15" s="9" t="s">
        <v>88</v>
      </c>
      <c r="U15" s="9">
        <v>2</v>
      </c>
      <c r="V15" s="9">
        <v>1</v>
      </c>
      <c r="W15" s="9"/>
      <c r="X15" s="19">
        <f t="shared" si="0"/>
        <v>3</v>
      </c>
      <c r="Y15" s="20">
        <f t="shared" si="1"/>
        <v>2</v>
      </c>
      <c r="AA15" t="s">
        <v>4</v>
      </c>
    </row>
    <row r="16" spans="1:27" x14ac:dyDescent="0.3">
      <c r="A16" s="112"/>
      <c r="B16" s="9"/>
      <c r="C16" s="16">
        <v>34507</v>
      </c>
      <c r="D16" s="83" t="s">
        <v>87</v>
      </c>
      <c r="E16" s="83" t="s">
        <v>112</v>
      </c>
      <c r="F16" s="83">
        <v>1</v>
      </c>
      <c r="G16" s="83">
        <v>4</v>
      </c>
      <c r="H16" s="9"/>
      <c r="I16" s="12" t="s">
        <v>113</v>
      </c>
      <c r="J16" s="12"/>
      <c r="K16" s="13"/>
      <c r="S16" s="8" t="s">
        <v>78</v>
      </c>
      <c r="T16" s="132" t="s">
        <v>87</v>
      </c>
      <c r="U16" s="9">
        <v>0</v>
      </c>
      <c r="V16" s="9">
        <v>1</v>
      </c>
      <c r="W16" s="9"/>
      <c r="X16" s="19">
        <f t="shared" si="0"/>
        <v>2</v>
      </c>
      <c r="Y16" s="20">
        <f t="shared" si="1"/>
        <v>3</v>
      </c>
      <c r="AA16" t="s">
        <v>13</v>
      </c>
    </row>
    <row r="17" spans="1:27" ht="15" thickBot="1" x14ac:dyDescent="0.35">
      <c r="A17" s="112"/>
      <c r="B17" s="9"/>
      <c r="C17" s="21"/>
      <c r="D17" s="89"/>
      <c r="E17" s="89"/>
      <c r="F17" s="89" t="s">
        <v>19</v>
      </c>
      <c r="G17" s="89" t="s">
        <v>9</v>
      </c>
      <c r="H17" s="23"/>
      <c r="I17" s="28"/>
      <c r="J17" s="12"/>
      <c r="K17" s="13"/>
      <c r="S17" s="8" t="s">
        <v>112</v>
      </c>
      <c r="T17" s="132" t="s">
        <v>88</v>
      </c>
      <c r="U17" s="9">
        <v>0</v>
      </c>
      <c r="V17" s="9">
        <v>2</v>
      </c>
      <c r="W17" s="9"/>
      <c r="X17" s="19">
        <f t="shared" si="0"/>
        <v>2</v>
      </c>
      <c r="Y17" s="20">
        <f t="shared" si="1"/>
        <v>3</v>
      </c>
      <c r="AA17" t="s">
        <v>87</v>
      </c>
    </row>
    <row r="18" spans="1:27" x14ac:dyDescent="0.3">
      <c r="A18" s="112"/>
      <c r="B18" s="9"/>
      <c r="C18" s="16">
        <v>34507</v>
      </c>
      <c r="D18" s="83" t="s">
        <v>78</v>
      </c>
      <c r="E18" s="83" t="s">
        <v>88</v>
      </c>
      <c r="F18" s="83">
        <v>2</v>
      </c>
      <c r="G18" s="83">
        <v>1</v>
      </c>
      <c r="H18" s="9"/>
      <c r="I18" s="12" t="s">
        <v>114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89</v>
      </c>
    </row>
    <row r="19" spans="1:27" ht="15" thickBot="1" x14ac:dyDescent="0.35">
      <c r="A19" s="112"/>
      <c r="B19" s="9"/>
      <c r="C19" s="21"/>
      <c r="D19" s="89"/>
      <c r="E19" s="89"/>
      <c r="F19" s="89" t="s">
        <v>19</v>
      </c>
      <c r="G19" s="89" t="s">
        <v>15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2"/>
      <c r="B20" s="9"/>
      <c r="C20" s="16">
        <v>34511</v>
      </c>
      <c r="D20" s="83" t="s">
        <v>78</v>
      </c>
      <c r="E20" s="83" t="s">
        <v>87</v>
      </c>
      <c r="F20" s="83">
        <v>0</v>
      </c>
      <c r="G20" s="83">
        <v>1</v>
      </c>
      <c r="H20" s="9"/>
      <c r="I20" s="12" t="s">
        <v>114</v>
      </c>
      <c r="J20" s="12"/>
      <c r="K20" s="13"/>
      <c r="S20" s="8"/>
      <c r="T20" s="9"/>
      <c r="U20" s="9"/>
      <c r="V20" s="9"/>
      <c r="W20" s="9"/>
      <c r="X20" s="19"/>
      <c r="Y20" s="20"/>
      <c r="AA20" t="s">
        <v>7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115</v>
      </c>
    </row>
    <row r="22" spans="1:27" x14ac:dyDescent="0.3">
      <c r="A22" s="112"/>
      <c r="B22" s="9"/>
      <c r="C22" s="16">
        <v>34511</v>
      </c>
      <c r="D22" s="83" t="s">
        <v>112</v>
      </c>
      <c r="E22" s="83" t="s">
        <v>88</v>
      </c>
      <c r="F22" s="83">
        <v>0</v>
      </c>
      <c r="G22" s="83">
        <v>2</v>
      </c>
      <c r="H22" s="9"/>
      <c r="I22" s="12" t="s">
        <v>116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117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20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112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18</v>
      </c>
    </row>
    <row r="26" spans="1:27" x14ac:dyDescent="0.3">
      <c r="A26" s="112" t="s">
        <v>90</v>
      </c>
      <c r="B26" s="30" t="s">
        <v>87</v>
      </c>
      <c r="C26" s="31">
        <f>COUNTIF($S$12:$T$17,"Rumänien")</f>
        <v>3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5</v>
      </c>
      <c r="H26" s="32">
        <f t="shared" ref="H26:H29" si="6">SUMPRODUCT(($S$12:$S$17=B26)*($V$12:$V$17))+SUMPRODUCT(($T$12:$T$17=B26)*($U$12:$U$17))</f>
        <v>5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19"/>
      <c r="Y26" s="20"/>
      <c r="AA26" t="s">
        <v>78</v>
      </c>
    </row>
    <row r="27" spans="1:27" x14ac:dyDescent="0.3">
      <c r="A27" s="112"/>
      <c r="B27" s="36" t="s">
        <v>112</v>
      </c>
      <c r="C27" s="9">
        <f>COUNTIF($S$12:$T$17,"Schweiz")</f>
        <v>3</v>
      </c>
      <c r="D27" s="37">
        <f t="shared" si="2"/>
        <v>1</v>
      </c>
      <c r="E27" s="37">
        <f t="shared" si="3"/>
        <v>1</v>
      </c>
      <c r="F27" s="37">
        <f t="shared" si="4"/>
        <v>1</v>
      </c>
      <c r="G27" s="37">
        <f t="shared" si="5"/>
        <v>5</v>
      </c>
      <c r="H27" s="37">
        <f t="shared" si="6"/>
        <v>4</v>
      </c>
      <c r="I27" s="39">
        <f t="shared" ref="I27:I29" si="7">(D27*3)+E27</f>
        <v>4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85</v>
      </c>
    </row>
    <row r="28" spans="1:27" x14ac:dyDescent="0.3">
      <c r="A28" s="112"/>
      <c r="B28" s="51" t="s">
        <v>78</v>
      </c>
      <c r="C28" s="9">
        <f>COUNTIF($S$12:$T$17,"USA")</f>
        <v>3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3</v>
      </c>
      <c r="H28" s="37">
        <f t="shared" si="6"/>
        <v>3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9"/>
      <c r="Y28" s="10"/>
      <c r="AA28" t="s">
        <v>119</v>
      </c>
    </row>
    <row r="29" spans="1:27" ht="15" thickBot="1" x14ac:dyDescent="0.35">
      <c r="A29" s="112"/>
      <c r="B29" s="50" t="s">
        <v>88</v>
      </c>
      <c r="C29" s="23">
        <f>COUNTIF($S$12:$T$17,"Kolumbien")</f>
        <v>3</v>
      </c>
      <c r="D29" s="42">
        <f t="shared" si="2"/>
        <v>1</v>
      </c>
      <c r="E29" s="42">
        <f t="shared" si="3"/>
        <v>0</v>
      </c>
      <c r="F29" s="42">
        <f t="shared" si="4"/>
        <v>2</v>
      </c>
      <c r="G29" s="42">
        <f t="shared" si="5"/>
        <v>4</v>
      </c>
      <c r="H29" s="42">
        <f t="shared" si="6"/>
        <v>5</v>
      </c>
      <c r="I29" s="44">
        <f t="shared" si="7"/>
        <v>3</v>
      </c>
      <c r="J29" s="12"/>
      <c r="K29" s="13"/>
      <c r="S29" s="8"/>
      <c r="T29" s="9"/>
      <c r="U29" s="9"/>
      <c r="V29" s="9"/>
      <c r="W29" s="9"/>
      <c r="X29" s="19"/>
      <c r="Y29" s="20"/>
      <c r="AA29" t="s">
        <v>120</v>
      </c>
    </row>
    <row r="30" spans="1:27" ht="15" thickBot="1" x14ac:dyDescent="0.35">
      <c r="A30" s="117"/>
      <c r="B30" s="53"/>
      <c r="C30" s="53"/>
      <c r="D30" s="53"/>
      <c r="E30" s="53"/>
      <c r="F30" s="53"/>
      <c r="G30" s="54"/>
      <c r="H30" s="54"/>
      <c r="I30" s="54"/>
      <c r="J30" s="54"/>
      <c r="K30" s="45"/>
      <c r="S30" s="8"/>
      <c r="T30" s="9"/>
      <c r="U30" s="9"/>
      <c r="V30" s="9"/>
      <c r="W30" s="9"/>
      <c r="X30" s="19"/>
      <c r="Y30" s="20"/>
      <c r="AA30" t="s">
        <v>88</v>
      </c>
    </row>
    <row r="31" spans="1:27" ht="15" thickTop="1" x14ac:dyDescent="0.3">
      <c r="A31" s="112"/>
      <c r="B31" s="9"/>
      <c r="C31" s="9"/>
      <c r="D31" s="9"/>
      <c r="E31" s="9"/>
      <c r="F31" s="9"/>
      <c r="G31" s="12"/>
      <c r="H31" s="12"/>
      <c r="I31" s="12"/>
      <c r="J31" s="12"/>
      <c r="K31" s="13"/>
      <c r="S31" s="8"/>
      <c r="T31" s="9"/>
      <c r="U31" s="9"/>
      <c r="V31" s="9"/>
      <c r="W31" s="9"/>
      <c r="X31" s="19"/>
      <c r="Y31" s="20"/>
      <c r="AA31" t="s">
        <v>10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84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121</v>
      </c>
    </row>
    <row r="34" spans="1:27" x14ac:dyDescent="0.3">
      <c r="A34" s="112"/>
      <c r="B34" s="9"/>
      <c r="C34" s="16">
        <v>34504</v>
      </c>
      <c r="D34" s="83" t="s">
        <v>84</v>
      </c>
      <c r="E34" s="83" t="s">
        <v>92</v>
      </c>
      <c r="F34" s="83">
        <v>2</v>
      </c>
      <c r="G34" s="83">
        <v>2</v>
      </c>
      <c r="H34" s="9"/>
      <c r="I34" s="12" t="s">
        <v>114</v>
      </c>
      <c r="J34" s="12"/>
      <c r="K34" s="13"/>
      <c r="S34" s="8" t="s">
        <v>84</v>
      </c>
      <c r="T34" s="9" t="s">
        <v>92</v>
      </c>
      <c r="U34" s="9">
        <v>2</v>
      </c>
      <c r="V34" s="9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26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16</v>
      </c>
      <c r="T35" s="9" t="s">
        <v>120</v>
      </c>
      <c r="U35" s="9">
        <v>2</v>
      </c>
      <c r="V35" s="9">
        <v>0</v>
      </c>
      <c r="X35" s="19">
        <f t="shared" si="8"/>
        <v>3</v>
      </c>
      <c r="Y35" s="20">
        <f t="shared" si="9"/>
        <v>2</v>
      </c>
      <c r="AA35" t="s">
        <v>122</v>
      </c>
    </row>
    <row r="36" spans="1:27" x14ac:dyDescent="0.3">
      <c r="A36" s="112"/>
      <c r="B36" s="9"/>
      <c r="C36" s="16">
        <v>34505</v>
      </c>
      <c r="D36" s="83" t="s">
        <v>16</v>
      </c>
      <c r="E36" s="83" t="s">
        <v>120</v>
      </c>
      <c r="F36" s="83">
        <v>2</v>
      </c>
      <c r="G36" s="83">
        <v>0</v>
      </c>
      <c r="H36" s="9"/>
      <c r="I36" s="12" t="s">
        <v>116</v>
      </c>
      <c r="J36" s="12"/>
      <c r="K36" s="13"/>
      <c r="S36" s="8" t="s">
        <v>16</v>
      </c>
      <c r="T36" s="9" t="s">
        <v>84</v>
      </c>
      <c r="U36" s="9">
        <v>3</v>
      </c>
      <c r="V36" s="9">
        <v>0</v>
      </c>
      <c r="X36" s="19">
        <f t="shared" si="8"/>
        <v>3</v>
      </c>
      <c r="Y36" s="20">
        <f t="shared" si="9"/>
        <v>2</v>
      </c>
    </row>
    <row r="37" spans="1:27" ht="15" thickBot="1" x14ac:dyDescent="0.35">
      <c r="A37" s="112"/>
      <c r="B37" s="9"/>
      <c r="C37" s="21"/>
      <c r="D37" s="89"/>
      <c r="E37" s="89"/>
      <c r="F37" s="89" t="s">
        <v>19</v>
      </c>
      <c r="G37" s="89" t="s">
        <v>15</v>
      </c>
      <c r="H37" s="23"/>
      <c r="I37" s="28"/>
      <c r="J37" s="12"/>
      <c r="K37" s="13"/>
      <c r="S37" s="8" t="s">
        <v>92</v>
      </c>
      <c r="T37" s="9" t="s">
        <v>120</v>
      </c>
      <c r="U37" s="9">
        <v>3</v>
      </c>
      <c r="V37" s="9">
        <v>1</v>
      </c>
      <c r="X37" s="19">
        <f t="shared" si="8"/>
        <v>3</v>
      </c>
      <c r="Y37" s="20">
        <f t="shared" si="9"/>
        <v>2</v>
      </c>
    </row>
    <row r="38" spans="1:27" x14ac:dyDescent="0.3">
      <c r="A38" s="112"/>
      <c r="B38" s="9"/>
      <c r="C38" s="16">
        <v>34509</v>
      </c>
      <c r="D38" s="83" t="s">
        <v>16</v>
      </c>
      <c r="E38" s="83" t="s">
        <v>84</v>
      </c>
      <c r="F38" s="83">
        <v>3</v>
      </c>
      <c r="G38" s="83">
        <v>0</v>
      </c>
      <c r="H38" s="9"/>
      <c r="I38" s="12" t="s">
        <v>116</v>
      </c>
      <c r="J38" s="12"/>
      <c r="K38" s="13"/>
      <c r="S38" s="8" t="s">
        <v>120</v>
      </c>
      <c r="T38" s="9" t="s">
        <v>84</v>
      </c>
      <c r="U38" s="9">
        <v>6</v>
      </c>
      <c r="V38" s="9">
        <v>1</v>
      </c>
      <c r="X38" s="19">
        <f t="shared" si="8"/>
        <v>3</v>
      </c>
      <c r="Y38" s="20">
        <f t="shared" si="9"/>
        <v>2</v>
      </c>
    </row>
    <row r="39" spans="1:27" ht="15" thickBot="1" x14ac:dyDescent="0.35">
      <c r="A39" s="112"/>
      <c r="B39" s="9"/>
      <c r="C39" s="21"/>
      <c r="D39" s="89"/>
      <c r="E39" s="89"/>
      <c r="F39" s="89" t="s">
        <v>19</v>
      </c>
      <c r="G39" s="89" t="s">
        <v>15</v>
      </c>
      <c r="H39" s="23"/>
      <c r="I39" s="28"/>
      <c r="J39" s="12"/>
      <c r="K39" s="13"/>
      <c r="S39" s="8" t="s">
        <v>16</v>
      </c>
      <c r="T39" s="9" t="s">
        <v>92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</row>
    <row r="40" spans="1:27" x14ac:dyDescent="0.3">
      <c r="A40" s="112"/>
      <c r="B40" s="9"/>
      <c r="C40" s="16">
        <v>34509</v>
      </c>
      <c r="D40" s="83" t="s">
        <v>92</v>
      </c>
      <c r="E40" s="83" t="s">
        <v>120</v>
      </c>
      <c r="F40" s="83">
        <v>3</v>
      </c>
      <c r="G40" s="83">
        <v>1</v>
      </c>
      <c r="H40" s="9"/>
      <c r="I40" s="12" t="s">
        <v>113</v>
      </c>
      <c r="J40" s="12"/>
      <c r="K40" s="13"/>
      <c r="S40" s="8"/>
      <c r="T40" s="9"/>
      <c r="U40" s="9"/>
      <c r="V40" s="9"/>
      <c r="X40" s="19"/>
      <c r="Y40" s="20"/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9</v>
      </c>
      <c r="H41" s="23"/>
      <c r="I41" s="28"/>
      <c r="J41" s="12"/>
      <c r="K41" s="13"/>
      <c r="S41" s="8"/>
      <c r="T41" s="9"/>
      <c r="U41" s="9"/>
      <c r="V41" s="9"/>
      <c r="X41" s="19"/>
      <c r="Y41" s="20"/>
    </row>
    <row r="42" spans="1:27" x14ac:dyDescent="0.3">
      <c r="A42" s="112"/>
      <c r="B42" s="9"/>
      <c r="C42" s="16">
        <v>34513</v>
      </c>
      <c r="D42" s="37" t="s">
        <v>120</v>
      </c>
      <c r="E42" s="37" t="s">
        <v>84</v>
      </c>
      <c r="F42" s="37">
        <v>6</v>
      </c>
      <c r="G42" s="37">
        <v>1</v>
      </c>
      <c r="H42" s="17"/>
      <c r="I42" s="12" t="s">
        <v>116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2"/>
      <c r="B43" s="9"/>
      <c r="C43" s="21"/>
      <c r="D43" s="42"/>
      <c r="E43" s="42"/>
      <c r="F43" s="42" t="s">
        <v>50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W43" s="9"/>
      <c r="X43" s="19"/>
      <c r="Y43" s="20"/>
    </row>
    <row r="44" spans="1:27" x14ac:dyDescent="0.3">
      <c r="A44" s="112"/>
      <c r="B44" s="9"/>
      <c r="C44" s="16">
        <v>34513</v>
      </c>
      <c r="D44" s="37" t="s">
        <v>16</v>
      </c>
      <c r="E44" s="37" t="s">
        <v>92</v>
      </c>
      <c r="F44" s="37">
        <v>1</v>
      </c>
      <c r="G44" s="37">
        <v>1</v>
      </c>
      <c r="H44" s="17"/>
      <c r="I44" s="12" t="s">
        <v>113</v>
      </c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8</v>
      </c>
      <c r="G45" s="37" t="s">
        <v>9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 t="s">
        <v>90</v>
      </c>
      <c r="B48" s="30" t="s">
        <v>16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4">
        <v>7</v>
      </c>
      <c r="J48" s="38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92</v>
      </c>
      <c r="C49" s="17"/>
      <c r="D49" s="17"/>
      <c r="E49" s="17"/>
      <c r="F49" s="17"/>
      <c r="G49" s="38"/>
      <c r="H49" s="38"/>
      <c r="I49" s="39"/>
      <c r="J49" s="38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120</v>
      </c>
      <c r="C50" s="9"/>
      <c r="D50" s="9"/>
      <c r="E50" s="9"/>
      <c r="F50" s="9"/>
      <c r="G50" s="12"/>
      <c r="H50" s="12"/>
      <c r="I50" s="104"/>
      <c r="J50" s="12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84</v>
      </c>
      <c r="C51" s="23"/>
      <c r="D51" s="23"/>
      <c r="E51" s="23"/>
      <c r="F51" s="23"/>
      <c r="G51" s="28"/>
      <c r="H51" s="28"/>
      <c r="I51" s="105"/>
      <c r="J51" s="12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7"/>
      <c r="B52" s="53"/>
      <c r="C52" s="53"/>
      <c r="D52" s="53"/>
      <c r="E52" s="53"/>
      <c r="F52" s="53"/>
      <c r="G52" s="54"/>
      <c r="H52" s="54"/>
      <c r="I52" s="54"/>
      <c r="J52" s="54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2"/>
      <c r="B53" s="9"/>
      <c r="C53" s="9"/>
      <c r="D53" s="9"/>
      <c r="E53" s="9"/>
      <c r="F53" s="9"/>
      <c r="G53" s="12"/>
      <c r="H53" s="12"/>
      <c r="I53" s="12"/>
      <c r="J53" s="12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46"/>
      <c r="T55" s="17"/>
      <c r="U55" s="17"/>
      <c r="V55" s="17"/>
      <c r="W55" s="17"/>
      <c r="X55" s="19"/>
      <c r="Y55" s="20"/>
    </row>
    <row r="56" spans="1:25" x14ac:dyDescent="0.3">
      <c r="A56" s="112"/>
      <c r="B56" s="9"/>
      <c r="C56" s="16">
        <v>34502</v>
      </c>
      <c r="D56" s="83" t="s">
        <v>13</v>
      </c>
      <c r="E56" s="83" t="s">
        <v>121</v>
      </c>
      <c r="F56" s="83">
        <v>1</v>
      </c>
      <c r="G56" s="84">
        <v>0</v>
      </c>
      <c r="H56" s="12"/>
      <c r="I56" s="12" t="s">
        <v>123</v>
      </c>
      <c r="J56" s="12"/>
      <c r="K56" s="13"/>
      <c r="S56" s="46" t="s">
        <v>13</v>
      </c>
      <c r="T56" s="17" t="s">
        <v>121</v>
      </c>
      <c r="U56" s="17">
        <v>1</v>
      </c>
      <c r="V56" s="17">
        <v>0</v>
      </c>
      <c r="W56" s="17"/>
      <c r="X56" s="19">
        <f t="shared" ref="X56:X61" si="10">(IF(U56&gt;V56,3,IF(U56=V56,1,2)))</f>
        <v>3</v>
      </c>
      <c r="Y56" s="20">
        <f t="shared" ref="Y56:Y61" si="11">(IF(V56&gt;U56,3,IF(U56=V56,1,2)))</f>
        <v>2</v>
      </c>
    </row>
    <row r="57" spans="1:25" x14ac:dyDescent="0.3">
      <c r="A57" s="112"/>
      <c r="B57" s="9"/>
      <c r="C57" s="16"/>
      <c r="D57" s="83"/>
      <c r="E57" s="83"/>
      <c r="F57" s="83" t="s">
        <v>8</v>
      </c>
      <c r="G57" s="84" t="s">
        <v>15</v>
      </c>
      <c r="H57" s="12"/>
      <c r="I57" s="12"/>
      <c r="J57" s="12"/>
      <c r="K57" s="13"/>
      <c r="S57" s="46" t="s">
        <v>22</v>
      </c>
      <c r="T57" s="17" t="s">
        <v>10</v>
      </c>
      <c r="U57" s="17">
        <v>2</v>
      </c>
      <c r="V57" s="17">
        <v>2</v>
      </c>
      <c r="W57" s="17"/>
      <c r="X57" s="19">
        <f t="shared" si="10"/>
        <v>1</v>
      </c>
      <c r="Y57" s="20">
        <f t="shared" si="11"/>
        <v>1</v>
      </c>
    </row>
    <row r="58" spans="1:25" x14ac:dyDescent="0.3">
      <c r="A58" s="112"/>
      <c r="B58" s="9"/>
      <c r="C58" s="16">
        <v>34502</v>
      </c>
      <c r="D58" s="83" t="s">
        <v>22</v>
      </c>
      <c r="E58" s="83" t="s">
        <v>10</v>
      </c>
      <c r="F58" s="83">
        <v>2</v>
      </c>
      <c r="G58" s="84">
        <v>2</v>
      </c>
      <c r="H58" s="12"/>
      <c r="I58" s="12" t="s">
        <v>124</v>
      </c>
      <c r="J58" s="12"/>
      <c r="K58" s="13"/>
      <c r="S58" s="46" t="s">
        <v>13</v>
      </c>
      <c r="T58" s="17" t="s">
        <v>22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x14ac:dyDescent="0.3">
      <c r="A59" s="112"/>
      <c r="B59" s="9"/>
      <c r="C59" s="16"/>
      <c r="D59" s="83"/>
      <c r="E59" s="83"/>
      <c r="F59" s="83" t="s">
        <v>8</v>
      </c>
      <c r="G59" s="84" t="s">
        <v>15</v>
      </c>
      <c r="H59" s="12"/>
      <c r="I59" s="12"/>
      <c r="J59" s="12"/>
      <c r="K59" s="13"/>
      <c r="S59" s="46" t="s">
        <v>10</v>
      </c>
      <c r="T59" s="17" t="s">
        <v>121</v>
      </c>
      <c r="U59" s="17">
        <v>0</v>
      </c>
      <c r="V59" s="17">
        <v>0</v>
      </c>
      <c r="W59" s="17"/>
      <c r="X59" s="19">
        <f t="shared" si="10"/>
        <v>1</v>
      </c>
      <c r="Y59" s="20">
        <f t="shared" si="11"/>
        <v>1</v>
      </c>
    </row>
    <row r="60" spans="1:25" x14ac:dyDescent="0.3">
      <c r="A60" s="112"/>
      <c r="B60" s="9"/>
      <c r="C60" s="16">
        <v>34506</v>
      </c>
      <c r="D60" s="83" t="s">
        <v>13</v>
      </c>
      <c r="E60" s="83" t="s">
        <v>22</v>
      </c>
      <c r="F60" s="83">
        <v>1</v>
      </c>
      <c r="G60" s="84">
        <v>1</v>
      </c>
      <c r="H60" s="12"/>
      <c r="I60" s="12" t="s">
        <v>123</v>
      </c>
      <c r="J60" s="12"/>
      <c r="K60" s="13"/>
      <c r="S60" s="46" t="s">
        <v>121</v>
      </c>
      <c r="T60" s="17" t="s">
        <v>22</v>
      </c>
      <c r="U60" s="17">
        <v>1</v>
      </c>
      <c r="V60" s="17">
        <v>3</v>
      </c>
      <c r="W60" s="17"/>
      <c r="X60" s="19">
        <f t="shared" si="10"/>
        <v>2</v>
      </c>
      <c r="Y60" s="20">
        <f t="shared" si="11"/>
        <v>3</v>
      </c>
    </row>
    <row r="61" spans="1:25" x14ac:dyDescent="0.3">
      <c r="A61" s="112"/>
      <c r="B61" s="9"/>
      <c r="C61" s="16"/>
      <c r="D61" s="83"/>
      <c r="E61" s="83"/>
      <c r="F61" s="83" t="s">
        <v>8</v>
      </c>
      <c r="G61" s="84" t="s">
        <v>9</v>
      </c>
      <c r="H61" s="12"/>
      <c r="I61" s="12"/>
      <c r="J61" s="12"/>
      <c r="K61" s="13"/>
      <c r="S61" s="46" t="s">
        <v>13</v>
      </c>
      <c r="T61" s="17" t="s">
        <v>10</v>
      </c>
      <c r="U61" s="17">
        <v>3</v>
      </c>
      <c r="V61" s="17">
        <v>2</v>
      </c>
      <c r="W61" s="17"/>
      <c r="X61" s="19">
        <f t="shared" si="10"/>
        <v>3</v>
      </c>
      <c r="Y61" s="20">
        <f t="shared" si="11"/>
        <v>2</v>
      </c>
    </row>
    <row r="62" spans="1:25" x14ac:dyDescent="0.3">
      <c r="A62" s="112"/>
      <c r="B62" s="9"/>
      <c r="C62" s="16">
        <v>34508</v>
      </c>
      <c r="D62" s="83" t="s">
        <v>10</v>
      </c>
      <c r="E62" s="83" t="s">
        <v>121</v>
      </c>
      <c r="F62" s="83">
        <v>0</v>
      </c>
      <c r="G62" s="84">
        <v>0</v>
      </c>
      <c r="H62" s="12"/>
      <c r="I62" s="12" t="s">
        <v>125</v>
      </c>
      <c r="J62" s="12"/>
      <c r="K62" s="13"/>
      <c r="S62" s="46"/>
      <c r="T62" s="17"/>
      <c r="U62" s="17"/>
      <c r="V62" s="17"/>
      <c r="W62" s="17"/>
      <c r="X62" s="19"/>
      <c r="Y62" s="20"/>
    </row>
    <row r="63" spans="1:25" x14ac:dyDescent="0.3">
      <c r="A63" s="112"/>
      <c r="B63" s="9"/>
      <c r="C63" s="16">
        <v>34512</v>
      </c>
      <c r="D63" s="83" t="s">
        <v>121</v>
      </c>
      <c r="E63" s="83" t="s">
        <v>22</v>
      </c>
      <c r="F63" s="83">
        <v>1</v>
      </c>
      <c r="G63" s="84">
        <v>3</v>
      </c>
      <c r="H63" s="12"/>
      <c r="I63" s="12" t="s">
        <v>123</v>
      </c>
      <c r="J63" s="12"/>
      <c r="K63" s="13"/>
      <c r="S63" s="46"/>
      <c r="T63" s="17"/>
      <c r="U63" s="17"/>
      <c r="V63" s="17"/>
      <c r="W63" s="17"/>
      <c r="X63" s="19"/>
      <c r="Y63" s="20"/>
    </row>
    <row r="64" spans="1:25" x14ac:dyDescent="0.3">
      <c r="A64" s="112"/>
      <c r="B64" s="9"/>
      <c r="C64" s="16"/>
      <c r="D64" s="83"/>
      <c r="E64" s="83"/>
      <c r="F64" s="83" t="s">
        <v>8</v>
      </c>
      <c r="G64" s="84" t="s">
        <v>9</v>
      </c>
      <c r="H64" s="12"/>
      <c r="I64" s="12"/>
      <c r="J64" s="12"/>
      <c r="K64" s="13"/>
      <c r="S64" s="46"/>
      <c r="T64" s="17"/>
      <c r="U64" s="17"/>
      <c r="V64" s="17"/>
      <c r="W64" s="17"/>
      <c r="X64" s="19"/>
      <c r="Y64" s="20"/>
    </row>
    <row r="65" spans="1:25" x14ac:dyDescent="0.3">
      <c r="A65" s="112"/>
      <c r="B65" s="9"/>
      <c r="C65" s="16">
        <v>34512</v>
      </c>
      <c r="D65" s="83" t="s">
        <v>13</v>
      </c>
      <c r="E65" s="83" t="s">
        <v>10</v>
      </c>
      <c r="F65" s="83">
        <v>3</v>
      </c>
      <c r="G65" s="84">
        <v>2</v>
      </c>
      <c r="H65" s="12"/>
      <c r="I65" s="12" t="s">
        <v>124</v>
      </c>
      <c r="J65" s="12"/>
      <c r="K65" s="13"/>
      <c r="S65" s="8"/>
      <c r="T65" s="9"/>
      <c r="U65" s="9"/>
      <c r="V65" s="9"/>
      <c r="W65" s="9"/>
      <c r="X65" s="19"/>
      <c r="Y65" s="20"/>
    </row>
    <row r="66" spans="1:25" x14ac:dyDescent="0.3">
      <c r="A66" s="115"/>
      <c r="B66" s="9"/>
      <c r="C66" s="9"/>
      <c r="D66" s="83"/>
      <c r="E66" s="83"/>
      <c r="F66" s="83" t="s">
        <v>50</v>
      </c>
      <c r="G66" s="84" t="s">
        <v>15</v>
      </c>
      <c r="H66" s="12"/>
      <c r="I66" s="12"/>
      <c r="J66" s="12"/>
      <c r="K66" s="1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5" x14ac:dyDescent="0.3">
      <c r="A68" s="112"/>
      <c r="B68" s="9" t="s">
        <v>62</v>
      </c>
      <c r="C68" s="9" t="s">
        <v>27</v>
      </c>
      <c r="D68" s="9" t="s">
        <v>28</v>
      </c>
      <c r="E68" s="9" t="s">
        <v>29</v>
      </c>
      <c r="F68" s="9" t="s">
        <v>30</v>
      </c>
      <c r="G68" s="12" t="s">
        <v>31</v>
      </c>
      <c r="H68" s="12" t="s">
        <v>32</v>
      </c>
      <c r="I68" s="12" t="s">
        <v>118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2" t="s">
        <v>90</v>
      </c>
      <c r="B69" s="17" t="s">
        <v>13</v>
      </c>
      <c r="C69" s="17">
        <v>3</v>
      </c>
      <c r="D69" s="17">
        <v>2</v>
      </c>
      <c r="E69" s="17">
        <v>1</v>
      </c>
      <c r="F69" s="17">
        <v>0</v>
      </c>
      <c r="G69" s="38">
        <v>5</v>
      </c>
      <c r="H69" s="38">
        <v>3</v>
      </c>
      <c r="I69" s="38">
        <v>7</v>
      </c>
      <c r="J69" s="38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17" t="s">
        <v>22</v>
      </c>
      <c r="C70" s="17"/>
      <c r="D70" s="17"/>
      <c r="E70" s="17"/>
      <c r="F70" s="17"/>
      <c r="G70" s="38"/>
      <c r="H70" s="38"/>
      <c r="I70" s="38"/>
      <c r="J70" s="38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9" t="s">
        <v>10</v>
      </c>
      <c r="C71" s="9"/>
      <c r="D71" s="9"/>
      <c r="E71" s="9"/>
      <c r="F71" s="9"/>
      <c r="G71" s="12"/>
      <c r="H71" s="12"/>
      <c r="I71" s="12"/>
      <c r="J71" s="12"/>
      <c r="K71" s="13"/>
      <c r="S71" s="8"/>
      <c r="T71" s="9"/>
      <c r="U71" s="9"/>
      <c r="V71" s="9"/>
      <c r="W71" s="9"/>
      <c r="X71" s="19"/>
      <c r="Y71" s="20"/>
    </row>
    <row r="72" spans="1:25" x14ac:dyDescent="0.3">
      <c r="A72" s="112"/>
      <c r="B72" s="9" t="s">
        <v>121</v>
      </c>
      <c r="C72" s="9"/>
      <c r="D72" s="9"/>
      <c r="E72" s="9"/>
      <c r="F72" s="9"/>
      <c r="G72" s="12"/>
      <c r="H72" s="12"/>
      <c r="I72" s="12"/>
      <c r="J72" s="12"/>
      <c r="K72" s="13"/>
      <c r="S72" s="8"/>
      <c r="T72" s="9"/>
      <c r="U72" s="9"/>
      <c r="V72" s="9"/>
      <c r="W72" s="9"/>
      <c r="X72" s="19"/>
      <c r="Y72" s="20"/>
    </row>
    <row r="73" spans="1:25" x14ac:dyDescent="0.3">
      <c r="A73" s="112"/>
      <c r="B73" s="9"/>
      <c r="C73" s="9"/>
      <c r="D73" s="9"/>
      <c r="E73" s="9"/>
      <c r="F73" s="9"/>
      <c r="G73" s="12"/>
      <c r="H73" s="12"/>
      <c r="I73" s="12"/>
      <c r="J73" s="12"/>
      <c r="K73" s="13"/>
      <c r="S73" s="8"/>
      <c r="T73" s="9"/>
      <c r="U73" s="9"/>
      <c r="V73" s="9"/>
      <c r="W73" s="9"/>
      <c r="X73" s="19"/>
      <c r="Y73" s="20"/>
    </row>
    <row r="74" spans="1:25" x14ac:dyDescent="0.3">
      <c r="A74" s="112"/>
      <c r="B74" s="9"/>
      <c r="C74" s="9"/>
      <c r="D74" s="9"/>
      <c r="E74" s="9"/>
      <c r="F74" s="9"/>
      <c r="G74" s="12"/>
      <c r="H74" s="12"/>
      <c r="I74" s="12"/>
      <c r="J74" s="12"/>
      <c r="K74" s="13"/>
      <c r="S74" s="8"/>
      <c r="T74" s="9"/>
      <c r="U74" s="9"/>
      <c r="V74" s="9"/>
      <c r="W74" s="9"/>
      <c r="X74" s="19"/>
      <c r="Y74" s="20"/>
    </row>
    <row r="75" spans="1:25" ht="21" x14ac:dyDescent="0.4">
      <c r="A75" s="112"/>
      <c r="B75" s="9"/>
      <c r="C75" s="9"/>
      <c r="D75" s="9"/>
      <c r="E75" s="9"/>
      <c r="F75" s="14" t="s">
        <v>51</v>
      </c>
      <c r="G75" s="12"/>
      <c r="H75" s="12"/>
      <c r="I75" s="12"/>
      <c r="J75" s="12"/>
      <c r="K75" s="13"/>
      <c r="S75" s="8"/>
      <c r="T75" s="9"/>
      <c r="U75" s="9"/>
      <c r="V75" s="9"/>
      <c r="W75" s="9"/>
      <c r="X75" s="19"/>
      <c r="Y75" s="20"/>
    </row>
    <row r="76" spans="1:25" x14ac:dyDescent="0.3">
      <c r="A76" s="112"/>
      <c r="B76" s="9"/>
      <c r="C76" s="9"/>
      <c r="D76" s="9"/>
      <c r="E76" s="9"/>
      <c r="F76" s="15"/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16">
        <v>34506</v>
      </c>
      <c r="D77" s="83" t="s">
        <v>7</v>
      </c>
      <c r="E77" s="83" t="s">
        <v>122</v>
      </c>
      <c r="F77" s="83">
        <v>4</v>
      </c>
      <c r="G77" s="84">
        <v>0</v>
      </c>
      <c r="H77" s="12"/>
      <c r="I77" s="12" t="s">
        <v>125</v>
      </c>
      <c r="J77" s="12"/>
      <c r="K77" s="13"/>
      <c r="S77" s="8" t="s">
        <v>7</v>
      </c>
      <c r="T77" s="9" t="s">
        <v>122</v>
      </c>
      <c r="U77" s="9">
        <v>4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x14ac:dyDescent="0.3">
      <c r="A78" s="112"/>
      <c r="B78" s="9"/>
      <c r="C78" s="16"/>
      <c r="D78" s="83"/>
      <c r="E78" s="83"/>
      <c r="F78" s="83" t="s">
        <v>14</v>
      </c>
      <c r="G78" s="84" t="s">
        <v>15</v>
      </c>
      <c r="H78" s="12"/>
      <c r="I78" s="12"/>
      <c r="J78" s="12"/>
      <c r="K78" s="13"/>
      <c r="S78" s="8" t="s">
        <v>115</v>
      </c>
      <c r="T78" s="9" t="s">
        <v>4</v>
      </c>
      <c r="U78" s="9">
        <v>3</v>
      </c>
      <c r="V78" s="9">
        <v>0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A79" s="112"/>
      <c r="B79" s="9"/>
      <c r="C79" s="16">
        <v>34506</v>
      </c>
      <c r="D79" s="83" t="s">
        <v>115</v>
      </c>
      <c r="E79" s="83" t="s">
        <v>4</v>
      </c>
      <c r="F79" s="83">
        <v>3</v>
      </c>
      <c r="G79" s="84">
        <v>0</v>
      </c>
      <c r="H79" s="12"/>
      <c r="I79" s="12" t="s">
        <v>124</v>
      </c>
      <c r="J79" s="12"/>
      <c r="K79" s="13"/>
      <c r="S79" s="8" t="s">
        <v>7</v>
      </c>
      <c r="T79" s="9" t="s">
        <v>115</v>
      </c>
      <c r="U79" s="9">
        <v>2</v>
      </c>
      <c r="V79" s="9">
        <v>1</v>
      </c>
      <c r="W79" s="9"/>
      <c r="X79" s="19">
        <f t="shared" si="12"/>
        <v>3</v>
      </c>
      <c r="Y79" s="20">
        <f t="shared" si="13"/>
        <v>2</v>
      </c>
    </row>
    <row r="80" spans="1:25" x14ac:dyDescent="0.3">
      <c r="A80" s="112"/>
      <c r="B80" s="9"/>
      <c r="C80" s="16"/>
      <c r="D80" s="83"/>
      <c r="E80" s="83"/>
      <c r="F80" s="83" t="s">
        <v>14</v>
      </c>
      <c r="G80" s="84" t="s">
        <v>15</v>
      </c>
      <c r="H80" s="12"/>
      <c r="I80" s="12"/>
      <c r="J80" s="12"/>
      <c r="K80" s="13"/>
      <c r="S80" s="8" t="s">
        <v>4</v>
      </c>
      <c r="T80" s="9" t="s">
        <v>122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34510</v>
      </c>
      <c r="D81" s="83" t="s">
        <v>7</v>
      </c>
      <c r="E81" s="83" t="s">
        <v>115</v>
      </c>
      <c r="F81" s="83">
        <v>2</v>
      </c>
      <c r="G81" s="84">
        <v>1</v>
      </c>
      <c r="H81" s="12"/>
      <c r="I81" s="12" t="s">
        <v>125</v>
      </c>
      <c r="J81" s="12"/>
      <c r="K81" s="13"/>
      <c r="S81" s="8" t="s">
        <v>122</v>
      </c>
      <c r="T81" s="9" t="s">
        <v>115</v>
      </c>
      <c r="U81" s="9">
        <v>0</v>
      </c>
      <c r="V81" s="9">
        <v>2</v>
      </c>
      <c r="W81" s="9"/>
      <c r="X81" s="19">
        <f t="shared" si="12"/>
        <v>2</v>
      </c>
      <c r="Y81" s="20">
        <f t="shared" si="13"/>
        <v>3</v>
      </c>
    </row>
    <row r="82" spans="1:25" x14ac:dyDescent="0.3">
      <c r="A82" s="112"/>
      <c r="B82" s="9"/>
      <c r="C82" s="16"/>
      <c r="D82" s="83"/>
      <c r="E82" s="83"/>
      <c r="F82" s="83" t="s">
        <v>14</v>
      </c>
      <c r="G82" s="84" t="s">
        <v>9</v>
      </c>
      <c r="H82" s="12"/>
      <c r="I82" s="12"/>
      <c r="J82" s="12"/>
      <c r="K82" s="13"/>
      <c r="S82" s="8" t="s">
        <v>7</v>
      </c>
      <c r="T82" s="9" t="s">
        <v>4</v>
      </c>
      <c r="U82" s="9">
        <v>0</v>
      </c>
      <c r="V82" s="9">
        <v>2</v>
      </c>
      <c r="W82" s="9"/>
      <c r="X82" s="19">
        <f t="shared" si="12"/>
        <v>2</v>
      </c>
      <c r="Y82" s="20">
        <f t="shared" si="13"/>
        <v>3</v>
      </c>
    </row>
    <row r="83" spans="1:25" x14ac:dyDescent="0.3">
      <c r="A83" s="112"/>
      <c r="B83" s="9"/>
      <c r="C83" s="16">
        <v>34511</v>
      </c>
      <c r="D83" s="83" t="s">
        <v>4</v>
      </c>
      <c r="E83" s="83" t="s">
        <v>122</v>
      </c>
      <c r="F83" s="83">
        <v>4</v>
      </c>
      <c r="G83" s="84">
        <v>0</v>
      </c>
      <c r="H83" s="12"/>
      <c r="I83" s="12" t="s">
        <v>123</v>
      </c>
      <c r="J83" s="12"/>
      <c r="K83" s="13"/>
      <c r="S83" s="8"/>
      <c r="T83" s="9"/>
      <c r="U83" s="9"/>
      <c r="V83" s="9"/>
      <c r="W83" s="9"/>
      <c r="X83" s="19"/>
      <c r="Y83" s="20"/>
    </row>
    <row r="84" spans="1:25" x14ac:dyDescent="0.3">
      <c r="A84" s="112"/>
      <c r="B84" s="9"/>
      <c r="C84" s="16"/>
      <c r="D84" s="83"/>
      <c r="E84" s="83"/>
      <c r="F84" s="83" t="s">
        <v>19</v>
      </c>
      <c r="G84" s="84" t="s">
        <v>15</v>
      </c>
      <c r="H84" s="12"/>
      <c r="I84" s="12"/>
      <c r="J84" s="12"/>
      <c r="K84" s="13"/>
      <c r="S84" s="8"/>
      <c r="T84" s="9"/>
      <c r="U84" s="9"/>
      <c r="V84" s="9"/>
      <c r="W84" s="9"/>
      <c r="X84" s="19"/>
      <c r="Y84" s="20"/>
    </row>
    <row r="85" spans="1:25" x14ac:dyDescent="0.3">
      <c r="A85" s="112"/>
      <c r="B85" s="9"/>
      <c r="C85" s="16">
        <v>34515</v>
      </c>
      <c r="D85" s="83" t="s">
        <v>122</v>
      </c>
      <c r="E85" s="83" t="s">
        <v>115</v>
      </c>
      <c r="F85" s="83">
        <v>0</v>
      </c>
      <c r="G85" s="84">
        <v>2</v>
      </c>
      <c r="H85" s="12"/>
      <c r="I85" s="12" t="s">
        <v>125</v>
      </c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2"/>
      <c r="B86" s="9"/>
      <c r="C86" s="16"/>
      <c r="D86" s="83"/>
      <c r="E86" s="83"/>
      <c r="F86" s="83" t="s">
        <v>8</v>
      </c>
      <c r="G86" s="84" t="s">
        <v>9</v>
      </c>
      <c r="H86" s="12"/>
      <c r="I86" s="12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2"/>
      <c r="B87" s="17"/>
      <c r="C87" s="16">
        <v>34515</v>
      </c>
      <c r="D87" s="37" t="s">
        <v>7</v>
      </c>
      <c r="E87" s="37" t="s">
        <v>4</v>
      </c>
      <c r="F87" s="83">
        <v>0</v>
      </c>
      <c r="G87" s="84">
        <v>2</v>
      </c>
      <c r="H87" s="12"/>
      <c r="I87" s="12" t="s">
        <v>124</v>
      </c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5"/>
      <c r="B88" s="17"/>
      <c r="C88" s="17"/>
      <c r="D88" s="37"/>
      <c r="E88" s="37"/>
      <c r="F88" s="83" t="s">
        <v>8</v>
      </c>
      <c r="G88" s="84" t="s">
        <v>15</v>
      </c>
      <c r="H88" s="12"/>
      <c r="I88" s="12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5"/>
      <c r="B89" s="17"/>
      <c r="C89" s="17"/>
      <c r="D89" s="17"/>
      <c r="E89" s="17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112"/>
      <c r="B90" s="9" t="s">
        <v>62</v>
      </c>
      <c r="C90" s="9" t="s">
        <v>27</v>
      </c>
      <c r="D90" s="9" t="s">
        <v>28</v>
      </c>
      <c r="E90" s="9" t="s">
        <v>29</v>
      </c>
      <c r="F90" s="9" t="s">
        <v>30</v>
      </c>
      <c r="G90" s="12" t="s">
        <v>31</v>
      </c>
      <c r="H90" s="12" t="s">
        <v>32</v>
      </c>
      <c r="I90" s="12" t="s">
        <v>118</v>
      </c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 t="s">
        <v>90</v>
      </c>
      <c r="B91" s="17" t="s">
        <v>115</v>
      </c>
      <c r="C91" s="17">
        <v>3</v>
      </c>
      <c r="D91" s="17">
        <v>2</v>
      </c>
      <c r="E91" s="17">
        <v>0</v>
      </c>
      <c r="F91" s="17">
        <v>1</v>
      </c>
      <c r="G91" s="38">
        <v>6</v>
      </c>
      <c r="H91" s="38">
        <v>2</v>
      </c>
      <c r="I91" s="38">
        <v>6</v>
      </c>
      <c r="J91" s="38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17" t="s">
        <v>4</v>
      </c>
      <c r="C92" s="17"/>
      <c r="D92" s="17"/>
      <c r="E92" s="17"/>
      <c r="F92" s="17"/>
      <c r="G92" s="38"/>
      <c r="H92" s="38"/>
      <c r="I92" s="38"/>
      <c r="J92" s="38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9" t="s">
        <v>7</v>
      </c>
      <c r="C93" s="9"/>
      <c r="D93" s="9"/>
      <c r="E93" s="9"/>
      <c r="F93" s="9"/>
      <c r="G93" s="12"/>
      <c r="H93" s="12"/>
      <c r="I93" s="12"/>
      <c r="J93" s="12"/>
      <c r="K93" s="13"/>
      <c r="S93" s="8"/>
      <c r="T93" s="9"/>
      <c r="U93" s="9"/>
      <c r="V93" s="9"/>
      <c r="W93" s="9"/>
      <c r="X93" s="9"/>
      <c r="Y93" s="10"/>
    </row>
    <row r="94" spans="1:25" x14ac:dyDescent="0.3">
      <c r="A94" s="112"/>
      <c r="B94" s="9" t="s">
        <v>122</v>
      </c>
      <c r="C94" s="9"/>
      <c r="D94" s="9"/>
      <c r="E94" s="9"/>
      <c r="F94" s="9"/>
      <c r="G94" s="12"/>
      <c r="H94" s="12"/>
      <c r="I94" s="12"/>
      <c r="J94" s="12"/>
      <c r="K94" s="13"/>
      <c r="S94" s="8"/>
      <c r="T94" s="9"/>
      <c r="U94" s="9"/>
      <c r="V94" s="9"/>
      <c r="W94" s="9"/>
      <c r="X94" s="9"/>
      <c r="Y94" s="10"/>
    </row>
    <row r="95" spans="1:25" x14ac:dyDescent="0.3">
      <c r="A95" s="112"/>
      <c r="B95" s="9"/>
      <c r="C95" s="9"/>
      <c r="D95" s="9"/>
      <c r="E95" s="9"/>
      <c r="F95" s="9"/>
      <c r="G95" s="12"/>
      <c r="H95" s="12"/>
      <c r="I95" s="12"/>
      <c r="J95" s="12"/>
      <c r="K95" s="13"/>
      <c r="S95" s="8"/>
      <c r="T95" s="9"/>
      <c r="U95" s="9"/>
      <c r="V95" s="9"/>
      <c r="W95" s="9"/>
      <c r="X95" s="19"/>
      <c r="Y95" s="20"/>
    </row>
    <row r="96" spans="1:25" x14ac:dyDescent="0.3">
      <c r="A96" s="112"/>
      <c r="B96" s="9"/>
      <c r="C96" s="18" t="s">
        <v>126</v>
      </c>
      <c r="D96" s="9"/>
      <c r="E96" s="9"/>
      <c r="F96" s="9"/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x14ac:dyDescent="0.3">
      <c r="A97" s="112"/>
      <c r="B97" s="9"/>
      <c r="C97" s="9"/>
      <c r="D97" s="9"/>
      <c r="E97" s="9"/>
      <c r="F97" s="9"/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9"/>
      <c r="D98" s="9"/>
      <c r="E98" s="9"/>
      <c r="F98" s="9"/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ht="21" x14ac:dyDescent="0.4">
      <c r="A99" s="112"/>
      <c r="B99" s="9"/>
      <c r="C99" s="9"/>
      <c r="D99" s="9"/>
      <c r="E99" s="9"/>
      <c r="F99" s="14" t="s">
        <v>55</v>
      </c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2"/>
      <c r="B100" s="9"/>
      <c r="C100" s="9"/>
      <c r="D100" s="9"/>
      <c r="E100" s="9"/>
      <c r="F100" s="15"/>
      <c r="G100" s="12"/>
      <c r="H100" s="12"/>
      <c r="I100" s="12"/>
      <c r="J100" s="12"/>
      <c r="K100" s="13"/>
      <c r="S100" s="8"/>
      <c r="T100" s="9"/>
      <c r="U100" s="9"/>
      <c r="V100" s="9"/>
      <c r="W100" s="9"/>
      <c r="X100" s="19"/>
      <c r="Y100" s="20"/>
    </row>
    <row r="101" spans="1:25" x14ac:dyDescent="0.3">
      <c r="A101" s="112"/>
      <c r="B101" s="9"/>
      <c r="C101" s="16">
        <v>34503</v>
      </c>
      <c r="D101" s="83" t="s">
        <v>5</v>
      </c>
      <c r="E101" s="83" t="s">
        <v>85</v>
      </c>
      <c r="F101" s="83">
        <v>0</v>
      </c>
      <c r="G101" s="84">
        <v>1</v>
      </c>
      <c r="H101" s="12"/>
      <c r="I101" s="12" t="s">
        <v>127</v>
      </c>
      <c r="J101" s="12"/>
      <c r="K101" s="13"/>
      <c r="S101" s="8" t="s">
        <v>5</v>
      </c>
      <c r="T101" s="9" t="s">
        <v>85</v>
      </c>
      <c r="U101" s="9">
        <v>0</v>
      </c>
      <c r="V101" s="9">
        <v>1</v>
      </c>
      <c r="W101" s="9"/>
      <c r="X101" s="19">
        <f t="shared" ref="X101:X106" si="14">(IF(U101&gt;V101,3,IF(U101=V101,1,2)))</f>
        <v>2</v>
      </c>
      <c r="Y101" s="20">
        <f t="shared" ref="Y101:Y106" si="15">(IF(V101&gt;U101,3,IF(U101=V101,1,2)))</f>
        <v>3</v>
      </c>
    </row>
    <row r="102" spans="1:25" x14ac:dyDescent="0.3">
      <c r="A102" s="112"/>
      <c r="B102" s="9"/>
      <c r="C102" s="16"/>
      <c r="D102" s="83"/>
      <c r="E102" s="83"/>
      <c r="F102" s="83" t="s">
        <v>8</v>
      </c>
      <c r="G102" s="84" t="s">
        <v>9</v>
      </c>
      <c r="H102" s="12"/>
      <c r="I102" s="12"/>
      <c r="J102" s="12"/>
      <c r="K102" s="13"/>
      <c r="S102" s="8" t="s">
        <v>119</v>
      </c>
      <c r="T102" s="9" t="s">
        <v>18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x14ac:dyDescent="0.3">
      <c r="A103" s="112"/>
      <c r="B103" s="9"/>
      <c r="C103" s="16">
        <v>34504</v>
      </c>
      <c r="D103" s="83" t="s">
        <v>119</v>
      </c>
      <c r="E103" s="83" t="s">
        <v>18</v>
      </c>
      <c r="F103" s="83">
        <v>1</v>
      </c>
      <c r="G103" s="84">
        <v>0</v>
      </c>
      <c r="H103" s="12"/>
      <c r="I103" s="12" t="s">
        <v>128</v>
      </c>
      <c r="J103" s="12"/>
      <c r="K103" s="13"/>
      <c r="S103" s="8" t="s">
        <v>5</v>
      </c>
      <c r="T103" s="9" t="s">
        <v>119</v>
      </c>
      <c r="U103" s="9">
        <v>1</v>
      </c>
      <c r="V103" s="9">
        <v>0</v>
      </c>
      <c r="W103" s="9"/>
      <c r="X103" s="19">
        <f t="shared" si="14"/>
        <v>3</v>
      </c>
      <c r="Y103" s="20">
        <f t="shared" si="15"/>
        <v>2</v>
      </c>
    </row>
    <row r="104" spans="1:25" x14ac:dyDescent="0.3">
      <c r="A104" s="112"/>
      <c r="B104" s="9"/>
      <c r="C104" s="16"/>
      <c r="D104" s="83"/>
      <c r="E104" s="83"/>
      <c r="F104" s="83" t="s">
        <v>8</v>
      </c>
      <c r="G104" s="84" t="s">
        <v>15</v>
      </c>
      <c r="H104" s="12"/>
      <c r="I104" s="12"/>
      <c r="J104" s="12"/>
      <c r="K104" s="13"/>
      <c r="S104" s="8" t="s">
        <v>18</v>
      </c>
      <c r="T104" s="9" t="s">
        <v>85</v>
      </c>
      <c r="U104" s="9">
        <v>2</v>
      </c>
      <c r="V104" s="9">
        <v>1</v>
      </c>
      <c r="W104" s="9"/>
      <c r="X104" s="19">
        <f t="shared" si="14"/>
        <v>3</v>
      </c>
      <c r="Y104" s="20">
        <f t="shared" si="15"/>
        <v>2</v>
      </c>
    </row>
    <row r="105" spans="1:25" x14ac:dyDescent="0.3">
      <c r="A105" s="112"/>
      <c r="B105" s="9"/>
      <c r="C105" s="16">
        <v>34508</v>
      </c>
      <c r="D105" s="83" t="s">
        <v>5</v>
      </c>
      <c r="E105" s="83" t="s">
        <v>119</v>
      </c>
      <c r="F105" s="83">
        <v>1</v>
      </c>
      <c r="G105" s="84">
        <v>0</v>
      </c>
      <c r="H105" s="12"/>
      <c r="I105" s="12" t="s">
        <v>127</v>
      </c>
      <c r="J105" s="12"/>
      <c r="K105" s="13"/>
      <c r="S105" s="8" t="s">
        <v>85</v>
      </c>
      <c r="T105" s="9" t="s">
        <v>119</v>
      </c>
      <c r="U105" s="9">
        <v>0</v>
      </c>
      <c r="V105" s="9">
        <v>0</v>
      </c>
      <c r="W105" s="9"/>
      <c r="X105" s="19">
        <f t="shared" si="14"/>
        <v>1</v>
      </c>
      <c r="Y105" s="20">
        <f t="shared" si="15"/>
        <v>1</v>
      </c>
    </row>
    <row r="106" spans="1:25" x14ac:dyDescent="0.3">
      <c r="A106" s="112"/>
      <c r="B106" s="9"/>
      <c r="C106" s="16"/>
      <c r="D106" s="83"/>
      <c r="E106" s="83"/>
      <c r="F106" s="83" t="s">
        <v>8</v>
      </c>
      <c r="G106" s="84" t="s">
        <v>15</v>
      </c>
      <c r="H106" s="12"/>
      <c r="I106" s="12"/>
      <c r="J106" s="12"/>
      <c r="K106" s="13"/>
      <c r="S106" s="8" t="s">
        <v>5</v>
      </c>
      <c r="T106" s="9" t="s">
        <v>18</v>
      </c>
      <c r="U106" s="9">
        <v>1</v>
      </c>
      <c r="V106" s="9">
        <v>1</v>
      </c>
      <c r="W106" s="9"/>
      <c r="X106" s="19">
        <f t="shared" si="14"/>
        <v>1</v>
      </c>
      <c r="Y106" s="20">
        <f t="shared" si="15"/>
        <v>1</v>
      </c>
    </row>
    <row r="107" spans="1:25" x14ac:dyDescent="0.3">
      <c r="A107" s="112"/>
      <c r="B107" s="9"/>
      <c r="C107" s="16">
        <v>34509</v>
      </c>
      <c r="D107" s="83" t="s">
        <v>18</v>
      </c>
      <c r="E107" s="83" t="s">
        <v>85</v>
      </c>
      <c r="F107" s="83">
        <v>2</v>
      </c>
      <c r="G107" s="84">
        <v>1</v>
      </c>
      <c r="H107" s="12"/>
      <c r="I107" s="12" t="s">
        <v>129</v>
      </c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2"/>
      <c r="B108" s="9"/>
      <c r="C108" s="16"/>
      <c r="D108" s="83"/>
      <c r="E108" s="83"/>
      <c r="F108" s="83" t="s">
        <v>19</v>
      </c>
      <c r="G108" s="84" t="s">
        <v>15</v>
      </c>
      <c r="H108" s="12"/>
      <c r="I108" s="12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2"/>
      <c r="B109" s="9"/>
      <c r="C109" s="16">
        <v>34513</v>
      </c>
      <c r="D109" s="83" t="s">
        <v>85</v>
      </c>
      <c r="E109" s="83" t="s">
        <v>119</v>
      </c>
      <c r="F109" s="83">
        <v>0</v>
      </c>
      <c r="G109" s="84">
        <v>0</v>
      </c>
      <c r="H109" s="12"/>
      <c r="I109" s="12" t="s">
        <v>127</v>
      </c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2"/>
      <c r="B110" s="17"/>
      <c r="C110" s="16">
        <v>34513</v>
      </c>
      <c r="D110" s="37" t="s">
        <v>5</v>
      </c>
      <c r="E110" s="37" t="s">
        <v>18</v>
      </c>
      <c r="F110" s="83">
        <v>1</v>
      </c>
      <c r="G110" s="84">
        <v>1</v>
      </c>
      <c r="H110" s="12"/>
      <c r="I110" s="12" t="s">
        <v>128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5"/>
      <c r="B111" s="17"/>
      <c r="C111" s="17"/>
      <c r="D111" s="37"/>
      <c r="E111" s="37"/>
      <c r="F111" s="83" t="s">
        <v>8</v>
      </c>
      <c r="G111" s="84" t="s">
        <v>15</v>
      </c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5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x14ac:dyDescent="0.3">
      <c r="A113" s="112"/>
      <c r="B113" s="9" t="s">
        <v>62</v>
      </c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118</v>
      </c>
      <c r="J113" s="12"/>
      <c r="K113" s="13"/>
      <c r="S113" s="8"/>
      <c r="T113" s="9"/>
      <c r="U113" s="9"/>
      <c r="V113" s="9"/>
      <c r="W113" s="9"/>
      <c r="X113" s="9"/>
      <c r="Y113" s="10"/>
    </row>
    <row r="114" spans="1:25" x14ac:dyDescent="0.3">
      <c r="A114" s="112" t="s">
        <v>90</v>
      </c>
      <c r="B114" s="17" t="s">
        <v>18</v>
      </c>
      <c r="C114" s="17">
        <v>3</v>
      </c>
      <c r="D114" s="17">
        <v>1</v>
      </c>
      <c r="E114" s="17">
        <v>1</v>
      </c>
      <c r="F114" s="17">
        <v>1</v>
      </c>
      <c r="G114" s="38">
        <v>3</v>
      </c>
      <c r="H114" s="38">
        <v>3</v>
      </c>
      <c r="I114" s="38">
        <v>4</v>
      </c>
      <c r="J114" s="38"/>
      <c r="K114" s="13"/>
      <c r="S114" s="8"/>
      <c r="T114" s="9"/>
      <c r="U114" s="9"/>
      <c r="V114" s="9"/>
      <c r="W114" s="9"/>
      <c r="X114" s="9"/>
      <c r="Y114" s="10"/>
    </row>
    <row r="115" spans="1:25" x14ac:dyDescent="0.3">
      <c r="A115" s="112"/>
      <c r="B115" s="17" t="s">
        <v>85</v>
      </c>
      <c r="C115" s="17"/>
      <c r="D115" s="17"/>
      <c r="E115" s="17"/>
      <c r="F115" s="17"/>
      <c r="G115" s="38"/>
      <c r="H115" s="38"/>
      <c r="I115" s="38"/>
      <c r="J115" s="38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2"/>
      <c r="B116" s="9" t="s">
        <v>5</v>
      </c>
      <c r="C116" s="9"/>
      <c r="D116" s="9"/>
      <c r="E116" s="9"/>
      <c r="F116" s="9"/>
      <c r="G116" s="12"/>
      <c r="H116" s="12"/>
      <c r="I116" s="12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x14ac:dyDescent="0.3">
      <c r="A117" s="112"/>
      <c r="B117" s="9" t="s">
        <v>119</v>
      </c>
      <c r="C117" s="9"/>
      <c r="D117" s="9"/>
      <c r="E117" s="9"/>
      <c r="F117" s="9"/>
      <c r="G117" s="12"/>
      <c r="H117" s="12"/>
      <c r="I117" s="12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9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8" t="s">
        <v>130</v>
      </c>
      <c r="D119" s="9"/>
      <c r="E119" s="9"/>
      <c r="F119" s="9"/>
      <c r="G119" s="12"/>
      <c r="H119" s="12"/>
      <c r="I119" s="12"/>
      <c r="J119" s="12"/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9"/>
      <c r="C120" s="9"/>
      <c r="D120" s="9"/>
      <c r="E120" s="9"/>
      <c r="F120" s="9"/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2"/>
      <c r="B121" s="9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21" x14ac:dyDescent="0.4">
      <c r="A122" s="112"/>
      <c r="B122" s="9"/>
      <c r="C122" s="9"/>
      <c r="D122" s="9"/>
      <c r="E122" s="9"/>
      <c r="F122" s="14" t="s">
        <v>58</v>
      </c>
      <c r="G122" s="12"/>
      <c r="H122" s="12"/>
      <c r="I122" s="12"/>
      <c r="J122" s="12"/>
      <c r="K122" s="13"/>
      <c r="S122" s="8"/>
      <c r="T122" s="9"/>
      <c r="U122" s="9"/>
      <c r="V122" s="9"/>
      <c r="W122" s="9"/>
      <c r="X122" s="19"/>
      <c r="Y122" s="20"/>
    </row>
    <row r="123" spans="1:25" x14ac:dyDescent="0.3">
      <c r="A123" s="112"/>
      <c r="B123" s="9"/>
      <c r="C123" s="9"/>
      <c r="D123" s="9"/>
      <c r="E123" s="9"/>
      <c r="F123" s="15"/>
      <c r="G123" s="12"/>
      <c r="H123" s="12"/>
      <c r="I123" s="12"/>
      <c r="J123" s="12"/>
      <c r="K123" s="13"/>
      <c r="S123" s="8"/>
      <c r="T123" s="9"/>
      <c r="U123" s="9"/>
      <c r="V123" s="9"/>
      <c r="W123" s="9"/>
      <c r="X123" s="19"/>
      <c r="Y123" s="20"/>
    </row>
    <row r="124" spans="1:25" x14ac:dyDescent="0.3">
      <c r="A124" s="112"/>
      <c r="B124" s="9"/>
      <c r="C124" s="16">
        <v>34504</v>
      </c>
      <c r="D124" s="83" t="s">
        <v>20</v>
      </c>
      <c r="E124" s="83" t="s">
        <v>26</v>
      </c>
      <c r="F124" s="83">
        <v>1</v>
      </c>
      <c r="G124" s="84">
        <v>0</v>
      </c>
      <c r="H124" s="12"/>
      <c r="I124" s="12" t="s">
        <v>129</v>
      </c>
      <c r="J124" s="12"/>
      <c r="K124" s="13"/>
      <c r="S124" s="8" t="s">
        <v>20</v>
      </c>
      <c r="T124" s="9" t="s">
        <v>26</v>
      </c>
      <c r="U124" s="9">
        <v>1</v>
      </c>
      <c r="V124" s="9">
        <v>0</v>
      </c>
      <c r="W124" s="9"/>
      <c r="X124" s="19">
        <f t="shared" ref="X124:X129" si="16">(IF(U124&gt;V124,3,IF(U124=V124,1,2)))</f>
        <v>3</v>
      </c>
      <c r="Y124" s="20">
        <f t="shared" ref="Y124:Y129" si="17">(IF(V124&gt;U124,3,IF(U124=V124,1,2)))</f>
        <v>2</v>
      </c>
    </row>
    <row r="125" spans="1:25" x14ac:dyDescent="0.3">
      <c r="A125" s="112"/>
      <c r="B125" s="9"/>
      <c r="C125" s="16"/>
      <c r="D125" s="83"/>
      <c r="E125" s="83"/>
      <c r="F125" s="83" t="s">
        <v>19</v>
      </c>
      <c r="G125" s="84" t="s">
        <v>15</v>
      </c>
      <c r="H125" s="12"/>
      <c r="I125" s="12"/>
      <c r="J125" s="12"/>
      <c r="K125" s="13"/>
      <c r="S125" s="8" t="s">
        <v>89</v>
      </c>
      <c r="T125" s="9" t="s">
        <v>117</v>
      </c>
      <c r="U125" s="9">
        <v>2</v>
      </c>
      <c r="V125" s="9">
        <v>1</v>
      </c>
      <c r="W125" s="9"/>
      <c r="X125" s="19">
        <f t="shared" si="16"/>
        <v>3</v>
      </c>
      <c r="Y125" s="20">
        <f t="shared" si="17"/>
        <v>2</v>
      </c>
    </row>
    <row r="126" spans="1:25" x14ac:dyDescent="0.3">
      <c r="A126" s="112"/>
      <c r="B126" s="9"/>
      <c r="C126" s="16">
        <v>34505</v>
      </c>
      <c r="D126" s="83" t="s">
        <v>89</v>
      </c>
      <c r="E126" s="83" t="s">
        <v>117</v>
      </c>
      <c r="F126" s="83">
        <v>2</v>
      </c>
      <c r="G126" s="84">
        <v>1</v>
      </c>
      <c r="H126" s="12"/>
      <c r="I126" s="12" t="s">
        <v>128</v>
      </c>
      <c r="J126" s="12"/>
      <c r="K126" s="13"/>
      <c r="S126" s="8" t="s">
        <v>20</v>
      </c>
      <c r="T126" s="9" t="s">
        <v>89</v>
      </c>
      <c r="U126" s="9">
        <v>1</v>
      </c>
      <c r="V126" s="9">
        <v>0</v>
      </c>
      <c r="W126" s="9"/>
      <c r="X126" s="19">
        <f t="shared" si="16"/>
        <v>3</v>
      </c>
      <c r="Y126" s="20">
        <f t="shared" si="17"/>
        <v>2</v>
      </c>
    </row>
    <row r="127" spans="1:25" x14ac:dyDescent="0.3">
      <c r="A127" s="112"/>
      <c r="B127" s="9"/>
      <c r="C127" s="16"/>
      <c r="D127" s="83"/>
      <c r="E127" s="83"/>
      <c r="F127" s="83" t="s">
        <v>8</v>
      </c>
      <c r="G127" s="84" t="s">
        <v>9</v>
      </c>
      <c r="H127" s="12"/>
      <c r="I127" s="12"/>
      <c r="J127" s="12"/>
      <c r="K127" s="13"/>
      <c r="S127" s="8" t="s">
        <v>117</v>
      </c>
      <c r="T127" s="9" t="s">
        <v>26</v>
      </c>
      <c r="U127" s="9">
        <v>2</v>
      </c>
      <c r="V127" s="9">
        <v>1</v>
      </c>
      <c r="W127" s="9"/>
      <c r="X127" s="19">
        <f t="shared" si="16"/>
        <v>3</v>
      </c>
      <c r="Y127" s="20">
        <f t="shared" si="17"/>
        <v>2</v>
      </c>
    </row>
    <row r="128" spans="1:25" x14ac:dyDescent="0.3">
      <c r="A128" s="112"/>
      <c r="B128" s="9"/>
      <c r="C128" s="16">
        <v>34510</v>
      </c>
      <c r="D128" s="83" t="s">
        <v>20</v>
      </c>
      <c r="E128" s="83" t="s">
        <v>89</v>
      </c>
      <c r="F128" s="83">
        <v>1</v>
      </c>
      <c r="G128" s="84">
        <v>0</v>
      </c>
      <c r="H128" s="12"/>
      <c r="I128" s="12" t="s">
        <v>129</v>
      </c>
      <c r="J128" s="12"/>
      <c r="K128" s="13"/>
      <c r="S128" s="8" t="s">
        <v>26</v>
      </c>
      <c r="T128" s="9" t="s">
        <v>89</v>
      </c>
      <c r="U128" s="9">
        <v>1</v>
      </c>
      <c r="V128" s="9">
        <v>2</v>
      </c>
      <c r="W128" s="9"/>
      <c r="X128" s="19">
        <f t="shared" si="16"/>
        <v>2</v>
      </c>
      <c r="Y128" s="20">
        <f t="shared" si="17"/>
        <v>3</v>
      </c>
    </row>
    <row r="129" spans="1:25" x14ac:dyDescent="0.3">
      <c r="A129" s="112"/>
      <c r="B129" s="9"/>
      <c r="C129" s="16"/>
      <c r="D129" s="83"/>
      <c r="E129" s="83"/>
      <c r="F129" s="83" t="s">
        <v>8</v>
      </c>
      <c r="G129" s="84" t="s">
        <v>15</v>
      </c>
      <c r="H129" s="12"/>
      <c r="I129" s="12"/>
      <c r="J129" s="12"/>
      <c r="K129" s="13"/>
      <c r="S129" s="8" t="s">
        <v>20</v>
      </c>
      <c r="T129" s="9" t="s">
        <v>117</v>
      </c>
      <c r="U129" s="9">
        <v>0</v>
      </c>
      <c r="V129" s="9">
        <v>1</v>
      </c>
      <c r="W129" s="9"/>
      <c r="X129" s="19">
        <f t="shared" si="16"/>
        <v>2</v>
      </c>
      <c r="Y129" s="20">
        <f t="shared" si="17"/>
        <v>3</v>
      </c>
    </row>
    <row r="130" spans="1:25" x14ac:dyDescent="0.3">
      <c r="A130" s="112"/>
      <c r="B130" s="9"/>
      <c r="C130" s="16">
        <v>34510</v>
      </c>
      <c r="D130" s="83" t="s">
        <v>117</v>
      </c>
      <c r="E130" s="83" t="s">
        <v>26</v>
      </c>
      <c r="F130" s="83">
        <v>2</v>
      </c>
      <c r="G130" s="84">
        <v>1</v>
      </c>
      <c r="H130" s="12"/>
      <c r="I130" s="12" t="s">
        <v>127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2"/>
      <c r="B131" s="9"/>
      <c r="C131" s="16"/>
      <c r="D131" s="83"/>
      <c r="E131" s="83"/>
      <c r="F131" s="83" t="s">
        <v>14</v>
      </c>
      <c r="G131" s="84" t="s">
        <v>9</v>
      </c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x14ac:dyDescent="0.3">
      <c r="A132" s="112"/>
      <c r="B132" s="9"/>
      <c r="C132" s="16">
        <v>34514</v>
      </c>
      <c r="D132" s="83" t="s">
        <v>26</v>
      </c>
      <c r="E132" s="83" t="s">
        <v>89</v>
      </c>
      <c r="F132" s="83">
        <v>1</v>
      </c>
      <c r="G132" s="84">
        <v>2</v>
      </c>
      <c r="H132" s="12"/>
      <c r="I132" s="12" t="s">
        <v>129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x14ac:dyDescent="0.3">
      <c r="A133" s="112"/>
      <c r="B133" s="9"/>
      <c r="C133" s="16"/>
      <c r="D133" s="83"/>
      <c r="E133" s="83"/>
      <c r="F133" s="83" t="s">
        <v>8</v>
      </c>
      <c r="G133" s="84" t="s">
        <v>9</v>
      </c>
      <c r="H133" s="12"/>
      <c r="I133" s="12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34514</v>
      </c>
      <c r="D134" s="37" t="s">
        <v>20</v>
      </c>
      <c r="E134" s="37" t="s">
        <v>117</v>
      </c>
      <c r="F134" s="83">
        <v>0</v>
      </c>
      <c r="G134" s="84">
        <v>1</v>
      </c>
      <c r="H134" s="12"/>
      <c r="I134" s="12" t="s">
        <v>128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37"/>
      <c r="E135" s="37"/>
      <c r="F135" s="83" t="s">
        <v>8</v>
      </c>
      <c r="G135" s="84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120"/>
      <c r="T136" s="57"/>
      <c r="U136" s="57"/>
      <c r="V136" s="57"/>
      <c r="W136" s="57"/>
      <c r="X136" s="57"/>
      <c r="Y136" s="58"/>
    </row>
    <row r="137" spans="1:25" x14ac:dyDescent="0.3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118</v>
      </c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 t="s">
        <v>90</v>
      </c>
      <c r="B138" s="17" t="s">
        <v>89</v>
      </c>
      <c r="C138" s="17">
        <v>3</v>
      </c>
      <c r="D138" s="17">
        <v>2</v>
      </c>
      <c r="E138" s="17">
        <v>0</v>
      </c>
      <c r="F138" s="17">
        <v>1</v>
      </c>
      <c r="G138" s="38">
        <v>4</v>
      </c>
      <c r="H138" s="38">
        <v>3</v>
      </c>
      <c r="I138" s="38">
        <v>6</v>
      </c>
      <c r="J138" s="38"/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17" t="s">
        <v>117</v>
      </c>
      <c r="C139" s="17"/>
      <c r="D139" s="17"/>
      <c r="E139" s="17"/>
      <c r="F139" s="17"/>
      <c r="G139" s="38"/>
      <c r="H139" s="38"/>
      <c r="I139" s="38"/>
      <c r="J139" s="38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9" t="s">
        <v>20</v>
      </c>
      <c r="C140" s="9"/>
      <c r="D140" s="9"/>
      <c r="E140" s="9"/>
      <c r="F140" s="9"/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 t="s">
        <v>26</v>
      </c>
      <c r="C141" s="9"/>
      <c r="D141" s="9"/>
      <c r="E141" s="9"/>
      <c r="F141" s="9"/>
      <c r="G141" s="12"/>
      <c r="H141" s="12"/>
      <c r="I141" s="12"/>
      <c r="J141" s="12"/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9"/>
      <c r="Y142" s="10"/>
    </row>
    <row r="143" spans="1:25" x14ac:dyDescent="0.3">
      <c r="A143" s="112"/>
      <c r="B143" s="9"/>
      <c r="C143" s="18" t="s">
        <v>131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9"/>
      <c r="Y143" s="10"/>
    </row>
    <row r="144" spans="1:25" x14ac:dyDescent="0.3">
      <c r="A144" s="112"/>
      <c r="B144" s="9"/>
      <c r="C144" s="9"/>
      <c r="D144" s="9"/>
      <c r="E144" s="9"/>
      <c r="F144" s="9"/>
      <c r="G144" s="12"/>
      <c r="H144" s="12"/>
      <c r="I144" s="12"/>
      <c r="J144" s="12"/>
      <c r="K144" s="13"/>
      <c r="S144" s="120"/>
      <c r="T144" s="57"/>
      <c r="U144" s="57"/>
      <c r="V144" s="57"/>
      <c r="W144" s="57"/>
      <c r="X144" s="57"/>
      <c r="Y144" s="58"/>
    </row>
    <row r="145" spans="1:25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5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S146" s="8"/>
      <c r="T146" s="9"/>
      <c r="U146" s="9"/>
      <c r="V146" s="9"/>
      <c r="W146" s="9"/>
      <c r="X146" s="19"/>
      <c r="Y146" s="20"/>
    </row>
    <row r="147" spans="1:25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118</v>
      </c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59" t="s">
        <v>7</v>
      </c>
      <c r="C149" s="60">
        <v>3</v>
      </c>
      <c r="D149" s="60">
        <v>2</v>
      </c>
      <c r="E149" s="60">
        <v>0</v>
      </c>
      <c r="F149" s="60">
        <v>1</v>
      </c>
      <c r="G149" s="62">
        <v>6</v>
      </c>
      <c r="H149" s="62">
        <v>3</v>
      </c>
      <c r="I149" s="63">
        <v>6</v>
      </c>
      <c r="J149" s="38"/>
      <c r="K149" s="13"/>
      <c r="S149" s="8"/>
      <c r="T149" s="9"/>
      <c r="U149" s="9"/>
      <c r="V149" s="9"/>
      <c r="W149" s="9"/>
      <c r="X149" s="19"/>
      <c r="Y149" s="20"/>
    </row>
    <row r="150" spans="1:25" x14ac:dyDescent="0.3">
      <c r="A150" s="112"/>
      <c r="B150" s="64" t="s">
        <v>20</v>
      </c>
      <c r="C150" s="65">
        <v>3</v>
      </c>
      <c r="D150" s="65">
        <v>2</v>
      </c>
      <c r="E150" s="65">
        <v>0</v>
      </c>
      <c r="F150" s="65">
        <v>1</v>
      </c>
      <c r="G150" s="67">
        <v>2</v>
      </c>
      <c r="H150" s="67">
        <v>1</v>
      </c>
      <c r="I150" s="68">
        <v>6</v>
      </c>
      <c r="J150" s="38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64" t="s">
        <v>78</v>
      </c>
      <c r="C151" s="65">
        <v>3</v>
      </c>
      <c r="D151" s="65">
        <v>1</v>
      </c>
      <c r="E151" s="65">
        <v>1</v>
      </c>
      <c r="F151" s="65">
        <v>1</v>
      </c>
      <c r="G151" s="67">
        <v>3</v>
      </c>
      <c r="H151" s="67">
        <v>3</v>
      </c>
      <c r="I151" s="68">
        <v>4</v>
      </c>
      <c r="J151" s="38"/>
      <c r="K151" s="13"/>
      <c r="S151" s="46"/>
      <c r="T151" s="17"/>
      <c r="U151" s="17"/>
      <c r="V151" s="17"/>
      <c r="W151" s="17"/>
      <c r="X151" s="19"/>
      <c r="Y151" s="20"/>
    </row>
    <row r="152" spans="1:25" x14ac:dyDescent="0.3">
      <c r="A152" s="112"/>
      <c r="B152" s="64" t="s">
        <v>5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2</v>
      </c>
      <c r="I152" s="68">
        <v>4</v>
      </c>
      <c r="J152" s="38"/>
      <c r="K152" s="13"/>
      <c r="S152" s="8"/>
      <c r="T152" s="9"/>
      <c r="U152" s="9"/>
      <c r="V152" s="9"/>
      <c r="W152" s="9"/>
      <c r="X152" s="9"/>
      <c r="Y152" s="10"/>
    </row>
    <row r="153" spans="1:25" x14ac:dyDescent="0.3">
      <c r="A153" s="112"/>
      <c r="B153" s="36" t="s">
        <v>120</v>
      </c>
      <c r="C153" s="17">
        <v>3</v>
      </c>
      <c r="D153" s="17">
        <v>1</v>
      </c>
      <c r="E153" s="17">
        <v>0</v>
      </c>
      <c r="F153" s="17">
        <v>2</v>
      </c>
      <c r="G153" s="38">
        <v>7</v>
      </c>
      <c r="H153" s="38">
        <v>6</v>
      </c>
      <c r="I153" s="39">
        <v>3</v>
      </c>
      <c r="J153" s="38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41" t="s">
        <v>10</v>
      </c>
      <c r="C154" s="22">
        <v>3</v>
      </c>
      <c r="D154" s="22">
        <v>0</v>
      </c>
      <c r="E154" s="22">
        <v>2</v>
      </c>
      <c r="F154" s="22">
        <v>1</v>
      </c>
      <c r="G154" s="43">
        <v>4</v>
      </c>
      <c r="H154" s="43">
        <v>5</v>
      </c>
      <c r="I154" s="44">
        <v>2</v>
      </c>
      <c r="J154" s="38"/>
      <c r="K154" s="13"/>
      <c r="S154" s="8"/>
      <c r="T154" s="9"/>
      <c r="U154" s="9"/>
      <c r="V154" s="9"/>
      <c r="W154" s="9"/>
      <c r="X154" s="9"/>
      <c r="Y154" s="10"/>
    </row>
    <row r="155" spans="1:25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5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19"/>
      <c r="Y156" s="20"/>
    </row>
    <row r="157" spans="1:25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46"/>
      <c r="T157" s="17"/>
      <c r="U157" s="17"/>
      <c r="V157" s="17"/>
      <c r="W157" s="17"/>
      <c r="X157" s="19"/>
      <c r="Y157" s="20"/>
    </row>
    <row r="158" spans="1:25" x14ac:dyDescent="0.3">
      <c r="A158" s="112"/>
      <c r="B158" s="9"/>
      <c r="C158" s="83"/>
      <c r="D158" s="83"/>
      <c r="E158" s="83"/>
      <c r="F158" s="83"/>
      <c r="G158" s="84"/>
      <c r="H158" s="84"/>
      <c r="I158" s="84"/>
      <c r="J158" s="12"/>
      <c r="K158" s="13"/>
      <c r="S158" s="8"/>
      <c r="T158" s="9"/>
      <c r="U158" s="9"/>
      <c r="V158" s="9"/>
      <c r="W158" s="9"/>
      <c r="X158" s="19"/>
      <c r="Y158" s="20"/>
    </row>
    <row r="159" spans="1:25" x14ac:dyDescent="0.3">
      <c r="A159" s="112"/>
      <c r="B159" s="9"/>
      <c r="C159" s="81">
        <v>34517</v>
      </c>
      <c r="D159" s="114" t="s">
        <v>13</v>
      </c>
      <c r="E159" s="37" t="s">
        <v>20</v>
      </c>
      <c r="F159" s="73">
        <v>3</v>
      </c>
      <c r="G159" s="74">
        <v>2</v>
      </c>
      <c r="H159" s="84"/>
      <c r="I159" s="84" t="s">
        <v>123</v>
      </c>
      <c r="J159" s="12"/>
      <c r="K159" s="13"/>
      <c r="S159" s="8" t="s">
        <v>13</v>
      </c>
      <c r="T159" s="9" t="s">
        <v>20</v>
      </c>
      <c r="U159" s="9">
        <v>3</v>
      </c>
      <c r="V159" s="9">
        <v>2</v>
      </c>
      <c r="W159" s="9"/>
      <c r="X159" s="19">
        <f t="shared" ref="X159:X166" si="18">(IF(U159&gt;V159,3,IF(U159=V159,1,2)))</f>
        <v>3</v>
      </c>
      <c r="Y159" s="20">
        <f t="shared" ref="Y159:Y166" si="19">(IF(V159&gt;U159,3,IF(U159=V159,1,2)))</f>
        <v>2</v>
      </c>
    </row>
    <row r="160" spans="1:25" x14ac:dyDescent="0.3">
      <c r="A160" s="112"/>
      <c r="B160" s="9"/>
      <c r="C160" s="81"/>
      <c r="D160" s="37"/>
      <c r="E160" s="37"/>
      <c r="F160" s="37" t="s">
        <v>50</v>
      </c>
      <c r="G160" s="74" t="s">
        <v>9</v>
      </c>
      <c r="H160" s="84"/>
      <c r="I160" s="84"/>
      <c r="J160" s="12"/>
      <c r="K160" s="13"/>
      <c r="S160" s="46" t="s">
        <v>112</v>
      </c>
      <c r="T160" s="17" t="s">
        <v>22</v>
      </c>
      <c r="U160" s="17">
        <v>0</v>
      </c>
      <c r="V160" s="17">
        <v>3</v>
      </c>
      <c r="W160" s="17"/>
      <c r="X160" s="19">
        <f t="shared" si="18"/>
        <v>2</v>
      </c>
      <c r="Y160" s="20">
        <f t="shared" si="19"/>
        <v>3</v>
      </c>
    </row>
    <row r="161" spans="1:25" x14ac:dyDescent="0.3">
      <c r="A161" s="112"/>
      <c r="B161" s="9"/>
      <c r="C161" s="81">
        <v>34517</v>
      </c>
      <c r="D161" s="37" t="s">
        <v>112</v>
      </c>
      <c r="E161" s="114" t="s">
        <v>22</v>
      </c>
      <c r="F161" s="37">
        <v>0</v>
      </c>
      <c r="G161" s="133">
        <v>3</v>
      </c>
      <c r="H161" s="84"/>
      <c r="I161" s="84" t="s">
        <v>128</v>
      </c>
      <c r="J161" s="12"/>
      <c r="K161" s="13"/>
      <c r="S161" s="8" t="s">
        <v>117</v>
      </c>
      <c r="T161" s="9" t="s">
        <v>92</v>
      </c>
      <c r="U161" s="9">
        <v>1</v>
      </c>
      <c r="V161" s="9">
        <v>3</v>
      </c>
      <c r="W161" s="9"/>
      <c r="X161" s="19">
        <f t="shared" si="18"/>
        <v>2</v>
      </c>
      <c r="Y161" s="20">
        <f t="shared" si="19"/>
        <v>3</v>
      </c>
    </row>
    <row r="162" spans="1:25" x14ac:dyDescent="0.3">
      <c r="A162" s="112"/>
      <c r="B162" s="9"/>
      <c r="C162" s="81"/>
      <c r="D162" s="37"/>
      <c r="E162" s="37"/>
      <c r="F162" s="37" t="s">
        <v>8</v>
      </c>
      <c r="G162" s="74" t="s">
        <v>9</v>
      </c>
      <c r="H162" s="84"/>
      <c r="I162" s="84"/>
      <c r="J162" s="12"/>
      <c r="K162" s="13"/>
      <c r="S162" s="8" t="s">
        <v>87</v>
      </c>
      <c r="T162" s="9" t="s">
        <v>7</v>
      </c>
      <c r="U162" s="9">
        <v>3</v>
      </c>
      <c r="V162" s="9">
        <v>2</v>
      </c>
      <c r="W162" s="9"/>
      <c r="X162" s="19">
        <f t="shared" si="18"/>
        <v>3</v>
      </c>
      <c r="Y162" s="20">
        <f t="shared" si="19"/>
        <v>2</v>
      </c>
    </row>
    <row r="163" spans="1:25" x14ac:dyDescent="0.3">
      <c r="A163" s="112"/>
      <c r="B163" s="103"/>
      <c r="C163" s="81">
        <v>34518</v>
      </c>
      <c r="D163" s="37" t="s">
        <v>117</v>
      </c>
      <c r="E163" s="114" t="s">
        <v>92</v>
      </c>
      <c r="F163" s="37">
        <v>1</v>
      </c>
      <c r="G163" s="133">
        <v>3</v>
      </c>
      <c r="H163" s="84"/>
      <c r="I163" s="84" t="s">
        <v>124</v>
      </c>
      <c r="J163" s="12"/>
      <c r="K163" s="13"/>
      <c r="S163" s="8" t="s">
        <v>89</v>
      </c>
      <c r="T163" s="9" t="s">
        <v>85</v>
      </c>
      <c r="U163" s="9">
        <v>2</v>
      </c>
      <c r="V163" s="9">
        <v>0</v>
      </c>
      <c r="W163" s="9"/>
      <c r="X163" s="9">
        <f t="shared" si="18"/>
        <v>3</v>
      </c>
      <c r="Y163" s="10">
        <f t="shared" si="19"/>
        <v>2</v>
      </c>
    </row>
    <row r="164" spans="1:25" x14ac:dyDescent="0.3">
      <c r="A164" s="112"/>
      <c r="B164" s="103"/>
      <c r="C164" s="81"/>
      <c r="D164" s="37"/>
      <c r="E164" s="37"/>
      <c r="F164" s="37" t="s">
        <v>8</v>
      </c>
      <c r="G164" s="74" t="s">
        <v>9</v>
      </c>
      <c r="H164" s="84"/>
      <c r="I164" s="84"/>
      <c r="J164" s="12"/>
      <c r="K164" s="13"/>
      <c r="S164" s="46" t="s">
        <v>16</v>
      </c>
      <c r="T164" s="17" t="s">
        <v>78</v>
      </c>
      <c r="U164" s="17">
        <v>1</v>
      </c>
      <c r="V164" s="17">
        <v>0</v>
      </c>
      <c r="W164" s="17"/>
      <c r="X164" s="17">
        <f t="shared" si="18"/>
        <v>3</v>
      </c>
      <c r="Y164" s="124">
        <f t="shared" si="19"/>
        <v>2</v>
      </c>
    </row>
    <row r="165" spans="1:25" x14ac:dyDescent="0.3">
      <c r="A165" s="115"/>
      <c r="B165" s="9"/>
      <c r="C165" s="81">
        <v>34518</v>
      </c>
      <c r="D165" s="114" t="s">
        <v>87</v>
      </c>
      <c r="E165" s="37" t="s">
        <v>7</v>
      </c>
      <c r="F165" s="73">
        <v>3</v>
      </c>
      <c r="G165" s="74">
        <v>2</v>
      </c>
      <c r="H165" s="84"/>
      <c r="I165" s="84" t="s">
        <v>114</v>
      </c>
      <c r="J165" s="12"/>
      <c r="K165" s="13"/>
      <c r="S165" s="8" t="s">
        <v>115</v>
      </c>
      <c r="T165" s="9" t="s">
        <v>5</v>
      </c>
      <c r="U165" s="9">
        <v>1</v>
      </c>
      <c r="V165" s="9">
        <v>2</v>
      </c>
      <c r="W165" s="9"/>
      <c r="X165" s="19">
        <f t="shared" si="18"/>
        <v>2</v>
      </c>
      <c r="Y165" s="20">
        <f t="shared" si="19"/>
        <v>3</v>
      </c>
    </row>
    <row r="166" spans="1:25" x14ac:dyDescent="0.3">
      <c r="A166" s="115"/>
      <c r="B166" s="9"/>
      <c r="C166" s="81"/>
      <c r="D166" s="37"/>
      <c r="E166" s="37"/>
      <c r="F166" s="37" t="s">
        <v>14</v>
      </c>
      <c r="G166" s="74" t="s">
        <v>9</v>
      </c>
      <c r="H166" s="84"/>
      <c r="I166" s="84"/>
      <c r="J166" s="12"/>
      <c r="K166" s="13"/>
      <c r="S166" s="46" t="s">
        <v>18</v>
      </c>
      <c r="T166" s="17" t="s">
        <v>4</v>
      </c>
      <c r="U166" s="17">
        <v>2</v>
      </c>
      <c r="V166" s="17">
        <v>4</v>
      </c>
      <c r="W166" s="17"/>
      <c r="X166" s="19">
        <f t="shared" si="18"/>
        <v>2</v>
      </c>
      <c r="Y166" s="20">
        <f t="shared" si="19"/>
        <v>3</v>
      </c>
    </row>
    <row r="167" spans="1:25" x14ac:dyDescent="0.3">
      <c r="A167" s="115"/>
      <c r="B167" s="9"/>
      <c r="C167" s="81">
        <v>34519</v>
      </c>
      <c r="D167" s="114" t="s">
        <v>89</v>
      </c>
      <c r="E167" s="37" t="s">
        <v>85</v>
      </c>
      <c r="F167" s="73">
        <v>2</v>
      </c>
      <c r="G167" s="74">
        <v>0</v>
      </c>
      <c r="H167" s="84"/>
      <c r="I167" s="84" t="s">
        <v>129</v>
      </c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x14ac:dyDescent="0.3">
      <c r="A168" s="115"/>
      <c r="B168" s="9"/>
      <c r="C168" s="81"/>
      <c r="D168" s="37"/>
      <c r="E168" s="37"/>
      <c r="F168" s="37" t="s">
        <v>14</v>
      </c>
      <c r="G168" s="74" t="s">
        <v>15</v>
      </c>
      <c r="H168" s="84"/>
      <c r="I168" s="84"/>
      <c r="J168" s="12"/>
      <c r="K168" s="13"/>
      <c r="S168" s="8"/>
      <c r="T168" s="9"/>
      <c r="U168" s="9"/>
      <c r="V168" s="9"/>
      <c r="W168" s="9"/>
      <c r="X168" s="19"/>
      <c r="Y168" s="20"/>
    </row>
    <row r="169" spans="1:25" x14ac:dyDescent="0.3">
      <c r="A169" s="115"/>
      <c r="B169" s="9"/>
      <c r="C169" s="81">
        <v>34519</v>
      </c>
      <c r="D169" s="114" t="s">
        <v>16</v>
      </c>
      <c r="E169" s="37" t="s">
        <v>78</v>
      </c>
      <c r="F169" s="73">
        <v>1</v>
      </c>
      <c r="G169" s="74">
        <v>0</v>
      </c>
      <c r="H169" s="84"/>
      <c r="I169" s="84" t="s">
        <v>116</v>
      </c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115"/>
      <c r="B170" s="9"/>
      <c r="C170" s="81"/>
      <c r="D170" s="37"/>
      <c r="E170" s="37"/>
      <c r="F170" s="37" t="s">
        <v>8</v>
      </c>
      <c r="G170" s="74" t="s">
        <v>15</v>
      </c>
      <c r="H170" s="84"/>
      <c r="I170" s="84"/>
      <c r="J170" s="12"/>
      <c r="K170" s="13"/>
      <c r="S170" s="46"/>
      <c r="T170" s="17"/>
      <c r="U170" s="17"/>
      <c r="V170" s="17"/>
      <c r="W170" s="17"/>
      <c r="X170" s="17"/>
      <c r="Y170" s="124"/>
    </row>
    <row r="171" spans="1:25" x14ac:dyDescent="0.3">
      <c r="A171" s="115"/>
      <c r="B171" s="9"/>
      <c r="C171" s="81">
        <v>34520</v>
      </c>
      <c r="D171" s="37" t="s">
        <v>115</v>
      </c>
      <c r="E171" s="114" t="s">
        <v>5</v>
      </c>
      <c r="F171" s="37">
        <v>1</v>
      </c>
      <c r="G171" s="133">
        <v>2</v>
      </c>
      <c r="H171" s="84" t="s">
        <v>65</v>
      </c>
      <c r="I171" s="84" t="s">
        <v>125</v>
      </c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81"/>
      <c r="D172" s="37"/>
      <c r="E172" s="37"/>
      <c r="F172" s="37">
        <v>1</v>
      </c>
      <c r="G172" s="74">
        <v>1</v>
      </c>
      <c r="H172" s="84"/>
      <c r="I172" s="84"/>
      <c r="J172" s="12"/>
      <c r="K172" s="13"/>
      <c r="S172" s="8"/>
      <c r="T172" s="9"/>
      <c r="U172" s="9"/>
      <c r="V172" s="9"/>
      <c r="W172" s="9"/>
      <c r="X172" s="9"/>
      <c r="Y172" s="10"/>
    </row>
    <row r="173" spans="1:25" x14ac:dyDescent="0.3">
      <c r="A173" s="115"/>
      <c r="B173" s="9"/>
      <c r="C173" s="81"/>
      <c r="D173" s="37"/>
      <c r="E173" s="37"/>
      <c r="F173" s="37" t="s">
        <v>19</v>
      </c>
      <c r="G173" s="74" t="s">
        <v>15</v>
      </c>
      <c r="H173" s="84"/>
      <c r="I173" s="84"/>
      <c r="J173" s="12"/>
      <c r="K173" s="13"/>
      <c r="S173" s="8"/>
      <c r="T173" s="9"/>
      <c r="U173" s="9"/>
      <c r="V173" s="9"/>
      <c r="W173" s="9"/>
      <c r="X173" s="9"/>
      <c r="Y173" s="10"/>
    </row>
    <row r="174" spans="1:25" x14ac:dyDescent="0.3">
      <c r="A174" s="115"/>
      <c r="B174" s="9"/>
      <c r="C174" s="81">
        <v>34520</v>
      </c>
      <c r="D174" s="37" t="s">
        <v>18</v>
      </c>
      <c r="E174" s="114" t="s">
        <v>4</v>
      </c>
      <c r="F174" s="37">
        <v>1</v>
      </c>
      <c r="G174" s="133">
        <v>3</v>
      </c>
      <c r="H174" s="84" t="s">
        <v>68</v>
      </c>
      <c r="I174" s="84" t="s">
        <v>127</v>
      </c>
      <c r="J174" s="12"/>
      <c r="K174" s="13"/>
      <c r="S174" s="8"/>
      <c r="T174" s="9"/>
      <c r="U174" s="9"/>
      <c r="V174" s="9"/>
      <c r="W174" s="9"/>
      <c r="X174" s="9"/>
      <c r="Y174" s="10"/>
    </row>
    <row r="175" spans="1:25" x14ac:dyDescent="0.3">
      <c r="A175" s="115"/>
      <c r="B175" s="9"/>
      <c r="C175" s="83"/>
      <c r="D175" s="37"/>
      <c r="E175" s="37"/>
      <c r="F175" s="37">
        <v>1</v>
      </c>
      <c r="G175" s="133">
        <v>1</v>
      </c>
      <c r="H175" s="84" t="s">
        <v>65</v>
      </c>
      <c r="I175" s="84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x14ac:dyDescent="0.3">
      <c r="A176" s="115"/>
      <c r="B176" s="9"/>
      <c r="C176" s="83"/>
      <c r="D176" s="83"/>
      <c r="E176" s="83"/>
      <c r="F176" s="9">
        <v>1</v>
      </c>
      <c r="G176" s="12">
        <v>1</v>
      </c>
      <c r="H176" s="84"/>
      <c r="I176" s="84"/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5"/>
      <c r="B177" s="9"/>
      <c r="C177" s="83"/>
      <c r="D177" s="83"/>
      <c r="E177" s="83"/>
      <c r="F177" s="83" t="s">
        <v>19</v>
      </c>
      <c r="G177" s="84" t="s">
        <v>9</v>
      </c>
      <c r="H177" s="84"/>
      <c r="I177" s="84"/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9"/>
      <c r="E178" s="9"/>
      <c r="F178" s="9"/>
      <c r="G178" s="12"/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/>
      <c r="G179" s="12"/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ht="21" x14ac:dyDescent="0.4">
      <c r="A180" s="115"/>
      <c r="B180" s="9"/>
      <c r="C180" s="9"/>
      <c r="D180" s="9"/>
      <c r="E180" s="9"/>
      <c r="F180" s="14" t="s">
        <v>67</v>
      </c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9"/>
      <c r="Y180" s="10"/>
    </row>
    <row r="181" spans="1:25" x14ac:dyDescent="0.3">
      <c r="A181" s="115"/>
      <c r="B181" s="9"/>
      <c r="C181" s="9"/>
      <c r="D181" s="83"/>
      <c r="E181" s="83"/>
      <c r="F181" s="83"/>
      <c r="G181" s="84"/>
      <c r="H181" s="84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x14ac:dyDescent="0.3">
      <c r="A182" s="115"/>
      <c r="B182" s="9"/>
      <c r="C182" s="16">
        <v>34524</v>
      </c>
      <c r="D182" s="113" t="s">
        <v>5</v>
      </c>
      <c r="E182" s="37" t="s">
        <v>22</v>
      </c>
      <c r="F182" s="73">
        <v>2</v>
      </c>
      <c r="G182" s="74">
        <v>1</v>
      </c>
      <c r="H182" s="74"/>
      <c r="I182" s="12" t="s">
        <v>125</v>
      </c>
      <c r="J182" s="12"/>
      <c r="K182" s="13"/>
      <c r="S182" s="8" t="s">
        <v>5</v>
      </c>
      <c r="T182" s="9" t="s">
        <v>22</v>
      </c>
      <c r="U182" s="9">
        <v>2</v>
      </c>
      <c r="V182" s="9">
        <v>1</v>
      </c>
      <c r="W182" s="9"/>
      <c r="X182" s="19">
        <f t="shared" ref="X182:X185" si="20">(IF(U182&gt;V182,3,IF(U182=V182,1,2)))</f>
        <v>3</v>
      </c>
      <c r="Y182" s="20">
        <f t="shared" ref="Y182:Y185" si="21">(IF(V182&gt;U182,3,IF(U182=V182,1,2)))</f>
        <v>2</v>
      </c>
    </row>
    <row r="183" spans="1:25" x14ac:dyDescent="0.3">
      <c r="A183" s="115"/>
      <c r="B183" s="9"/>
      <c r="C183" s="16"/>
      <c r="D183" s="37"/>
      <c r="E183" s="37"/>
      <c r="F183" s="37" t="s">
        <v>19</v>
      </c>
      <c r="G183" s="74" t="s">
        <v>15</v>
      </c>
      <c r="H183" s="74"/>
      <c r="I183" s="12"/>
      <c r="J183" s="12"/>
      <c r="K183" s="13"/>
      <c r="S183" s="8" t="s">
        <v>16</v>
      </c>
      <c r="T183" s="9" t="s">
        <v>89</v>
      </c>
      <c r="U183" s="9">
        <v>3</v>
      </c>
      <c r="V183" s="9">
        <v>2</v>
      </c>
      <c r="W183" s="9"/>
      <c r="X183" s="19">
        <f t="shared" si="20"/>
        <v>3</v>
      </c>
      <c r="Y183" s="20">
        <f t="shared" si="21"/>
        <v>2</v>
      </c>
    </row>
    <row r="184" spans="1:25" x14ac:dyDescent="0.3">
      <c r="A184" s="115"/>
      <c r="B184" s="9"/>
      <c r="C184" s="16">
        <v>34524</v>
      </c>
      <c r="D184" s="114" t="s">
        <v>16</v>
      </c>
      <c r="E184" s="37" t="s">
        <v>89</v>
      </c>
      <c r="F184" s="73">
        <v>3</v>
      </c>
      <c r="G184" s="74">
        <v>2</v>
      </c>
      <c r="H184" s="74"/>
      <c r="I184" s="12" t="s">
        <v>124</v>
      </c>
      <c r="J184" s="12"/>
      <c r="K184" s="13"/>
      <c r="S184" s="8" t="s">
        <v>13</v>
      </c>
      <c r="T184" s="9" t="s">
        <v>4</v>
      </c>
      <c r="U184" s="9">
        <v>1</v>
      </c>
      <c r="V184" s="9">
        <v>2</v>
      </c>
      <c r="W184" s="9"/>
      <c r="X184" s="19">
        <f t="shared" si="20"/>
        <v>2</v>
      </c>
      <c r="Y184" s="20">
        <f t="shared" si="21"/>
        <v>3</v>
      </c>
    </row>
    <row r="185" spans="1:25" x14ac:dyDescent="0.3">
      <c r="A185" s="115"/>
      <c r="B185" s="9"/>
      <c r="C185" s="16"/>
      <c r="D185" s="37"/>
      <c r="E185" s="37"/>
      <c r="F185" s="37" t="s">
        <v>19</v>
      </c>
      <c r="G185" s="74" t="s">
        <v>15</v>
      </c>
      <c r="H185" s="74"/>
      <c r="I185" s="12"/>
      <c r="J185" s="12"/>
      <c r="K185" s="13"/>
      <c r="S185" s="8" t="s">
        <v>87</v>
      </c>
      <c r="T185" s="9" t="s">
        <v>92</v>
      </c>
      <c r="U185" s="9">
        <v>6</v>
      </c>
      <c r="V185" s="9">
        <v>7</v>
      </c>
      <c r="W185" s="9"/>
      <c r="X185" s="19">
        <f t="shared" si="20"/>
        <v>2</v>
      </c>
      <c r="Y185" s="20">
        <f t="shared" si="21"/>
        <v>3</v>
      </c>
    </row>
    <row r="186" spans="1:25" x14ac:dyDescent="0.3">
      <c r="A186" s="115"/>
      <c r="B186" s="9"/>
      <c r="C186" s="16">
        <v>34525</v>
      </c>
      <c r="D186" s="37" t="s">
        <v>13</v>
      </c>
      <c r="E186" s="114" t="s">
        <v>4</v>
      </c>
      <c r="F186" s="37">
        <v>1</v>
      </c>
      <c r="G186" s="133">
        <v>2</v>
      </c>
      <c r="H186" s="74"/>
      <c r="I186" s="12" t="s">
        <v>127</v>
      </c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x14ac:dyDescent="0.3">
      <c r="A187" s="115"/>
      <c r="B187" s="9"/>
      <c r="C187" s="16"/>
      <c r="D187" s="37"/>
      <c r="E187" s="37"/>
      <c r="F187" s="37" t="s">
        <v>8</v>
      </c>
      <c r="G187" s="74" t="s">
        <v>15</v>
      </c>
      <c r="H187" s="74"/>
      <c r="I187" s="12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115"/>
      <c r="B188" s="9"/>
      <c r="C188" s="16">
        <v>34525</v>
      </c>
      <c r="D188" s="37" t="s">
        <v>87</v>
      </c>
      <c r="E188" s="114" t="s">
        <v>92</v>
      </c>
      <c r="F188" s="37">
        <v>4</v>
      </c>
      <c r="G188" s="133">
        <v>5</v>
      </c>
      <c r="H188" s="74" t="s">
        <v>68</v>
      </c>
      <c r="I188" s="12" t="s">
        <v>116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x14ac:dyDescent="0.3">
      <c r="A189" s="115"/>
      <c r="B189" s="9"/>
      <c r="C189" s="9"/>
      <c r="D189" s="37"/>
      <c r="E189" s="37"/>
      <c r="F189" s="37">
        <v>2</v>
      </c>
      <c r="G189" s="133">
        <v>2</v>
      </c>
      <c r="H189" s="74" t="s">
        <v>65</v>
      </c>
      <c r="I189" s="12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9"/>
      <c r="D190" s="37"/>
      <c r="E190" s="37"/>
      <c r="F190" s="37">
        <v>1</v>
      </c>
      <c r="G190" s="74">
        <v>1</v>
      </c>
      <c r="H190" s="74"/>
      <c r="I190" s="12"/>
      <c r="J190" s="12"/>
      <c r="K190" s="13"/>
      <c r="S190" s="8"/>
      <c r="T190" s="9"/>
      <c r="U190" s="9"/>
      <c r="V190" s="9"/>
      <c r="W190" s="9"/>
      <c r="X190" s="9"/>
      <c r="Y190" s="10"/>
    </row>
    <row r="191" spans="1:25" x14ac:dyDescent="0.3">
      <c r="A191" s="115"/>
      <c r="B191" s="9"/>
      <c r="C191" s="9"/>
      <c r="D191" s="37"/>
      <c r="E191" s="37"/>
      <c r="F191" s="37" t="s">
        <v>8</v>
      </c>
      <c r="G191" s="74" t="s">
        <v>15</v>
      </c>
      <c r="H191" s="74"/>
      <c r="I191" s="12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9"/>
      <c r="D192" s="17"/>
      <c r="E192" s="17"/>
      <c r="F192" s="17"/>
      <c r="G192" s="38"/>
      <c r="H192" s="38"/>
      <c r="I192" s="12"/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"/>
      <c r="B193" s="17"/>
      <c r="C193" s="17"/>
      <c r="D193" s="17"/>
      <c r="E193" s="17"/>
      <c r="F193" s="17"/>
      <c r="G193" s="38"/>
      <c r="H193" s="38"/>
      <c r="I193" s="38"/>
      <c r="J193" s="38"/>
      <c r="K193" s="13"/>
      <c r="S193" s="8"/>
      <c r="Y193" s="10"/>
    </row>
    <row r="194" spans="1:25" ht="21" x14ac:dyDescent="0.4">
      <c r="A194" s="11"/>
      <c r="B194" s="17"/>
      <c r="C194" s="17"/>
      <c r="D194" s="17"/>
      <c r="E194" s="17"/>
      <c r="F194" s="126" t="s">
        <v>69</v>
      </c>
      <c r="G194" s="38"/>
      <c r="H194" s="38"/>
      <c r="I194" s="38"/>
      <c r="J194" s="38"/>
      <c r="K194" s="13"/>
      <c r="S194" s="8"/>
      <c r="Y194" s="10"/>
    </row>
    <row r="195" spans="1:25" x14ac:dyDescent="0.3">
      <c r="A195" s="115"/>
      <c r="B195" s="15"/>
      <c r="C195" s="9"/>
      <c r="D195" s="83"/>
      <c r="E195" s="83"/>
      <c r="F195" s="83"/>
      <c r="G195" s="84"/>
      <c r="H195" s="12"/>
      <c r="I195" s="12"/>
      <c r="J195" s="12"/>
      <c r="K195" s="13"/>
      <c r="S195" s="8"/>
      <c r="Y195" s="10"/>
    </row>
    <row r="196" spans="1:25" s="35" customFormat="1" x14ac:dyDescent="0.3">
      <c r="A196" s="127"/>
      <c r="B196" s="57"/>
      <c r="C196" s="128">
        <v>34528</v>
      </c>
      <c r="D196" s="37" t="s">
        <v>4</v>
      </c>
      <c r="E196" s="114" t="s">
        <v>5</v>
      </c>
      <c r="F196" s="37">
        <v>1</v>
      </c>
      <c r="G196" s="73">
        <v>2</v>
      </c>
      <c r="H196" s="17"/>
      <c r="I196" s="38" t="s">
        <v>127</v>
      </c>
      <c r="J196" s="38"/>
      <c r="K196" s="40"/>
      <c r="S196" s="8" t="s">
        <v>4</v>
      </c>
      <c r="T196" s="47" t="s">
        <v>5</v>
      </c>
      <c r="U196" s="47">
        <v>1</v>
      </c>
      <c r="V196" s="47">
        <v>2</v>
      </c>
      <c r="W196" s="47"/>
      <c r="X196" s="19">
        <f t="shared" ref="X196:X197" si="22">(IF(U196&gt;V196,3,IF(U196=V196,1,2)))</f>
        <v>2</v>
      </c>
      <c r="Y196" s="20">
        <f t="shared" ref="Y196:Y197" si="23">(IF(V196&gt;U196,3,IF(U196=V196,1,2)))</f>
        <v>3</v>
      </c>
    </row>
    <row r="197" spans="1:25" s="35" customFormat="1" x14ac:dyDescent="0.3">
      <c r="A197" s="127"/>
      <c r="B197" s="57"/>
      <c r="C197" s="128"/>
      <c r="D197" s="37"/>
      <c r="E197" s="37"/>
      <c r="F197" s="37" t="s">
        <v>19</v>
      </c>
      <c r="G197" s="37" t="s">
        <v>44</v>
      </c>
      <c r="H197" s="17"/>
      <c r="I197" s="38"/>
      <c r="J197" s="38"/>
      <c r="K197" s="40"/>
      <c r="S197" s="8" t="s">
        <v>92</v>
      </c>
      <c r="T197" s="47" t="s">
        <v>16</v>
      </c>
      <c r="U197" s="47">
        <v>0</v>
      </c>
      <c r="V197" s="47">
        <v>1</v>
      </c>
      <c r="W197" s="47"/>
      <c r="X197" s="19">
        <f t="shared" si="22"/>
        <v>2</v>
      </c>
      <c r="Y197" s="20">
        <f t="shared" si="23"/>
        <v>3</v>
      </c>
    </row>
    <row r="198" spans="1:25" s="35" customFormat="1" x14ac:dyDescent="0.3">
      <c r="A198" s="127"/>
      <c r="B198" s="57"/>
      <c r="C198" s="128">
        <v>34528</v>
      </c>
      <c r="D198" s="37" t="s">
        <v>92</v>
      </c>
      <c r="E198" s="114" t="s">
        <v>16</v>
      </c>
      <c r="F198" s="37">
        <v>0</v>
      </c>
      <c r="G198" s="73">
        <v>1</v>
      </c>
      <c r="H198" s="17"/>
      <c r="I198" s="38" t="s">
        <v>114</v>
      </c>
      <c r="J198" s="38"/>
      <c r="K198" s="40"/>
      <c r="S198" s="8"/>
      <c r="T198" s="47"/>
      <c r="U198" s="47"/>
      <c r="V198" s="47"/>
      <c r="W198" s="47"/>
      <c r="X198" s="47"/>
      <c r="Y198" s="10"/>
    </row>
    <row r="199" spans="1:25" x14ac:dyDescent="0.3">
      <c r="A199" s="115"/>
      <c r="B199" s="9"/>
      <c r="C199" s="9"/>
      <c r="D199" s="83"/>
      <c r="E199" s="83"/>
      <c r="F199" s="83" t="s">
        <v>8</v>
      </c>
      <c r="G199" s="84" t="s">
        <v>15</v>
      </c>
      <c r="H199" s="12"/>
      <c r="I199" s="12"/>
      <c r="J199" s="12"/>
      <c r="K199" s="13"/>
      <c r="S199" s="8"/>
      <c r="Y199" s="10"/>
    </row>
    <row r="200" spans="1:25" x14ac:dyDescent="0.3">
      <c r="A200" s="115"/>
      <c r="B200" s="9"/>
      <c r="C200" s="9"/>
      <c r="D200" s="9"/>
      <c r="E200" s="9"/>
      <c r="F200" s="9"/>
      <c r="G200" s="12"/>
      <c r="H200" s="12"/>
      <c r="I200" s="12"/>
      <c r="J200" s="12"/>
      <c r="K200" s="13"/>
      <c r="S200" s="8"/>
      <c r="Y200" s="10"/>
    </row>
    <row r="201" spans="1:25" ht="15" thickBot="1" x14ac:dyDescent="0.35">
      <c r="A201" s="115"/>
      <c r="B201" s="9"/>
      <c r="C201" s="9"/>
      <c r="D201" s="9"/>
      <c r="E201" s="9"/>
      <c r="F201" s="9"/>
      <c r="G201" s="12"/>
      <c r="H201" s="12"/>
      <c r="I201" s="12"/>
      <c r="J201" s="12"/>
      <c r="K201" s="13"/>
      <c r="S201" s="8"/>
      <c r="Y201" s="10"/>
    </row>
    <row r="202" spans="1:25" ht="21" x14ac:dyDescent="0.4">
      <c r="A202" s="115"/>
      <c r="B202" s="9"/>
      <c r="C202" s="196" t="s">
        <v>132</v>
      </c>
      <c r="D202" s="198"/>
      <c r="E202" s="198"/>
      <c r="F202" s="198"/>
      <c r="G202" s="198"/>
      <c r="H202" s="198"/>
      <c r="I202" s="199"/>
      <c r="J202" s="12"/>
      <c r="K202" s="102"/>
      <c r="L202" s="47"/>
      <c r="S202" s="8"/>
      <c r="Y202" s="10"/>
    </row>
    <row r="203" spans="1:25" s="35" customFormat="1" x14ac:dyDescent="0.3">
      <c r="A203" s="29"/>
      <c r="B203" s="17"/>
      <c r="C203" s="36"/>
      <c r="D203" s="17"/>
      <c r="E203" s="114" t="s">
        <v>92</v>
      </c>
      <c r="F203" s="134" t="s">
        <v>106</v>
      </c>
      <c r="G203" s="17" t="s">
        <v>4</v>
      </c>
      <c r="H203" s="38"/>
      <c r="I203" s="39"/>
      <c r="J203" s="38"/>
      <c r="K203" s="98"/>
      <c r="L203" s="99"/>
      <c r="S203" s="8" t="s">
        <v>92</v>
      </c>
      <c r="T203" s="47" t="s">
        <v>4</v>
      </c>
      <c r="U203" s="47">
        <v>4</v>
      </c>
      <c r="V203" s="47">
        <v>0</v>
      </c>
      <c r="W203" s="47"/>
      <c r="X203" s="19">
        <f t="shared" ref="X203" si="24">(IF(U203&gt;V203,3,IF(U203=V203,1,2)))</f>
        <v>3</v>
      </c>
      <c r="Y203" s="20">
        <f t="shared" ref="Y203" si="25">(IF(V203&gt;U203,3,IF(U203=V203,1,2)))</f>
        <v>2</v>
      </c>
    </row>
    <row r="204" spans="1:25" x14ac:dyDescent="0.3">
      <c r="A204" s="115"/>
      <c r="B204" s="9"/>
      <c r="C204" s="51"/>
      <c r="D204" s="9"/>
      <c r="E204" s="82">
        <v>4</v>
      </c>
      <c r="F204" s="83"/>
      <c r="G204" s="9">
        <v>0</v>
      </c>
      <c r="H204" s="12"/>
      <c r="I204" s="104"/>
      <c r="J204" s="12"/>
      <c r="K204" s="102"/>
      <c r="L204" s="47"/>
      <c r="S204" s="8"/>
      <c r="Y204" s="10"/>
    </row>
    <row r="205" spans="1:25" ht="15" thickBot="1" x14ac:dyDescent="0.35">
      <c r="A205" s="115"/>
      <c r="B205" s="9"/>
      <c r="C205" s="50"/>
      <c r="D205" s="23"/>
      <c r="E205" s="23" t="s">
        <v>133</v>
      </c>
      <c r="F205" s="23"/>
      <c r="G205" s="23" t="s">
        <v>15</v>
      </c>
      <c r="H205" s="28"/>
      <c r="I205" s="105"/>
      <c r="J205" s="12"/>
      <c r="K205" s="102"/>
      <c r="L205" s="47"/>
      <c r="S205" s="8"/>
      <c r="Y205" s="10"/>
    </row>
    <row r="206" spans="1:25" x14ac:dyDescent="0.3">
      <c r="A206" s="115"/>
      <c r="B206" s="9"/>
      <c r="C206" s="9"/>
      <c r="D206" s="9"/>
      <c r="E206" s="9"/>
      <c r="F206" s="9"/>
      <c r="G206" s="9"/>
      <c r="H206" s="12"/>
      <c r="I206" s="12"/>
      <c r="J206" s="12"/>
      <c r="K206" s="102"/>
      <c r="L206" s="47"/>
      <c r="S206" s="8"/>
      <c r="Y206" s="10"/>
    </row>
    <row r="207" spans="1:25" x14ac:dyDescent="0.3">
      <c r="A207" s="115"/>
      <c r="B207" s="9"/>
      <c r="C207" s="9"/>
      <c r="D207" s="9"/>
      <c r="E207" s="9"/>
      <c r="F207" s="9"/>
      <c r="G207" s="9"/>
      <c r="H207" s="12"/>
      <c r="I207" s="12"/>
      <c r="J207" s="12"/>
      <c r="K207" s="102"/>
      <c r="L207" s="47"/>
      <c r="S207" s="8"/>
      <c r="Y207" s="10"/>
    </row>
    <row r="208" spans="1:25" x14ac:dyDescent="0.3">
      <c r="A208" s="115"/>
      <c r="B208" s="9"/>
      <c r="C208" s="9"/>
      <c r="D208" s="9"/>
      <c r="E208" s="9"/>
      <c r="F208" s="9"/>
      <c r="G208" s="9"/>
      <c r="H208" s="12"/>
      <c r="I208" s="12"/>
      <c r="J208" s="12"/>
      <c r="K208" s="102"/>
      <c r="L208" s="47"/>
      <c r="S208" s="8"/>
      <c r="Y208" s="10"/>
    </row>
    <row r="209" spans="1:25" ht="15" thickBot="1" x14ac:dyDescent="0.35">
      <c r="A209" s="115"/>
      <c r="B209" s="9"/>
      <c r="C209" s="9"/>
      <c r="D209" s="9"/>
      <c r="E209" s="9"/>
      <c r="F209" s="9"/>
      <c r="G209" s="9"/>
      <c r="H209" s="12"/>
      <c r="I209" s="12"/>
      <c r="J209" s="12"/>
      <c r="K209" s="102"/>
      <c r="L209" s="47"/>
      <c r="S209" s="8"/>
      <c r="Y209" s="10"/>
    </row>
    <row r="210" spans="1:25" ht="21" x14ac:dyDescent="0.4">
      <c r="A210" s="115"/>
      <c r="B210" s="9"/>
      <c r="C210" s="196" t="s">
        <v>107</v>
      </c>
      <c r="D210" s="198"/>
      <c r="E210" s="198"/>
      <c r="F210" s="198"/>
      <c r="G210" s="198"/>
      <c r="H210" s="198"/>
      <c r="I210" s="199"/>
      <c r="J210" s="12"/>
      <c r="K210" s="102"/>
      <c r="L210" s="47"/>
      <c r="S210" s="8"/>
      <c r="Y210" s="10"/>
    </row>
    <row r="211" spans="1:25" s="35" customFormat="1" x14ac:dyDescent="0.3">
      <c r="A211" s="29"/>
      <c r="B211" s="17"/>
      <c r="C211" s="36"/>
      <c r="D211" s="17"/>
      <c r="E211" s="114" t="s">
        <v>16</v>
      </c>
      <c r="F211" s="130" t="s">
        <v>106</v>
      </c>
      <c r="G211" s="74" t="s">
        <v>5</v>
      </c>
      <c r="H211" s="38"/>
      <c r="I211" s="39"/>
      <c r="J211" s="38"/>
      <c r="K211" s="98"/>
      <c r="L211" s="99"/>
      <c r="S211" s="8" t="s">
        <v>16</v>
      </c>
      <c r="T211" s="47" t="s">
        <v>5</v>
      </c>
      <c r="U211" s="47">
        <v>3</v>
      </c>
      <c r="V211" s="47">
        <v>2</v>
      </c>
      <c r="W211" s="47"/>
      <c r="X211" s="19">
        <f t="shared" ref="X211" si="26">(IF(U211&gt;V211,3,IF(U211=V211,1,2)))</f>
        <v>3</v>
      </c>
      <c r="Y211" s="20">
        <f t="shared" ref="Y211" si="27">(IF(V211&gt;U211,3,IF(U211=V211,1,2)))</f>
        <v>2</v>
      </c>
    </row>
    <row r="212" spans="1:25" s="35" customFormat="1" x14ac:dyDescent="0.3">
      <c r="A212" s="29"/>
      <c r="B212" s="17"/>
      <c r="C212" s="36"/>
      <c r="D212" s="17"/>
      <c r="E212" s="25">
        <v>3</v>
      </c>
      <c r="F212" s="130"/>
      <c r="G212" s="74">
        <v>2</v>
      </c>
      <c r="H212" s="38" t="s">
        <v>68</v>
      </c>
      <c r="I212" s="39"/>
      <c r="J212" s="38"/>
      <c r="K212" s="98"/>
      <c r="L212" s="99"/>
      <c r="S212" s="8"/>
      <c r="T212" s="47"/>
      <c r="U212" s="47"/>
      <c r="V212" s="47"/>
      <c r="W212" s="47"/>
      <c r="X212" s="47"/>
      <c r="Y212" s="10"/>
    </row>
    <row r="213" spans="1:25" s="35" customFormat="1" ht="15" thickBot="1" x14ac:dyDescent="0.35">
      <c r="A213" s="29"/>
      <c r="B213" s="17"/>
      <c r="C213" s="36"/>
      <c r="D213" s="17"/>
      <c r="E213" s="25">
        <v>0</v>
      </c>
      <c r="F213" s="130"/>
      <c r="G213" s="74">
        <v>0</v>
      </c>
      <c r="H213" s="38" t="s">
        <v>65</v>
      </c>
      <c r="I213" s="39"/>
      <c r="J213" s="38"/>
      <c r="K213" s="98"/>
      <c r="L213" s="99"/>
      <c r="S213" s="106"/>
      <c r="T213" s="107"/>
      <c r="U213" s="107"/>
      <c r="V213" s="107"/>
      <c r="W213" s="107"/>
      <c r="X213" s="107"/>
      <c r="Y213" s="108"/>
    </row>
    <row r="214" spans="1:25" x14ac:dyDescent="0.3">
      <c r="A214" s="115"/>
      <c r="B214" s="9"/>
      <c r="C214" s="51"/>
      <c r="D214" s="9"/>
      <c r="E214" s="103">
        <v>0</v>
      </c>
      <c r="F214" s="103"/>
      <c r="G214" s="84">
        <v>0</v>
      </c>
      <c r="H214" s="12"/>
      <c r="I214" s="104"/>
      <c r="J214" s="12"/>
      <c r="K214" s="102"/>
      <c r="L214" s="47"/>
    </row>
    <row r="215" spans="1:25" ht="15" thickBot="1" x14ac:dyDescent="0.35">
      <c r="A215" s="115"/>
      <c r="B215" s="9"/>
      <c r="C215" s="50"/>
      <c r="D215" s="23"/>
      <c r="E215" s="23" t="s">
        <v>8</v>
      </c>
      <c r="F215" s="23"/>
      <c r="G215" s="28" t="s">
        <v>15</v>
      </c>
      <c r="H215" s="28"/>
      <c r="I215" s="105"/>
      <c r="J215" s="12"/>
      <c r="K215" s="102"/>
      <c r="L215" s="47"/>
    </row>
    <row r="216" spans="1:25" x14ac:dyDescent="0.3">
      <c r="A216" s="115"/>
      <c r="B216" s="9"/>
      <c r="C216" s="9"/>
      <c r="D216" s="9"/>
      <c r="E216" s="9"/>
      <c r="F216" s="9"/>
      <c r="G216" s="12"/>
      <c r="H216" s="12"/>
      <c r="I216" s="12"/>
      <c r="J216" s="12"/>
      <c r="K216" s="102"/>
      <c r="L216" s="47"/>
    </row>
    <row r="217" spans="1:25" s="35" customFormat="1" x14ac:dyDescent="0.3">
      <c r="A217" s="29"/>
      <c r="B217" s="17"/>
      <c r="C217" s="17"/>
      <c r="D217" s="17"/>
      <c r="E217" s="17"/>
      <c r="F217" s="17"/>
      <c r="G217" s="38"/>
      <c r="H217" s="38"/>
      <c r="I217" s="38"/>
      <c r="J217" s="38"/>
      <c r="K217" s="98"/>
      <c r="L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/>
      <c r="B218" s="17"/>
      <c r="C218" s="17"/>
      <c r="D218" s="17"/>
      <c r="E218" s="17"/>
      <c r="F218" s="17"/>
      <c r="G218" s="38"/>
      <c r="H218" s="38"/>
      <c r="I218" s="38"/>
      <c r="J218" s="38"/>
      <c r="K218" s="40"/>
      <c r="S218" s="47"/>
      <c r="T218" s="47"/>
      <c r="U218" s="47"/>
      <c r="V218" s="47"/>
      <c r="W218" s="47"/>
      <c r="X218" s="47"/>
      <c r="Y218" s="47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40"/>
      <c r="S219" s="47"/>
      <c r="T219" s="47"/>
      <c r="U219" s="47"/>
      <c r="V219" s="47"/>
      <c r="W219" s="47"/>
      <c r="X219" s="47"/>
      <c r="Y219" s="47"/>
    </row>
    <row r="220" spans="1:25" ht="15" thickBot="1" x14ac:dyDescent="0.35">
      <c r="A220" s="112" t="s">
        <v>72</v>
      </c>
      <c r="B220" s="9" t="s">
        <v>62</v>
      </c>
      <c r="C220" s="9" t="s">
        <v>27</v>
      </c>
      <c r="D220" s="9" t="s">
        <v>28</v>
      </c>
      <c r="E220" s="9" t="s">
        <v>29</v>
      </c>
      <c r="F220" s="9" t="s">
        <v>30</v>
      </c>
      <c r="G220" s="12" t="s">
        <v>31</v>
      </c>
      <c r="H220" s="12" t="s">
        <v>32</v>
      </c>
      <c r="I220" s="12" t="s">
        <v>118</v>
      </c>
      <c r="J220" s="12"/>
      <c r="K220" s="102"/>
      <c r="L220" s="47"/>
    </row>
    <row r="221" spans="1:25" s="35" customFormat="1" x14ac:dyDescent="0.3">
      <c r="A221" s="11"/>
      <c r="B221" s="30" t="s">
        <v>16</v>
      </c>
      <c r="C221" s="109">
        <f>COUNTIF($S$12:$T$211,"Brasilien")</f>
        <v>7</v>
      </c>
      <c r="D221" s="32">
        <f t="shared" ref="D221:D244" si="28">SUMPRODUCT(($S$12:$T$211=B221)*($X$12:$Y$211=3))</f>
        <v>6</v>
      </c>
      <c r="E221" s="32">
        <f t="shared" ref="E221:E244" si="29">SUMPRODUCT(($S$12:$T$211=B221)*($X$12:$Y$211=1))</f>
        <v>1</v>
      </c>
      <c r="F221" s="32">
        <f t="shared" ref="F221:F244" si="30">SUMPRODUCT(($S$12:$T$211=B221)*($X$12:$Y$211=2))</f>
        <v>0</v>
      </c>
      <c r="G221" s="32">
        <f t="shared" ref="G221:G244" si="31">SUMPRODUCT(($S$12:$S$211=B221)*($U$12:$U$211))+SUMPRODUCT(($T$12:$T$211=B221)*($V$12:$V$211))</f>
        <v>14</v>
      </c>
      <c r="H221" s="32">
        <f t="shared" ref="H221:H244" si="32">SUMPRODUCT(($S$12:$S$211=B221)*($V$12:$V$211))+SUMPRODUCT(($T$12:$T$211=B221)*($U$12:$U$211))</f>
        <v>5</v>
      </c>
      <c r="I221" s="34">
        <f t="shared" ref="I221:I244" si="33">(D221*3)+E221</f>
        <v>19</v>
      </c>
      <c r="J221" s="38"/>
      <c r="K221" s="40"/>
      <c r="S221" s="99"/>
      <c r="T221" s="99"/>
      <c r="U221" s="99"/>
      <c r="V221" s="99"/>
      <c r="W221" s="99"/>
      <c r="X221" s="99"/>
      <c r="Y221" s="99"/>
    </row>
    <row r="222" spans="1:25" s="35" customFormat="1" x14ac:dyDescent="0.3">
      <c r="A222" s="11"/>
      <c r="B222" s="36" t="s">
        <v>92</v>
      </c>
      <c r="C222" s="17">
        <f>COUNTIF($S$12:$T$211,"Schweden")</f>
        <v>7</v>
      </c>
      <c r="D222" s="37">
        <f t="shared" si="28"/>
        <v>4</v>
      </c>
      <c r="E222" s="37">
        <f t="shared" si="29"/>
        <v>2</v>
      </c>
      <c r="F222" s="37">
        <f t="shared" si="30"/>
        <v>1</v>
      </c>
      <c r="G222" s="37">
        <f t="shared" si="31"/>
        <v>20</v>
      </c>
      <c r="H222" s="37">
        <f t="shared" si="32"/>
        <v>12</v>
      </c>
      <c r="I222" s="39">
        <f t="shared" si="33"/>
        <v>14</v>
      </c>
      <c r="J222" s="38"/>
      <c r="K222" s="40"/>
      <c r="S222" s="99"/>
      <c r="T222" s="99"/>
      <c r="U222" s="99"/>
      <c r="V222" s="99"/>
      <c r="W222" s="99"/>
      <c r="X222" s="99"/>
      <c r="Y222" s="99"/>
    </row>
    <row r="223" spans="1:25" s="35" customFormat="1" x14ac:dyDescent="0.3">
      <c r="A223" s="11"/>
      <c r="B223" s="36" t="s">
        <v>5</v>
      </c>
      <c r="C223" s="17">
        <f>COUNTIF($S$12:$T$211,"Italien")</f>
        <v>7</v>
      </c>
      <c r="D223" s="37">
        <f t="shared" si="28"/>
        <v>4</v>
      </c>
      <c r="E223" s="37">
        <f t="shared" si="29"/>
        <v>1</v>
      </c>
      <c r="F223" s="37">
        <f t="shared" si="30"/>
        <v>2</v>
      </c>
      <c r="G223" s="37">
        <f t="shared" si="31"/>
        <v>10</v>
      </c>
      <c r="H223" s="37">
        <f t="shared" si="32"/>
        <v>8</v>
      </c>
      <c r="I223" s="39">
        <f t="shared" si="33"/>
        <v>13</v>
      </c>
      <c r="J223" s="38"/>
      <c r="K223" s="40"/>
      <c r="S223" s="99"/>
      <c r="T223" s="99"/>
      <c r="U223" s="99"/>
      <c r="V223" s="99"/>
      <c r="W223" s="99"/>
      <c r="X223" s="99"/>
      <c r="Y223" s="99"/>
    </row>
    <row r="224" spans="1:25" s="35" customFormat="1" x14ac:dyDescent="0.3">
      <c r="A224" s="11"/>
      <c r="B224" s="36" t="s">
        <v>4</v>
      </c>
      <c r="C224" s="17">
        <f>COUNTIF($S$12:$T$211,"Bulgarien")</f>
        <v>7</v>
      </c>
      <c r="D224" s="37">
        <f t="shared" si="28"/>
        <v>4</v>
      </c>
      <c r="E224" s="37">
        <f t="shared" si="29"/>
        <v>0</v>
      </c>
      <c r="F224" s="37">
        <f t="shared" si="30"/>
        <v>3</v>
      </c>
      <c r="G224" s="37">
        <f t="shared" si="31"/>
        <v>13</v>
      </c>
      <c r="H224" s="37">
        <f t="shared" si="32"/>
        <v>12</v>
      </c>
      <c r="I224" s="39">
        <f t="shared" si="33"/>
        <v>12</v>
      </c>
      <c r="J224" s="38"/>
      <c r="K224" s="40"/>
      <c r="S224" s="99"/>
      <c r="T224" s="99"/>
      <c r="U224" s="99"/>
      <c r="V224" s="99"/>
      <c r="W224" s="99"/>
      <c r="X224" s="99"/>
      <c r="Y224" s="99"/>
    </row>
    <row r="225" spans="1:25" s="35" customFormat="1" x14ac:dyDescent="0.3">
      <c r="A225" s="11"/>
      <c r="B225" s="36" t="s">
        <v>13</v>
      </c>
      <c r="C225" s="17">
        <f>COUNTIF($S$12:$T$211,"BRD")</f>
        <v>5</v>
      </c>
      <c r="D225" s="37">
        <f t="shared" si="28"/>
        <v>3</v>
      </c>
      <c r="E225" s="37">
        <f t="shared" si="29"/>
        <v>1</v>
      </c>
      <c r="F225" s="37">
        <f t="shared" si="30"/>
        <v>1</v>
      </c>
      <c r="G225" s="37">
        <f t="shared" si="31"/>
        <v>9</v>
      </c>
      <c r="H225" s="37">
        <f t="shared" si="32"/>
        <v>7</v>
      </c>
      <c r="I225" s="39">
        <f t="shared" si="33"/>
        <v>10</v>
      </c>
      <c r="J225" s="38"/>
      <c r="K225" s="40"/>
      <c r="S225" s="99"/>
      <c r="T225" s="99"/>
      <c r="U225" s="99"/>
      <c r="V225" s="99"/>
      <c r="W225" s="99"/>
      <c r="X225" s="99"/>
      <c r="Y225" s="99"/>
    </row>
    <row r="226" spans="1:25" s="35" customFormat="1" x14ac:dyDescent="0.3">
      <c r="A226" s="11"/>
      <c r="B226" s="36" t="s">
        <v>87</v>
      </c>
      <c r="C226" s="17">
        <f>COUNTIF($S$12:$T$211,"Rumänien")</f>
        <v>5</v>
      </c>
      <c r="D226" s="37">
        <f t="shared" si="28"/>
        <v>3</v>
      </c>
      <c r="E226" s="37">
        <f t="shared" si="29"/>
        <v>0</v>
      </c>
      <c r="F226" s="37">
        <f t="shared" si="30"/>
        <v>2</v>
      </c>
      <c r="G226" s="37">
        <f t="shared" si="31"/>
        <v>14</v>
      </c>
      <c r="H226" s="37">
        <f t="shared" si="32"/>
        <v>14</v>
      </c>
      <c r="I226" s="39">
        <f t="shared" si="33"/>
        <v>9</v>
      </c>
      <c r="J226" s="38"/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/>
      <c r="B227" s="36" t="s">
        <v>89</v>
      </c>
      <c r="C227" s="17">
        <f>COUNTIF($S$12:$T$211,"Niederlande")</f>
        <v>5</v>
      </c>
      <c r="D227" s="37">
        <f t="shared" si="28"/>
        <v>3</v>
      </c>
      <c r="E227" s="37">
        <f t="shared" si="29"/>
        <v>0</v>
      </c>
      <c r="F227" s="37">
        <f t="shared" si="30"/>
        <v>2</v>
      </c>
      <c r="G227" s="37">
        <f t="shared" si="31"/>
        <v>8</v>
      </c>
      <c r="H227" s="37">
        <f t="shared" si="32"/>
        <v>6</v>
      </c>
      <c r="I227" s="39">
        <f t="shared" si="33"/>
        <v>9</v>
      </c>
      <c r="J227" s="38"/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/>
      <c r="B228" s="36" t="s">
        <v>22</v>
      </c>
      <c r="C228" s="17">
        <f>COUNTIF($S$12:$T$211,"Spanien")</f>
        <v>5</v>
      </c>
      <c r="D228" s="37">
        <f t="shared" si="28"/>
        <v>2</v>
      </c>
      <c r="E228" s="37">
        <f t="shared" si="29"/>
        <v>2</v>
      </c>
      <c r="F228" s="37">
        <f t="shared" si="30"/>
        <v>1</v>
      </c>
      <c r="G228" s="37">
        <f t="shared" si="31"/>
        <v>10</v>
      </c>
      <c r="H228" s="37">
        <f t="shared" si="32"/>
        <v>6</v>
      </c>
      <c r="I228" s="39">
        <f t="shared" si="33"/>
        <v>8</v>
      </c>
      <c r="J228" s="38"/>
      <c r="K228" s="40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/>
      <c r="B229" s="36" t="s">
        <v>7</v>
      </c>
      <c r="C229" s="17">
        <f>COUNTIF($S$12:$T$211,"Argentinien")</f>
        <v>4</v>
      </c>
      <c r="D229" s="37">
        <f t="shared" si="28"/>
        <v>2</v>
      </c>
      <c r="E229" s="37">
        <f t="shared" si="29"/>
        <v>0</v>
      </c>
      <c r="F229" s="37">
        <f t="shared" si="30"/>
        <v>2</v>
      </c>
      <c r="G229" s="37">
        <f t="shared" si="31"/>
        <v>8</v>
      </c>
      <c r="H229" s="37">
        <f t="shared" si="32"/>
        <v>6</v>
      </c>
      <c r="I229" s="39">
        <f t="shared" si="33"/>
        <v>6</v>
      </c>
      <c r="J229" s="38"/>
      <c r="K229" s="40"/>
      <c r="S229" s="99"/>
      <c r="T229" s="99"/>
      <c r="U229" s="99"/>
      <c r="V229" s="99"/>
      <c r="W229" s="99"/>
      <c r="X229" s="99"/>
      <c r="Y229" s="99"/>
    </row>
    <row r="230" spans="1:25" s="35" customFormat="1" x14ac:dyDescent="0.3">
      <c r="A230" s="11"/>
      <c r="B230" s="36" t="s">
        <v>115</v>
      </c>
      <c r="C230" s="17">
        <f>COUNTIF($S$12:$T$211,"Nigeria")</f>
        <v>4</v>
      </c>
      <c r="D230" s="37">
        <f t="shared" si="28"/>
        <v>2</v>
      </c>
      <c r="E230" s="37">
        <f t="shared" si="29"/>
        <v>0</v>
      </c>
      <c r="F230" s="37">
        <f t="shared" si="30"/>
        <v>2</v>
      </c>
      <c r="G230" s="37">
        <f t="shared" si="31"/>
        <v>7</v>
      </c>
      <c r="H230" s="37">
        <f t="shared" si="32"/>
        <v>4</v>
      </c>
      <c r="I230" s="39">
        <f t="shared" si="33"/>
        <v>6</v>
      </c>
      <c r="J230" s="38"/>
      <c r="K230" s="40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/>
      <c r="B231" s="36" t="s">
        <v>117</v>
      </c>
      <c r="C231" s="17">
        <f>COUNTIF($S$12:$T$211,"Saudi-Arabien")</f>
        <v>4</v>
      </c>
      <c r="D231" s="37">
        <f t="shared" si="28"/>
        <v>2</v>
      </c>
      <c r="E231" s="37">
        <f t="shared" si="29"/>
        <v>0</v>
      </c>
      <c r="F231" s="37">
        <f t="shared" si="30"/>
        <v>2</v>
      </c>
      <c r="G231" s="37">
        <f t="shared" si="31"/>
        <v>5</v>
      </c>
      <c r="H231" s="37">
        <f t="shared" si="32"/>
        <v>6</v>
      </c>
      <c r="I231" s="39">
        <f t="shared" si="33"/>
        <v>6</v>
      </c>
      <c r="J231" s="38"/>
      <c r="K231" s="40"/>
      <c r="S231" s="99"/>
      <c r="T231" s="99"/>
      <c r="U231" s="99"/>
      <c r="V231" s="99"/>
      <c r="W231" s="99"/>
      <c r="X231" s="99"/>
      <c r="Y231" s="99"/>
    </row>
    <row r="232" spans="1:25" s="35" customFormat="1" x14ac:dyDescent="0.3">
      <c r="A232" s="11"/>
      <c r="B232" s="36" t="s">
        <v>20</v>
      </c>
      <c r="C232" s="17">
        <f>COUNTIF($S$12:$T$211,"Belgien")</f>
        <v>4</v>
      </c>
      <c r="D232" s="37">
        <f t="shared" si="28"/>
        <v>2</v>
      </c>
      <c r="E232" s="37">
        <f t="shared" si="29"/>
        <v>0</v>
      </c>
      <c r="F232" s="37">
        <f t="shared" si="30"/>
        <v>2</v>
      </c>
      <c r="G232" s="37">
        <f t="shared" si="31"/>
        <v>4</v>
      </c>
      <c r="H232" s="37">
        <f t="shared" si="32"/>
        <v>4</v>
      </c>
      <c r="I232" s="39">
        <f t="shared" si="33"/>
        <v>6</v>
      </c>
      <c r="J232" s="38"/>
      <c r="K232" s="40"/>
      <c r="S232" s="99"/>
      <c r="T232" s="99"/>
      <c r="U232" s="99"/>
      <c r="V232" s="99"/>
      <c r="W232" s="99"/>
      <c r="X232" s="99"/>
      <c r="Y232" s="99"/>
    </row>
    <row r="233" spans="1:25" s="35" customFormat="1" x14ac:dyDescent="0.3">
      <c r="A233" s="11"/>
      <c r="B233" s="36" t="s">
        <v>112</v>
      </c>
      <c r="C233" s="17">
        <f>COUNTIF($S$12:$T$211,"Schweiz")</f>
        <v>4</v>
      </c>
      <c r="D233" s="37">
        <f t="shared" si="28"/>
        <v>1</v>
      </c>
      <c r="E233" s="37">
        <f t="shared" si="29"/>
        <v>1</v>
      </c>
      <c r="F233" s="37">
        <f t="shared" si="30"/>
        <v>2</v>
      </c>
      <c r="G233" s="37">
        <f t="shared" si="31"/>
        <v>5</v>
      </c>
      <c r="H233" s="37">
        <f t="shared" si="32"/>
        <v>7</v>
      </c>
      <c r="I233" s="39">
        <f t="shared" si="33"/>
        <v>4</v>
      </c>
      <c r="J233" s="38"/>
      <c r="K233" s="40"/>
      <c r="S233" s="99"/>
      <c r="T233" s="99"/>
      <c r="U233" s="99"/>
      <c r="V233" s="99"/>
      <c r="W233" s="99"/>
      <c r="X233" s="99"/>
      <c r="Y233" s="99"/>
    </row>
    <row r="234" spans="1:25" s="35" customFormat="1" x14ac:dyDescent="0.3">
      <c r="A234" s="11"/>
      <c r="B234" s="36" t="s">
        <v>18</v>
      </c>
      <c r="C234" s="17">
        <f>COUNTIF($S$12:$T$211,"Mexiko")</f>
        <v>4</v>
      </c>
      <c r="D234" s="37">
        <f t="shared" si="28"/>
        <v>1</v>
      </c>
      <c r="E234" s="37">
        <f t="shared" si="29"/>
        <v>1</v>
      </c>
      <c r="F234" s="37">
        <f t="shared" si="30"/>
        <v>2</v>
      </c>
      <c r="G234" s="37">
        <f t="shared" si="31"/>
        <v>5</v>
      </c>
      <c r="H234" s="37">
        <f t="shared" si="32"/>
        <v>7</v>
      </c>
      <c r="I234" s="39">
        <f t="shared" si="33"/>
        <v>4</v>
      </c>
      <c r="J234" s="38"/>
      <c r="K234" s="40"/>
      <c r="S234" s="99"/>
      <c r="T234" s="99"/>
      <c r="U234" s="99"/>
      <c r="V234" s="99"/>
      <c r="W234" s="99"/>
      <c r="X234" s="99"/>
      <c r="Y234" s="99"/>
    </row>
    <row r="235" spans="1:25" s="35" customFormat="1" x14ac:dyDescent="0.3">
      <c r="A235" s="11"/>
      <c r="B235" s="36" t="s">
        <v>78</v>
      </c>
      <c r="C235" s="17">
        <f>COUNTIF($S$12:$T$211,"USA")</f>
        <v>4</v>
      </c>
      <c r="D235" s="37">
        <f>SUMPRODUCT(($S$12:$T$211=B235)*($X$12:$Y$211=3))</f>
        <v>1</v>
      </c>
      <c r="E235" s="37">
        <f>SUMPRODUCT(($S$12:$T$211=B235)*($X$12:$Y$211=1))</f>
        <v>1</v>
      </c>
      <c r="F235" s="37">
        <f t="shared" si="30"/>
        <v>2</v>
      </c>
      <c r="G235" s="37">
        <f t="shared" si="31"/>
        <v>3</v>
      </c>
      <c r="H235" s="37">
        <f t="shared" si="32"/>
        <v>4</v>
      </c>
      <c r="I235" s="39">
        <f t="shared" si="33"/>
        <v>4</v>
      </c>
      <c r="J235" s="38"/>
      <c r="K235" s="40"/>
      <c r="S235" s="99"/>
      <c r="T235" s="99"/>
      <c r="U235" s="99"/>
      <c r="V235" s="99"/>
      <c r="W235" s="99"/>
      <c r="X235" s="99"/>
      <c r="Y235" s="99"/>
    </row>
    <row r="236" spans="1:25" s="35" customFormat="1" x14ac:dyDescent="0.3">
      <c r="A236" s="11"/>
      <c r="B236" s="36" t="s">
        <v>85</v>
      </c>
      <c r="C236" s="17">
        <f>COUNTIF($S$12:$T$211,"Irland")</f>
        <v>4</v>
      </c>
      <c r="D236" s="37">
        <f t="shared" si="28"/>
        <v>1</v>
      </c>
      <c r="E236" s="37">
        <f t="shared" si="29"/>
        <v>1</v>
      </c>
      <c r="F236" s="37">
        <f t="shared" si="30"/>
        <v>2</v>
      </c>
      <c r="G236" s="37">
        <f t="shared" si="31"/>
        <v>2</v>
      </c>
      <c r="H236" s="37">
        <f t="shared" si="32"/>
        <v>4</v>
      </c>
      <c r="I236" s="39">
        <f t="shared" si="33"/>
        <v>4</v>
      </c>
      <c r="J236" s="38"/>
      <c r="K236" s="40"/>
      <c r="S236" s="99"/>
      <c r="T236" s="99"/>
      <c r="U236" s="99"/>
      <c r="V236" s="99"/>
      <c r="W236" s="99"/>
      <c r="X236" s="99"/>
      <c r="Y236" s="99"/>
    </row>
    <row r="237" spans="1:25" s="35" customFormat="1" x14ac:dyDescent="0.3">
      <c r="A237" s="11"/>
      <c r="B237" s="36" t="s">
        <v>119</v>
      </c>
      <c r="C237" s="17">
        <f>COUNTIF($S$12:$T$211,"Norwegen")</f>
        <v>3</v>
      </c>
      <c r="D237" s="37">
        <f t="shared" si="28"/>
        <v>1</v>
      </c>
      <c r="E237" s="37">
        <f t="shared" si="29"/>
        <v>1</v>
      </c>
      <c r="F237" s="37">
        <f t="shared" si="30"/>
        <v>1</v>
      </c>
      <c r="G237" s="37">
        <f t="shared" si="31"/>
        <v>1</v>
      </c>
      <c r="H237" s="37">
        <f t="shared" si="32"/>
        <v>1</v>
      </c>
      <c r="I237" s="39">
        <f t="shared" si="33"/>
        <v>4</v>
      </c>
      <c r="J237" s="38"/>
      <c r="K237" s="40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/>
      <c r="B238" s="36" t="s">
        <v>120</v>
      </c>
      <c r="C238" s="17">
        <f>COUNTIF($S$12:$T$211,"Russland")</f>
        <v>3</v>
      </c>
      <c r="D238" s="37">
        <f t="shared" si="28"/>
        <v>1</v>
      </c>
      <c r="E238" s="37">
        <f t="shared" si="29"/>
        <v>0</v>
      </c>
      <c r="F238" s="37">
        <f t="shared" si="30"/>
        <v>2</v>
      </c>
      <c r="G238" s="37">
        <f t="shared" si="31"/>
        <v>7</v>
      </c>
      <c r="H238" s="37">
        <f t="shared" si="32"/>
        <v>6</v>
      </c>
      <c r="I238" s="39">
        <f t="shared" si="33"/>
        <v>3</v>
      </c>
      <c r="J238" s="38"/>
      <c r="K238" s="40"/>
      <c r="S238" s="99"/>
      <c r="T238" s="99"/>
      <c r="U238" s="99"/>
      <c r="V238" s="99"/>
      <c r="W238" s="99"/>
      <c r="X238" s="99"/>
      <c r="Y238" s="99"/>
    </row>
    <row r="239" spans="1:25" s="35" customFormat="1" x14ac:dyDescent="0.3">
      <c r="A239" s="11"/>
      <c r="B239" s="36" t="s">
        <v>88</v>
      </c>
      <c r="C239" s="17">
        <f>COUNTIF($S$12:$T$211,"Kolumbien")</f>
        <v>3</v>
      </c>
      <c r="D239" s="37">
        <f>SUMPRODUCT(($S$12:$T$211=B239)*($X$12:$Y$211=3))</f>
        <v>1</v>
      </c>
      <c r="E239" s="37">
        <f>SUMPRODUCT(($S$12:$T$211=B239)*($X$12:$Y$211=1))</f>
        <v>0</v>
      </c>
      <c r="F239" s="37">
        <f>SUMPRODUCT(($S$12:$T$211=B239)*($X$12:$Y$211=2))</f>
        <v>2</v>
      </c>
      <c r="G239" s="37">
        <f t="shared" si="31"/>
        <v>4</v>
      </c>
      <c r="H239" s="37">
        <f t="shared" si="32"/>
        <v>5</v>
      </c>
      <c r="I239" s="39">
        <f t="shared" si="33"/>
        <v>3</v>
      </c>
      <c r="J239" s="38"/>
      <c r="K239" s="40"/>
      <c r="S239" s="99"/>
      <c r="T239" s="99"/>
      <c r="U239" s="99"/>
      <c r="V239" s="99"/>
      <c r="W239" s="99"/>
      <c r="X239" s="99"/>
      <c r="Y239" s="99"/>
    </row>
    <row r="240" spans="1:25" s="35" customFormat="1" x14ac:dyDescent="0.3">
      <c r="A240" s="11"/>
      <c r="B240" s="36" t="s">
        <v>10</v>
      </c>
      <c r="C240" s="17">
        <f>COUNTIF($S$12:$T$211,"Südkorea")</f>
        <v>3</v>
      </c>
      <c r="D240" s="37">
        <f t="shared" si="28"/>
        <v>0</v>
      </c>
      <c r="E240" s="37">
        <f t="shared" si="29"/>
        <v>2</v>
      </c>
      <c r="F240" s="37">
        <f t="shared" si="30"/>
        <v>1</v>
      </c>
      <c r="G240" s="37">
        <f t="shared" si="31"/>
        <v>4</v>
      </c>
      <c r="H240" s="37">
        <f t="shared" si="32"/>
        <v>5</v>
      </c>
      <c r="I240" s="39">
        <f t="shared" si="33"/>
        <v>2</v>
      </c>
      <c r="J240" s="38"/>
      <c r="K240" s="40"/>
      <c r="S240" s="99"/>
      <c r="T240" s="99"/>
      <c r="U240" s="99"/>
      <c r="V240" s="99"/>
      <c r="W240" s="99"/>
      <c r="X240" s="99"/>
      <c r="Y240" s="99"/>
    </row>
    <row r="241" spans="1:25" s="35" customFormat="1" x14ac:dyDescent="0.3">
      <c r="A241" s="11"/>
      <c r="B241" s="36" t="s">
        <v>84</v>
      </c>
      <c r="C241" s="17">
        <f>COUNTIF($S$12:$T$211,"Kamerun")</f>
        <v>3</v>
      </c>
      <c r="D241" s="37">
        <f t="shared" si="28"/>
        <v>0</v>
      </c>
      <c r="E241" s="37">
        <f t="shared" si="29"/>
        <v>1</v>
      </c>
      <c r="F241" s="37">
        <f t="shared" si="30"/>
        <v>2</v>
      </c>
      <c r="G241" s="37">
        <f t="shared" si="31"/>
        <v>3</v>
      </c>
      <c r="H241" s="37">
        <f t="shared" si="32"/>
        <v>11</v>
      </c>
      <c r="I241" s="39">
        <f t="shared" si="33"/>
        <v>1</v>
      </c>
      <c r="J241" s="38"/>
      <c r="K241" s="40"/>
      <c r="S241" s="99"/>
      <c r="T241" s="99"/>
      <c r="U241" s="99"/>
      <c r="V241" s="99"/>
      <c r="W241" s="99"/>
      <c r="X241" s="99"/>
      <c r="Y241" s="99"/>
    </row>
    <row r="242" spans="1:25" s="35" customFormat="1" x14ac:dyDescent="0.3">
      <c r="A242" s="11"/>
      <c r="B242" s="36" t="s">
        <v>121</v>
      </c>
      <c r="C242" s="17">
        <f>COUNTIF($S$12:$T$211,"Bolivien")</f>
        <v>3</v>
      </c>
      <c r="D242" s="37">
        <f t="shared" si="28"/>
        <v>0</v>
      </c>
      <c r="E242" s="37">
        <f t="shared" si="29"/>
        <v>1</v>
      </c>
      <c r="F242" s="37">
        <f t="shared" si="30"/>
        <v>2</v>
      </c>
      <c r="G242" s="37">
        <f t="shared" si="31"/>
        <v>1</v>
      </c>
      <c r="H242" s="37">
        <f t="shared" si="32"/>
        <v>4</v>
      </c>
      <c r="I242" s="39">
        <f t="shared" si="33"/>
        <v>1</v>
      </c>
      <c r="J242" s="38"/>
      <c r="K242" s="40"/>
      <c r="S242" s="99"/>
      <c r="T242" s="99"/>
      <c r="U242" s="99"/>
      <c r="V242" s="99"/>
      <c r="W242" s="99"/>
      <c r="X242" s="99"/>
      <c r="Y242" s="99"/>
    </row>
    <row r="243" spans="1:25" s="35" customFormat="1" x14ac:dyDescent="0.3">
      <c r="A243" s="11"/>
      <c r="B243" s="36" t="s">
        <v>26</v>
      </c>
      <c r="C243" s="17">
        <f>COUNTIF($S$12:$T$211,"Marokko")</f>
        <v>3</v>
      </c>
      <c r="D243" s="37">
        <f t="shared" si="28"/>
        <v>0</v>
      </c>
      <c r="E243" s="37">
        <f t="shared" si="29"/>
        <v>0</v>
      </c>
      <c r="F243" s="37">
        <f t="shared" si="30"/>
        <v>3</v>
      </c>
      <c r="G243" s="37">
        <f t="shared" si="31"/>
        <v>2</v>
      </c>
      <c r="H243" s="37">
        <f t="shared" si="32"/>
        <v>5</v>
      </c>
      <c r="I243" s="39">
        <f t="shared" si="33"/>
        <v>0</v>
      </c>
      <c r="J243" s="38"/>
      <c r="K243" s="40"/>
      <c r="S243" s="99"/>
      <c r="T243" s="99"/>
      <c r="U243" s="99"/>
      <c r="V243" s="99"/>
      <c r="W243" s="99"/>
      <c r="X243" s="99"/>
      <c r="Y243" s="99"/>
    </row>
    <row r="244" spans="1:25" s="35" customFormat="1" ht="15" thickBot="1" x14ac:dyDescent="0.35">
      <c r="A244" s="11"/>
      <c r="B244" s="41" t="s">
        <v>122</v>
      </c>
      <c r="C244" s="22">
        <f>COUNTIF($S$12:$T$211,"Griechenland")</f>
        <v>3</v>
      </c>
      <c r="D244" s="42">
        <f t="shared" si="28"/>
        <v>0</v>
      </c>
      <c r="E244" s="42">
        <f t="shared" si="29"/>
        <v>0</v>
      </c>
      <c r="F244" s="42">
        <f t="shared" si="30"/>
        <v>3</v>
      </c>
      <c r="G244" s="42">
        <f t="shared" si="31"/>
        <v>0</v>
      </c>
      <c r="H244" s="42">
        <f t="shared" si="32"/>
        <v>10</v>
      </c>
      <c r="I244" s="44">
        <f t="shared" si="33"/>
        <v>0</v>
      </c>
      <c r="J244" s="38"/>
      <c r="K244" s="40"/>
      <c r="S244" s="99"/>
      <c r="T244" s="99"/>
      <c r="U244" s="99"/>
      <c r="V244" s="99"/>
      <c r="W244" s="99"/>
      <c r="X244" s="99"/>
      <c r="Y244" s="99"/>
    </row>
    <row r="245" spans="1:25" x14ac:dyDescent="0.3">
      <c r="A245" s="112"/>
      <c r="B245" s="9"/>
      <c r="C245" s="9"/>
      <c r="D245" s="9"/>
      <c r="E245" s="9"/>
      <c r="F245" s="9"/>
      <c r="G245" s="12"/>
      <c r="H245" s="12"/>
      <c r="I245" s="12"/>
      <c r="J245" s="12"/>
      <c r="K245" s="13"/>
    </row>
    <row r="246" spans="1:25" ht="15" thickBot="1" x14ac:dyDescent="0.35">
      <c r="A246" s="117"/>
      <c r="B246" s="53"/>
      <c r="C246" s="53"/>
      <c r="D246" s="53"/>
      <c r="E246" s="53"/>
      <c r="F246" s="53"/>
      <c r="G246" s="54"/>
      <c r="H246" s="54"/>
      <c r="I246" s="54"/>
      <c r="J246" s="54"/>
      <c r="K246" s="45"/>
    </row>
    <row r="247" spans="1:25" ht="15" thickTop="1" x14ac:dyDescent="0.3">
      <c r="S247" s="9"/>
      <c r="T247" s="9"/>
    </row>
    <row r="248" spans="1:25" x14ac:dyDescent="0.3">
      <c r="M248" s="47"/>
      <c r="N248" s="47"/>
      <c r="O248" s="47"/>
      <c r="P248" s="47"/>
      <c r="Q248" s="47"/>
      <c r="R248" s="19"/>
      <c r="S248" s="19"/>
      <c r="T248" s="9"/>
    </row>
    <row r="249" spans="1:25" x14ac:dyDescent="0.3">
      <c r="M249" s="47"/>
      <c r="N249" s="47"/>
      <c r="O249" s="47"/>
      <c r="P249" s="47"/>
      <c r="Q249" s="47"/>
      <c r="R249" s="19"/>
      <c r="S249" s="19"/>
      <c r="T249" s="9"/>
    </row>
    <row r="250" spans="1:25" x14ac:dyDescent="0.3">
      <c r="S250" s="9"/>
      <c r="T250" s="9"/>
    </row>
    <row r="251" spans="1:25" x14ac:dyDescent="0.3">
      <c r="C251" s="17"/>
      <c r="D251" s="37"/>
      <c r="E251" s="37"/>
      <c r="F251" s="37"/>
    </row>
    <row r="252" spans="1:25" x14ac:dyDescent="0.3">
      <c r="C252" s="17"/>
      <c r="D252" s="37"/>
      <c r="E252" s="37"/>
      <c r="F252" s="37"/>
    </row>
    <row r="253" spans="1:25" x14ac:dyDescent="0.3">
      <c r="C253" s="17"/>
      <c r="D253" s="37"/>
      <c r="E253" s="37"/>
      <c r="F253" s="37"/>
    </row>
    <row r="254" spans="1:25" x14ac:dyDescent="0.3">
      <c r="C254" s="17"/>
      <c r="D254" s="37"/>
      <c r="E254" s="37"/>
      <c r="F254" s="37"/>
    </row>
    <row r="255" spans="1:25" x14ac:dyDescent="0.3">
      <c r="C255" s="17"/>
      <c r="E255" s="37"/>
      <c r="F255" s="37"/>
    </row>
  </sheetData>
  <mergeCells count="5">
    <mergeCell ref="A2:J2"/>
    <mergeCell ref="A4:J4"/>
    <mergeCell ref="A5:J5"/>
    <mergeCell ref="C202:I202"/>
    <mergeCell ref="C210:I210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9"/>
  <sheetViews>
    <sheetView topLeftCell="A246" workbookViewId="0">
      <selection activeCell="M271" sqref="M271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86" t="s">
        <v>134</v>
      </c>
      <c r="B2" s="187"/>
      <c r="C2" s="187"/>
      <c r="D2" s="187"/>
      <c r="E2" s="187"/>
      <c r="F2" s="187"/>
      <c r="G2" s="187"/>
      <c r="H2" s="187"/>
      <c r="I2" s="187"/>
      <c r="J2" s="187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89" t="s">
        <v>135</v>
      </c>
      <c r="B4" s="190"/>
      <c r="C4" s="190"/>
      <c r="D4" s="190"/>
      <c r="E4" s="190"/>
      <c r="F4" s="190"/>
      <c r="G4" s="190"/>
      <c r="H4" s="190"/>
      <c r="I4" s="190"/>
      <c r="J4" s="190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191" t="s">
        <v>136</v>
      </c>
      <c r="B5" s="192"/>
      <c r="C5" s="192"/>
      <c r="D5" s="192"/>
      <c r="E5" s="192"/>
      <c r="F5" s="192"/>
      <c r="G5" s="192"/>
      <c r="H5" s="192"/>
      <c r="I5" s="192"/>
      <c r="J5" s="192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35956</v>
      </c>
      <c r="D12" s="83" t="s">
        <v>16</v>
      </c>
      <c r="E12" s="83" t="s">
        <v>41</v>
      </c>
      <c r="F12" s="83">
        <v>2</v>
      </c>
      <c r="G12" s="83">
        <v>1</v>
      </c>
      <c r="H12" s="9"/>
      <c r="I12" s="135"/>
      <c r="J12" s="12"/>
      <c r="K12" s="13"/>
      <c r="S12" s="8" t="s">
        <v>16</v>
      </c>
      <c r="T12" s="9" t="s">
        <v>41</v>
      </c>
      <c r="U12" s="9">
        <v>2</v>
      </c>
      <c r="V12" s="9">
        <v>1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11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136"/>
      <c r="J13" s="12"/>
      <c r="K13" s="13"/>
      <c r="S13" s="8" t="s">
        <v>26</v>
      </c>
      <c r="T13" s="9" t="s">
        <v>119</v>
      </c>
      <c r="U13" s="9">
        <v>2</v>
      </c>
      <c r="V13" s="9">
        <v>2</v>
      </c>
      <c r="W13" s="9"/>
      <c r="X13" s="19">
        <f t="shared" si="0"/>
        <v>1</v>
      </c>
      <c r="Y13" s="20">
        <f t="shared" si="1"/>
        <v>1</v>
      </c>
      <c r="AA13" t="s">
        <v>16</v>
      </c>
    </row>
    <row r="14" spans="1:27" x14ac:dyDescent="0.3">
      <c r="A14" s="112"/>
      <c r="B14" s="9"/>
      <c r="C14" s="16">
        <v>35956</v>
      </c>
      <c r="D14" s="83" t="s">
        <v>26</v>
      </c>
      <c r="E14" s="83" t="s">
        <v>119</v>
      </c>
      <c r="F14" s="83">
        <v>2</v>
      </c>
      <c r="G14" s="83">
        <v>2</v>
      </c>
      <c r="H14" s="9"/>
      <c r="I14" s="137"/>
      <c r="J14" s="12"/>
      <c r="K14" s="13"/>
      <c r="S14" s="8" t="s">
        <v>41</v>
      </c>
      <c r="T14" s="9" t="s">
        <v>119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137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9</v>
      </c>
      <c r="H15" s="23"/>
      <c r="I15" s="138"/>
      <c r="J15" s="12"/>
      <c r="K15" s="13"/>
      <c r="S15" s="8" t="s">
        <v>16</v>
      </c>
      <c r="T15" s="9" t="s">
        <v>26</v>
      </c>
      <c r="U15" s="9">
        <v>3</v>
      </c>
      <c r="V15" s="9">
        <v>0</v>
      </c>
      <c r="W15" s="9"/>
      <c r="X15" s="19">
        <f t="shared" si="0"/>
        <v>3</v>
      </c>
      <c r="Y15" s="20">
        <f t="shared" si="1"/>
        <v>2</v>
      </c>
      <c r="AA15" t="s">
        <v>7</v>
      </c>
    </row>
    <row r="16" spans="1:27" x14ac:dyDescent="0.3">
      <c r="A16" s="112"/>
      <c r="B16" s="9"/>
      <c r="C16" s="16">
        <v>35962</v>
      </c>
      <c r="D16" s="83" t="s">
        <v>41</v>
      </c>
      <c r="E16" s="83" t="s">
        <v>119</v>
      </c>
      <c r="F16" s="83">
        <v>1</v>
      </c>
      <c r="G16" s="83">
        <v>1</v>
      </c>
      <c r="H16" s="9"/>
      <c r="I16" s="137"/>
      <c r="J16" s="12"/>
      <c r="K16" s="13"/>
      <c r="S16" s="8" t="s">
        <v>16</v>
      </c>
      <c r="T16" s="132" t="s">
        <v>119</v>
      </c>
      <c r="U16" s="9">
        <v>1</v>
      </c>
      <c r="V16" s="9">
        <v>2</v>
      </c>
      <c r="W16" s="9"/>
      <c r="X16" s="19">
        <f t="shared" si="0"/>
        <v>2</v>
      </c>
      <c r="Y16" s="20">
        <f t="shared" si="1"/>
        <v>3</v>
      </c>
      <c r="AA16" t="s">
        <v>89</v>
      </c>
    </row>
    <row r="17" spans="1:27" ht="15" thickBot="1" x14ac:dyDescent="0.35">
      <c r="A17" s="112"/>
      <c r="B17" s="9"/>
      <c r="C17" s="21"/>
      <c r="D17" s="89"/>
      <c r="E17" s="89"/>
      <c r="F17" s="89" t="s">
        <v>8</v>
      </c>
      <c r="G17" s="89" t="s">
        <v>15</v>
      </c>
      <c r="H17" s="23"/>
      <c r="I17" s="138"/>
      <c r="J17" s="12"/>
      <c r="K17" s="13"/>
      <c r="S17" s="8" t="s">
        <v>41</v>
      </c>
      <c r="T17" s="9" t="s">
        <v>26</v>
      </c>
      <c r="U17" s="9">
        <v>0</v>
      </c>
      <c r="V17" s="9">
        <v>3</v>
      </c>
      <c r="W17" s="9"/>
      <c r="X17" s="19">
        <f t="shared" si="0"/>
        <v>2</v>
      </c>
      <c r="Y17" s="20">
        <f t="shared" si="1"/>
        <v>3</v>
      </c>
      <c r="AA17" t="s">
        <v>5</v>
      </c>
    </row>
    <row r="18" spans="1:27" x14ac:dyDescent="0.3">
      <c r="A18" s="112"/>
      <c r="B18" s="9"/>
      <c r="C18" s="16">
        <v>35962</v>
      </c>
      <c r="D18" s="83" t="s">
        <v>16</v>
      </c>
      <c r="E18" s="83" t="s">
        <v>26</v>
      </c>
      <c r="F18" s="83">
        <v>3</v>
      </c>
      <c r="G18" s="83">
        <v>0</v>
      </c>
      <c r="H18" s="9"/>
      <c r="I18" s="137"/>
      <c r="J18" s="12"/>
      <c r="K18" s="13"/>
      <c r="S18" s="8"/>
      <c r="T18" s="132"/>
      <c r="U18" s="9"/>
      <c r="V18" s="9"/>
      <c r="W18" s="9"/>
      <c r="X18" s="19"/>
      <c r="Y18" s="20"/>
      <c r="AA18" t="s">
        <v>13</v>
      </c>
    </row>
    <row r="19" spans="1:27" ht="15" thickBot="1" x14ac:dyDescent="0.35">
      <c r="A19" s="112"/>
      <c r="B19" s="9"/>
      <c r="C19" s="21"/>
      <c r="D19" s="89"/>
      <c r="E19" s="89"/>
      <c r="F19" s="89" t="s">
        <v>14</v>
      </c>
      <c r="G19" s="89" t="s">
        <v>15</v>
      </c>
      <c r="H19" s="23"/>
      <c r="I19" s="138"/>
      <c r="J19" s="12"/>
      <c r="K19" s="13"/>
      <c r="S19" s="8"/>
      <c r="T19" s="132"/>
      <c r="U19" s="9"/>
      <c r="V19" s="9"/>
      <c r="W19" s="9"/>
      <c r="X19" s="19"/>
      <c r="Y19" s="20"/>
      <c r="AA19" t="s">
        <v>21</v>
      </c>
    </row>
    <row r="20" spans="1:27" x14ac:dyDescent="0.3">
      <c r="A20" s="112"/>
      <c r="B20" s="9"/>
      <c r="C20" s="16">
        <v>35969</v>
      </c>
      <c r="D20" s="83" t="s">
        <v>16</v>
      </c>
      <c r="E20" s="83" t="s">
        <v>119</v>
      </c>
      <c r="F20" s="83">
        <v>1</v>
      </c>
      <c r="G20" s="83">
        <v>2</v>
      </c>
      <c r="H20" s="9"/>
      <c r="I20" s="137"/>
      <c r="J20" s="12"/>
      <c r="K20" s="13"/>
      <c r="S20" s="8"/>
      <c r="T20" s="9"/>
      <c r="U20" s="9"/>
      <c r="V20" s="9"/>
      <c r="W20" s="9"/>
      <c r="X20" s="19"/>
      <c r="Y20" s="20"/>
      <c r="AA20" t="s">
        <v>83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15</v>
      </c>
      <c r="H21" s="23"/>
      <c r="I21" s="138"/>
      <c r="J21" s="12"/>
      <c r="K21" s="13"/>
      <c r="S21" s="8"/>
      <c r="T21" s="9"/>
      <c r="U21" s="9"/>
      <c r="V21" s="9"/>
      <c r="W21" s="9"/>
      <c r="X21" s="19"/>
      <c r="Y21" s="20"/>
      <c r="AA21" t="s">
        <v>87</v>
      </c>
    </row>
    <row r="22" spans="1:27" x14ac:dyDescent="0.3">
      <c r="A22" s="112"/>
      <c r="B22" s="9"/>
      <c r="C22" s="16">
        <v>35969</v>
      </c>
      <c r="D22" s="83" t="s">
        <v>41</v>
      </c>
      <c r="E22" s="83" t="s">
        <v>26</v>
      </c>
      <c r="F22" s="83">
        <v>0</v>
      </c>
      <c r="G22" s="83">
        <v>3</v>
      </c>
      <c r="H22" s="9"/>
      <c r="I22" s="137"/>
      <c r="J22" s="12"/>
      <c r="K22" s="13"/>
      <c r="S22" s="8"/>
      <c r="T22" s="9"/>
      <c r="U22" s="9"/>
      <c r="V22" s="9"/>
      <c r="W22" s="9"/>
      <c r="X22" s="19"/>
      <c r="Y22" s="20"/>
      <c r="AA22" t="s">
        <v>24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137"/>
      <c r="J23" s="12"/>
      <c r="K23" s="13"/>
      <c r="S23" s="8"/>
      <c r="T23" s="9"/>
      <c r="U23" s="9"/>
      <c r="V23" s="9"/>
      <c r="W23" s="9"/>
      <c r="X23" s="9"/>
      <c r="Y23" s="10"/>
      <c r="AA23" t="s">
        <v>115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18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119</v>
      </c>
    </row>
    <row r="26" spans="1:27" x14ac:dyDescent="0.3">
      <c r="A26" s="112" t="s">
        <v>90</v>
      </c>
      <c r="B26" s="30" t="s">
        <v>16</v>
      </c>
      <c r="C26" s="31">
        <f>COUNTIF($S$12:$T$17,"Rumänien")</f>
        <v>0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6</v>
      </c>
      <c r="H26" s="32">
        <f t="shared" ref="H26:H29" si="6">SUMPRODUCT(($S$12:$S$17=B26)*($V$12:$V$17))+SUMPRODUCT(($T$12:$T$17=B26)*($U$12:$U$17))</f>
        <v>3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9"/>
      <c r="Y26" s="10"/>
      <c r="AA26" t="s">
        <v>25</v>
      </c>
    </row>
    <row r="27" spans="1:27" x14ac:dyDescent="0.3">
      <c r="A27" s="112"/>
      <c r="B27" s="36" t="s">
        <v>41</v>
      </c>
      <c r="C27" s="9">
        <f>COUNTIF($S$12:$T$17,"Schweiz")</f>
        <v>0</v>
      </c>
      <c r="D27" s="37">
        <f t="shared" si="2"/>
        <v>0</v>
      </c>
      <c r="E27" s="37">
        <f t="shared" si="3"/>
        <v>1</v>
      </c>
      <c r="F27" s="37">
        <f t="shared" si="4"/>
        <v>2</v>
      </c>
      <c r="G27" s="37">
        <f t="shared" si="5"/>
        <v>2</v>
      </c>
      <c r="H27" s="37">
        <f t="shared" si="6"/>
        <v>6</v>
      </c>
      <c r="I27" s="39">
        <f t="shared" ref="I27:I29" si="7">(D27*3)+E27</f>
        <v>1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22</v>
      </c>
    </row>
    <row r="28" spans="1:27" x14ac:dyDescent="0.3">
      <c r="A28" s="112"/>
      <c r="B28" s="51" t="s">
        <v>26</v>
      </c>
      <c r="C28" s="9">
        <f>COUNTIF($S$12:$T$17,"USA")</f>
        <v>0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5</v>
      </c>
      <c r="H28" s="37">
        <f t="shared" si="6"/>
        <v>5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19"/>
      <c r="Y28" s="20"/>
      <c r="AA28" t="s">
        <v>26</v>
      </c>
    </row>
    <row r="29" spans="1:27" ht="15" thickBot="1" x14ac:dyDescent="0.35">
      <c r="A29" s="112"/>
      <c r="B29" s="50" t="s">
        <v>119</v>
      </c>
      <c r="C29" s="23">
        <f>COUNTIF($S$12:$T$17,"Kolumbien")</f>
        <v>0</v>
      </c>
      <c r="D29" s="42">
        <f t="shared" si="2"/>
        <v>1</v>
      </c>
      <c r="E29" s="42">
        <f t="shared" si="3"/>
        <v>2</v>
      </c>
      <c r="F29" s="42">
        <f t="shared" si="4"/>
        <v>0</v>
      </c>
      <c r="G29" s="42">
        <f t="shared" si="5"/>
        <v>5</v>
      </c>
      <c r="H29" s="42">
        <f t="shared" si="6"/>
        <v>4</v>
      </c>
      <c r="I29" s="44">
        <f t="shared" si="7"/>
        <v>5</v>
      </c>
      <c r="J29" s="12"/>
      <c r="K29" s="13"/>
      <c r="S29" s="8"/>
      <c r="T29" s="9"/>
      <c r="U29" s="9"/>
      <c r="V29" s="9"/>
      <c r="W29" s="9"/>
      <c r="X29" s="9"/>
      <c r="Y29" s="10"/>
      <c r="AA29" t="s">
        <v>138</v>
      </c>
    </row>
    <row r="30" spans="1:27" ht="15" thickBot="1" x14ac:dyDescent="0.35">
      <c r="A30" s="112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9"/>
      <c r="Y30" s="10"/>
      <c r="AA30" t="s">
        <v>20</v>
      </c>
    </row>
    <row r="31" spans="1:27" ht="15" thickTop="1" x14ac:dyDescent="0.3">
      <c r="A31" s="11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139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8"/>
      <c r="T32" s="9"/>
      <c r="U32" s="9"/>
      <c r="V32" s="9"/>
      <c r="W32" s="9"/>
      <c r="X32" s="19"/>
      <c r="Y32" s="20"/>
      <c r="AA32" t="s">
        <v>140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W33" s="9"/>
      <c r="X33" s="19"/>
      <c r="Y33" s="20"/>
      <c r="AA33" t="s">
        <v>88</v>
      </c>
    </row>
    <row r="34" spans="1:27" x14ac:dyDescent="0.3">
      <c r="A34" s="112"/>
      <c r="B34" s="9"/>
      <c r="C34" s="16">
        <v>35957</v>
      </c>
      <c r="D34" s="83" t="s">
        <v>5</v>
      </c>
      <c r="E34" s="83" t="s">
        <v>138</v>
      </c>
      <c r="F34" s="83">
        <v>2</v>
      </c>
      <c r="G34" s="83">
        <v>2</v>
      </c>
      <c r="H34" s="9"/>
      <c r="I34" s="12"/>
      <c r="J34" s="12"/>
      <c r="K34" s="13"/>
      <c r="S34" s="46" t="s">
        <v>5</v>
      </c>
      <c r="T34" s="17" t="s">
        <v>138</v>
      </c>
      <c r="U34" s="17">
        <v>2</v>
      </c>
      <c r="V34" s="17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76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84</v>
      </c>
      <c r="T35" s="9" t="s">
        <v>76</v>
      </c>
      <c r="U35" s="9">
        <v>1</v>
      </c>
      <c r="V35" s="9">
        <v>1</v>
      </c>
      <c r="X35" s="19">
        <f t="shared" si="8"/>
        <v>1</v>
      </c>
      <c r="Y35" s="20">
        <f t="shared" si="9"/>
        <v>1</v>
      </c>
      <c r="AA35" t="s">
        <v>141</v>
      </c>
    </row>
    <row r="36" spans="1:27" x14ac:dyDescent="0.3">
      <c r="A36" s="112"/>
      <c r="B36" s="9"/>
      <c r="C36" s="16">
        <v>35957</v>
      </c>
      <c r="D36" s="83" t="s">
        <v>84</v>
      </c>
      <c r="E36" s="83" t="s">
        <v>76</v>
      </c>
      <c r="F36" s="83">
        <v>1</v>
      </c>
      <c r="G36" s="83">
        <v>1</v>
      </c>
      <c r="H36" s="9"/>
      <c r="I36" s="12"/>
      <c r="J36" s="12"/>
      <c r="K36" s="13"/>
      <c r="S36" s="8" t="s">
        <v>138</v>
      </c>
      <c r="T36" s="9" t="s">
        <v>76</v>
      </c>
      <c r="U36" s="9">
        <v>1</v>
      </c>
      <c r="V36" s="9">
        <v>1</v>
      </c>
      <c r="X36" s="19">
        <f t="shared" si="8"/>
        <v>1</v>
      </c>
      <c r="Y36" s="20">
        <f t="shared" si="9"/>
        <v>1</v>
      </c>
      <c r="AA36" t="s">
        <v>84</v>
      </c>
    </row>
    <row r="37" spans="1:27" ht="15" thickBot="1" x14ac:dyDescent="0.35">
      <c r="A37" s="112"/>
      <c r="B37" s="9"/>
      <c r="C37" s="21"/>
      <c r="D37" s="89"/>
      <c r="E37" s="89"/>
      <c r="F37" s="89" t="s">
        <v>8</v>
      </c>
      <c r="G37" s="89" t="s">
        <v>15</v>
      </c>
      <c r="H37" s="23"/>
      <c r="I37" s="28"/>
      <c r="J37" s="12"/>
      <c r="K37" s="13"/>
      <c r="S37" s="8" t="s">
        <v>5</v>
      </c>
      <c r="T37" s="9" t="s">
        <v>84</v>
      </c>
      <c r="U37" s="9">
        <v>3</v>
      </c>
      <c r="V37" s="9">
        <v>0</v>
      </c>
      <c r="X37" s="19">
        <f t="shared" si="8"/>
        <v>3</v>
      </c>
      <c r="Y37" s="20">
        <f t="shared" si="9"/>
        <v>2</v>
      </c>
      <c r="AA37" t="s">
        <v>117</v>
      </c>
    </row>
    <row r="38" spans="1:27" x14ac:dyDescent="0.3">
      <c r="A38" s="112"/>
      <c r="B38" s="9"/>
      <c r="C38" s="16">
        <v>35963</v>
      </c>
      <c r="D38" s="83" t="s">
        <v>138</v>
      </c>
      <c r="E38" s="83" t="s">
        <v>76</v>
      </c>
      <c r="F38" s="83">
        <v>1</v>
      </c>
      <c r="G38" s="83">
        <v>1</v>
      </c>
      <c r="H38" s="9"/>
      <c r="I38" s="12"/>
      <c r="J38" s="12"/>
      <c r="K38" s="13"/>
      <c r="S38" s="8" t="s">
        <v>5</v>
      </c>
      <c r="T38" s="9" t="s">
        <v>76</v>
      </c>
      <c r="U38" s="9">
        <v>2</v>
      </c>
      <c r="V38" s="9">
        <v>1</v>
      </c>
      <c r="X38" s="19">
        <f t="shared" si="8"/>
        <v>3</v>
      </c>
      <c r="Y38" s="20">
        <f t="shared" si="9"/>
        <v>2</v>
      </c>
      <c r="AA38" t="s">
        <v>10</v>
      </c>
    </row>
    <row r="39" spans="1:27" ht="15" thickBot="1" x14ac:dyDescent="0.35">
      <c r="A39" s="112"/>
      <c r="B39" s="9"/>
      <c r="C39" s="21"/>
      <c r="D39" s="89"/>
      <c r="E39" s="89"/>
      <c r="F39" s="89" t="s">
        <v>8</v>
      </c>
      <c r="G39" s="89" t="s">
        <v>15</v>
      </c>
      <c r="H39" s="23"/>
      <c r="I39" s="28"/>
      <c r="J39" s="12"/>
      <c r="K39" s="13"/>
      <c r="S39" s="8" t="s">
        <v>138</v>
      </c>
      <c r="T39" s="9" t="s">
        <v>84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  <c r="AA39" t="s">
        <v>41</v>
      </c>
    </row>
    <row r="40" spans="1:27" x14ac:dyDescent="0.3">
      <c r="A40" s="112"/>
      <c r="B40" s="9"/>
      <c r="C40" s="16">
        <v>35963</v>
      </c>
      <c r="D40" s="83" t="s">
        <v>5</v>
      </c>
      <c r="E40" s="83" t="s">
        <v>84</v>
      </c>
      <c r="F40" s="83">
        <v>3</v>
      </c>
      <c r="G40" s="83">
        <v>0</v>
      </c>
      <c r="H40" s="9"/>
      <c r="I40" s="12"/>
      <c r="J40" s="12"/>
      <c r="K40" s="13"/>
      <c r="S40" s="8"/>
      <c r="T40" s="9"/>
      <c r="U40" s="9"/>
      <c r="V40" s="9"/>
      <c r="X40" s="19"/>
      <c r="Y40" s="20"/>
      <c r="AA40" t="s">
        <v>142</v>
      </c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15</v>
      </c>
      <c r="H41" s="23"/>
      <c r="I41" s="28"/>
      <c r="J41" s="12"/>
      <c r="K41" s="13"/>
      <c r="S41" s="8"/>
      <c r="T41" s="9"/>
      <c r="U41" s="9"/>
      <c r="V41" s="9"/>
      <c r="X41" s="19"/>
      <c r="Y41" s="20"/>
      <c r="AA41" t="s">
        <v>4</v>
      </c>
    </row>
    <row r="42" spans="1:27" x14ac:dyDescent="0.3">
      <c r="A42" s="112"/>
      <c r="B42" s="9"/>
      <c r="C42" s="16">
        <v>35969</v>
      </c>
      <c r="D42" s="37" t="s">
        <v>5</v>
      </c>
      <c r="E42" s="37" t="s">
        <v>76</v>
      </c>
      <c r="F42" s="37">
        <v>2</v>
      </c>
      <c r="G42" s="37">
        <v>1</v>
      </c>
      <c r="H42" s="17"/>
      <c r="I42" s="12"/>
      <c r="J42" s="12"/>
      <c r="K42" s="13"/>
      <c r="S42" s="8"/>
      <c r="T42" s="9"/>
      <c r="U42" s="9"/>
      <c r="V42" s="9"/>
      <c r="X42" s="19"/>
      <c r="Y42" s="20"/>
      <c r="AA42" t="s">
        <v>143</v>
      </c>
    </row>
    <row r="43" spans="1:27" ht="15" thickBot="1" x14ac:dyDescent="0.35">
      <c r="A43" s="112"/>
      <c r="B43" s="9"/>
      <c r="C43" s="21"/>
      <c r="D43" s="42"/>
      <c r="E43" s="42"/>
      <c r="F43" s="42" t="s">
        <v>19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X43" s="19"/>
      <c r="Y43" s="20"/>
      <c r="AA43" t="s">
        <v>78</v>
      </c>
    </row>
    <row r="44" spans="1:27" x14ac:dyDescent="0.3">
      <c r="A44" s="112"/>
      <c r="B44" s="9"/>
      <c r="C44" s="16">
        <v>35969</v>
      </c>
      <c r="D44" s="37" t="s">
        <v>138</v>
      </c>
      <c r="E44" s="37" t="s">
        <v>84</v>
      </c>
      <c r="F44" s="37">
        <v>1</v>
      </c>
      <c r="G44" s="37">
        <v>1</v>
      </c>
      <c r="H44" s="17"/>
      <c r="I44" s="12"/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19</v>
      </c>
      <c r="G45" s="37" t="s">
        <v>15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 t="s">
        <v>90</v>
      </c>
      <c r="B48" s="30" t="s">
        <v>5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3">
        <v>7</v>
      </c>
      <c r="J48" s="139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138</v>
      </c>
      <c r="C49" s="17"/>
      <c r="D49" s="17"/>
      <c r="E49" s="17"/>
      <c r="F49" s="17"/>
      <c r="G49" s="38"/>
      <c r="H49" s="38"/>
      <c r="I49" s="38"/>
      <c r="J49" s="139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84</v>
      </c>
      <c r="C50" s="9"/>
      <c r="D50" s="9"/>
      <c r="E50" s="9"/>
      <c r="F50" s="9"/>
      <c r="G50" s="12"/>
      <c r="H50" s="12"/>
      <c r="I50" s="12"/>
      <c r="J50" s="140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76</v>
      </c>
      <c r="C51" s="23"/>
      <c r="D51" s="23"/>
      <c r="E51" s="23"/>
      <c r="F51" s="23"/>
      <c r="G51" s="28"/>
      <c r="H51" s="28"/>
      <c r="I51" s="28"/>
      <c r="J51" s="140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2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5" x14ac:dyDescent="0.3">
      <c r="A56" s="112"/>
      <c r="B56" s="9"/>
      <c r="C56" s="16">
        <v>35958</v>
      </c>
      <c r="D56" s="83" t="s">
        <v>117</v>
      </c>
      <c r="E56" s="83" t="s">
        <v>21</v>
      </c>
      <c r="F56" s="83">
        <v>0</v>
      </c>
      <c r="G56" s="84">
        <v>1</v>
      </c>
      <c r="H56" s="12"/>
      <c r="I56" s="12"/>
      <c r="J56" s="12"/>
      <c r="K56" s="13"/>
      <c r="S56" s="8" t="s">
        <v>117</v>
      </c>
      <c r="T56" s="9" t="s">
        <v>21</v>
      </c>
      <c r="U56" s="9">
        <v>0</v>
      </c>
      <c r="V56" s="9">
        <v>1</v>
      </c>
      <c r="W56" s="9"/>
      <c r="X56" s="19">
        <f t="shared" ref="X56:X61" si="10">(IF(U56&gt;V56,3,IF(U56=V56,1,2)))</f>
        <v>2</v>
      </c>
      <c r="Y56" s="20">
        <f t="shared" ref="Y56:Y61" si="11">(IF(V56&gt;U56,3,IF(U56=V56,1,2)))</f>
        <v>3</v>
      </c>
    </row>
    <row r="57" spans="1:25" ht="15" thickBot="1" x14ac:dyDescent="0.35">
      <c r="A57" s="112"/>
      <c r="B57" s="9"/>
      <c r="C57" s="21"/>
      <c r="D57" s="89"/>
      <c r="E57" s="89"/>
      <c r="F57" s="89" t="s">
        <v>8</v>
      </c>
      <c r="G57" s="90" t="s">
        <v>15</v>
      </c>
      <c r="H57" s="28"/>
      <c r="I57" s="28"/>
      <c r="J57" s="12"/>
      <c r="K57" s="13"/>
      <c r="S57" s="46" t="s">
        <v>11</v>
      </c>
      <c r="T57" s="17" t="s">
        <v>141</v>
      </c>
      <c r="U57" s="17">
        <v>3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x14ac:dyDescent="0.3">
      <c r="A58" s="112"/>
      <c r="B58" s="9"/>
      <c r="C58" s="16">
        <v>35958</v>
      </c>
      <c r="D58" s="83" t="s">
        <v>11</v>
      </c>
      <c r="E58" s="83" t="s">
        <v>141</v>
      </c>
      <c r="F58" s="83">
        <v>3</v>
      </c>
      <c r="G58" s="84">
        <v>0</v>
      </c>
      <c r="H58" s="12"/>
      <c r="I58" s="12"/>
      <c r="J58" s="12"/>
      <c r="K58" s="13"/>
      <c r="S58" s="46" t="s">
        <v>141</v>
      </c>
      <c r="T58" s="17" t="s">
        <v>21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ht="15" thickBot="1" x14ac:dyDescent="0.35">
      <c r="A59" s="112"/>
      <c r="B59" s="9"/>
      <c r="C59" s="21"/>
      <c r="D59" s="89"/>
      <c r="E59" s="89"/>
      <c r="F59" s="89" t="s">
        <v>19</v>
      </c>
      <c r="G59" s="90" t="s">
        <v>15</v>
      </c>
      <c r="H59" s="28"/>
      <c r="I59" s="28"/>
      <c r="J59" s="12"/>
      <c r="K59" s="13"/>
      <c r="S59" s="46" t="s">
        <v>11</v>
      </c>
      <c r="T59" s="17" t="s">
        <v>117</v>
      </c>
      <c r="U59" s="17">
        <v>4</v>
      </c>
      <c r="V59" s="17">
        <v>0</v>
      </c>
      <c r="W59" s="17"/>
      <c r="X59" s="19">
        <f t="shared" si="10"/>
        <v>3</v>
      </c>
      <c r="Y59" s="20">
        <f t="shared" si="11"/>
        <v>2</v>
      </c>
    </row>
    <row r="60" spans="1:25" x14ac:dyDescent="0.3">
      <c r="A60" s="112"/>
      <c r="B60" s="9"/>
      <c r="C60" s="16">
        <v>35964</v>
      </c>
      <c r="D60" s="83" t="s">
        <v>141</v>
      </c>
      <c r="E60" s="83" t="s">
        <v>21</v>
      </c>
      <c r="F60" s="83">
        <v>1</v>
      </c>
      <c r="G60" s="84">
        <v>1</v>
      </c>
      <c r="H60" s="12"/>
      <c r="I60" s="12"/>
      <c r="J60" s="12"/>
      <c r="K60" s="13"/>
      <c r="S60" s="46" t="s">
        <v>11</v>
      </c>
      <c r="T60" s="17" t="s">
        <v>21</v>
      </c>
      <c r="U60" s="17">
        <v>2</v>
      </c>
      <c r="V60" s="17">
        <v>1</v>
      </c>
      <c r="W60" s="17"/>
      <c r="X60" s="19">
        <f t="shared" si="10"/>
        <v>3</v>
      </c>
      <c r="Y60" s="20">
        <f t="shared" si="11"/>
        <v>2</v>
      </c>
    </row>
    <row r="61" spans="1:25" ht="15" thickBot="1" x14ac:dyDescent="0.35">
      <c r="A61" s="112"/>
      <c r="B61" s="9"/>
      <c r="C61" s="21"/>
      <c r="D61" s="89"/>
      <c r="E61" s="89"/>
      <c r="F61" s="89" t="s">
        <v>8</v>
      </c>
      <c r="G61" s="90" t="s">
        <v>9</v>
      </c>
      <c r="H61" s="28"/>
      <c r="I61" s="28"/>
      <c r="J61" s="12"/>
      <c r="K61" s="13"/>
      <c r="S61" s="46" t="s">
        <v>141</v>
      </c>
      <c r="T61" s="17" t="s">
        <v>117</v>
      </c>
      <c r="U61" s="17">
        <v>2</v>
      </c>
      <c r="V61" s="17">
        <v>2</v>
      </c>
      <c r="W61" s="17"/>
      <c r="X61" s="19">
        <f t="shared" si="10"/>
        <v>1</v>
      </c>
      <c r="Y61" s="20">
        <f t="shared" si="11"/>
        <v>1</v>
      </c>
    </row>
    <row r="62" spans="1:25" x14ac:dyDescent="0.3">
      <c r="A62" s="112"/>
      <c r="B62" s="9"/>
      <c r="C62" s="141">
        <v>35964</v>
      </c>
      <c r="D62" s="142" t="s">
        <v>11</v>
      </c>
      <c r="E62" s="142" t="s">
        <v>117</v>
      </c>
      <c r="F62" s="142">
        <v>4</v>
      </c>
      <c r="G62" s="143">
        <v>0</v>
      </c>
      <c r="H62" s="144"/>
      <c r="I62" s="144"/>
      <c r="J62" s="12"/>
      <c r="K62" s="13"/>
      <c r="S62" s="46"/>
      <c r="T62" s="17"/>
      <c r="U62" s="17"/>
      <c r="V62" s="17"/>
      <c r="W62" s="17"/>
      <c r="X62" s="19"/>
      <c r="Y62" s="20"/>
    </row>
    <row r="63" spans="1:25" ht="15" thickBot="1" x14ac:dyDescent="0.35">
      <c r="A63" s="112"/>
      <c r="B63" s="9"/>
      <c r="C63" s="21"/>
      <c r="D63" s="89"/>
      <c r="E63" s="89"/>
      <c r="F63" s="89" t="s">
        <v>19</v>
      </c>
      <c r="G63" s="90" t="s">
        <v>15</v>
      </c>
      <c r="H63" s="28"/>
      <c r="I63" s="28"/>
      <c r="J63" s="12"/>
      <c r="K63" s="13"/>
      <c r="S63" s="46"/>
      <c r="T63" s="17"/>
      <c r="U63" s="17"/>
      <c r="V63" s="17"/>
      <c r="W63" s="17"/>
      <c r="X63" s="19"/>
      <c r="Y63" s="20"/>
    </row>
    <row r="64" spans="1:25" x14ac:dyDescent="0.3">
      <c r="A64" s="112"/>
      <c r="B64" s="9"/>
      <c r="C64" s="16">
        <v>35970</v>
      </c>
      <c r="D64" s="83" t="s">
        <v>11</v>
      </c>
      <c r="E64" s="83" t="s">
        <v>21</v>
      </c>
      <c r="F64" s="83">
        <v>2</v>
      </c>
      <c r="G64" s="84">
        <v>1</v>
      </c>
      <c r="H64" s="12"/>
      <c r="I64" s="12"/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89"/>
      <c r="E65" s="89"/>
      <c r="F65" s="89" t="s">
        <v>19</v>
      </c>
      <c r="G65" s="90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35970</v>
      </c>
      <c r="D66" s="83" t="s">
        <v>141</v>
      </c>
      <c r="E66" s="83" t="s">
        <v>117</v>
      </c>
      <c r="F66" s="83">
        <v>2</v>
      </c>
      <c r="G66" s="84">
        <v>2</v>
      </c>
      <c r="H66" s="12"/>
      <c r="I66" s="12"/>
      <c r="J66" s="12"/>
      <c r="K66" s="13"/>
      <c r="S66" s="46"/>
      <c r="T66" s="17"/>
      <c r="U66" s="17"/>
      <c r="V66" s="17"/>
      <c r="W66" s="17"/>
      <c r="X66" s="19"/>
      <c r="Y66" s="20"/>
    </row>
    <row r="67" spans="1:25" x14ac:dyDescent="0.3">
      <c r="A67" s="115"/>
      <c r="B67" s="9"/>
      <c r="C67" s="9"/>
      <c r="D67" s="83"/>
      <c r="E67" s="83"/>
      <c r="F67" s="83" t="s">
        <v>19</v>
      </c>
      <c r="G67" s="84" t="s">
        <v>9</v>
      </c>
      <c r="H67" s="12"/>
      <c r="I67" s="12"/>
      <c r="J67" s="12"/>
      <c r="K67" s="13"/>
      <c r="S67" s="46"/>
      <c r="T67" s="17"/>
      <c r="U67" s="17"/>
      <c r="V67" s="17"/>
      <c r="W67" s="17"/>
      <c r="X67" s="19"/>
      <c r="Y67" s="20"/>
    </row>
    <row r="68" spans="1:25" x14ac:dyDescent="0.3">
      <c r="A68" s="115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5" ht="15" thickBot="1" x14ac:dyDescent="0.35">
      <c r="A69" s="112"/>
      <c r="B69" s="9" t="s">
        <v>62</v>
      </c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118</v>
      </c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 t="s">
        <v>90</v>
      </c>
      <c r="B70" s="30" t="s">
        <v>117</v>
      </c>
      <c r="C70" s="109">
        <v>3</v>
      </c>
      <c r="D70" s="109">
        <v>2</v>
      </c>
      <c r="E70" s="109">
        <v>1</v>
      </c>
      <c r="F70" s="109">
        <v>0</v>
      </c>
      <c r="G70" s="33">
        <v>5</v>
      </c>
      <c r="H70" s="33">
        <v>3</v>
      </c>
      <c r="I70" s="33">
        <v>7</v>
      </c>
      <c r="J70" s="139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36" t="s">
        <v>21</v>
      </c>
      <c r="C71" s="17"/>
      <c r="D71" s="17"/>
      <c r="E71" s="17"/>
      <c r="F71" s="17"/>
      <c r="G71" s="38"/>
      <c r="H71" s="38"/>
      <c r="I71" s="38"/>
      <c r="J71" s="139"/>
      <c r="K71" s="13"/>
      <c r="S71" s="8"/>
      <c r="T71" s="9"/>
      <c r="U71" s="9"/>
      <c r="V71" s="9"/>
      <c r="W71" s="9"/>
      <c r="X71" s="19"/>
      <c r="Y71" s="20"/>
    </row>
    <row r="72" spans="1:25" x14ac:dyDescent="0.3">
      <c r="A72" s="112"/>
      <c r="B72" s="51" t="s">
        <v>11</v>
      </c>
      <c r="C72" s="9"/>
      <c r="D72" s="9"/>
      <c r="E72" s="9"/>
      <c r="F72" s="9"/>
      <c r="G72" s="12"/>
      <c r="H72" s="12"/>
      <c r="I72" s="12"/>
      <c r="J72" s="140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2"/>
      <c r="B73" s="50" t="s">
        <v>141</v>
      </c>
      <c r="C73" s="23"/>
      <c r="D73" s="23"/>
      <c r="E73" s="23"/>
      <c r="F73" s="23"/>
      <c r="G73" s="28"/>
      <c r="H73" s="28"/>
      <c r="I73" s="28"/>
      <c r="J73" s="140"/>
      <c r="K73" s="13"/>
      <c r="S73" s="8"/>
      <c r="T73" s="9"/>
      <c r="U73" s="9"/>
      <c r="V73" s="9"/>
      <c r="W73" s="9"/>
      <c r="X73" s="19"/>
      <c r="Y73" s="20"/>
    </row>
    <row r="74" spans="1:25" ht="15" thickBot="1" x14ac:dyDescent="0.35">
      <c r="A74" s="112"/>
      <c r="B74" s="9"/>
      <c r="C74" s="9"/>
      <c r="D74" s="9"/>
      <c r="E74" s="9"/>
      <c r="F74" s="9"/>
      <c r="G74" s="12"/>
      <c r="H74" s="12"/>
      <c r="I74" s="12"/>
      <c r="J74" s="12"/>
      <c r="K74" s="45"/>
      <c r="S74" s="8"/>
      <c r="T74" s="9"/>
      <c r="U74" s="9"/>
      <c r="V74" s="9"/>
      <c r="W74" s="9"/>
      <c r="X74" s="19"/>
      <c r="Y74" s="20"/>
    </row>
    <row r="75" spans="1:25" ht="15" thickTop="1" x14ac:dyDescent="0.3">
      <c r="A75" s="111"/>
      <c r="B75" s="2"/>
      <c r="C75" s="2"/>
      <c r="D75" s="2"/>
      <c r="E75" s="2"/>
      <c r="F75" s="2"/>
      <c r="G75" s="3"/>
      <c r="H75" s="3"/>
      <c r="I75" s="3"/>
      <c r="J75" s="3"/>
      <c r="K75" s="13"/>
      <c r="S75" s="8"/>
      <c r="T75" s="9"/>
      <c r="U75" s="9"/>
      <c r="V75" s="9"/>
      <c r="W75" s="9"/>
      <c r="X75" s="19"/>
      <c r="Y75" s="20"/>
    </row>
    <row r="76" spans="1:25" ht="21" x14ac:dyDescent="0.4">
      <c r="A76" s="112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9"/>
      <c r="D77" s="9"/>
      <c r="E77" s="9"/>
      <c r="F77" s="15"/>
      <c r="G77" s="12"/>
      <c r="H77" s="12"/>
      <c r="I77" s="12"/>
      <c r="J77" s="12"/>
      <c r="K77" s="13"/>
      <c r="S77" s="8"/>
      <c r="T77" s="9"/>
      <c r="U77" s="9"/>
      <c r="V77" s="9"/>
      <c r="W77" s="9"/>
      <c r="X77" s="19"/>
      <c r="Y77" s="20"/>
    </row>
    <row r="78" spans="1:25" ht="15" thickBot="1" x14ac:dyDescent="0.35">
      <c r="A78" s="112"/>
      <c r="B78" s="9"/>
      <c r="C78" s="21">
        <v>35958</v>
      </c>
      <c r="D78" s="89" t="s">
        <v>25</v>
      </c>
      <c r="E78" s="89" t="s">
        <v>4</v>
      </c>
      <c r="F78" s="89">
        <v>0</v>
      </c>
      <c r="G78" s="90">
        <v>0</v>
      </c>
      <c r="H78" s="28"/>
      <c r="I78" s="28"/>
      <c r="J78" s="12"/>
      <c r="K78" s="13"/>
      <c r="S78" s="8" t="s">
        <v>25</v>
      </c>
      <c r="T78" s="9" t="s">
        <v>4</v>
      </c>
      <c r="U78" s="9">
        <v>0</v>
      </c>
      <c r="V78" s="9">
        <v>0</v>
      </c>
      <c r="W78" s="9"/>
      <c r="X78" s="19">
        <f t="shared" ref="X78:X83" si="12">(IF(U78&gt;V78,3,IF(U78=V78,1,2)))</f>
        <v>1</v>
      </c>
      <c r="Y78" s="20">
        <f t="shared" ref="Y78:Y83" si="13">(IF(V78&gt;U78,3,IF(U78=V78,1,2)))</f>
        <v>1</v>
      </c>
    </row>
    <row r="79" spans="1:25" x14ac:dyDescent="0.3">
      <c r="A79" s="112"/>
      <c r="B79" s="9"/>
      <c r="C79" s="16">
        <v>35959</v>
      </c>
      <c r="D79" s="83" t="s">
        <v>22</v>
      </c>
      <c r="E79" s="83" t="s">
        <v>115</v>
      </c>
      <c r="F79" s="83">
        <v>2</v>
      </c>
      <c r="G79" s="84">
        <v>3</v>
      </c>
      <c r="H79" s="12"/>
      <c r="I79" s="12"/>
      <c r="J79" s="12"/>
      <c r="K79" s="13"/>
      <c r="S79" s="8" t="s">
        <v>22</v>
      </c>
      <c r="T79" s="9" t="s">
        <v>115</v>
      </c>
      <c r="U79" s="9">
        <v>2</v>
      </c>
      <c r="V79" s="9">
        <v>3</v>
      </c>
      <c r="W79" s="9"/>
      <c r="X79" s="19">
        <f t="shared" si="12"/>
        <v>2</v>
      </c>
      <c r="Y79" s="20">
        <f t="shared" si="13"/>
        <v>3</v>
      </c>
    </row>
    <row r="80" spans="1:25" ht="15" thickBot="1" x14ac:dyDescent="0.35">
      <c r="A80" s="112"/>
      <c r="B80" s="9"/>
      <c r="C80" s="21"/>
      <c r="D80" s="89"/>
      <c r="E80" s="89"/>
      <c r="F80" s="89" t="s">
        <v>19</v>
      </c>
      <c r="G80" s="90" t="s">
        <v>9</v>
      </c>
      <c r="H80" s="28"/>
      <c r="I80" s="28"/>
      <c r="J80" s="12"/>
      <c r="K80" s="13"/>
      <c r="S80" s="8" t="s">
        <v>115</v>
      </c>
      <c r="T80" s="9" t="s">
        <v>4</v>
      </c>
      <c r="U80" s="9">
        <v>1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35965</v>
      </c>
      <c r="D81" s="83" t="s">
        <v>115</v>
      </c>
      <c r="E81" s="83" t="s">
        <v>4</v>
      </c>
      <c r="F81" s="83">
        <v>1</v>
      </c>
      <c r="G81" s="84">
        <v>0</v>
      </c>
      <c r="H81" s="12"/>
      <c r="I81" s="12"/>
      <c r="J81" s="12"/>
      <c r="K81" s="13"/>
      <c r="S81" s="8" t="s">
        <v>22</v>
      </c>
      <c r="T81" s="9" t="s">
        <v>25</v>
      </c>
      <c r="U81" s="9">
        <v>0</v>
      </c>
      <c r="V81" s="9">
        <v>0</v>
      </c>
      <c r="W81" s="9"/>
      <c r="X81" s="19">
        <f t="shared" si="12"/>
        <v>1</v>
      </c>
      <c r="Y81" s="20">
        <f t="shared" si="13"/>
        <v>1</v>
      </c>
    </row>
    <row r="82" spans="1:25" ht="15" thickBot="1" x14ac:dyDescent="0.35">
      <c r="A82" s="112"/>
      <c r="B82" s="9"/>
      <c r="C82" s="21"/>
      <c r="D82" s="89"/>
      <c r="E82" s="89"/>
      <c r="F82" s="89" t="s">
        <v>19</v>
      </c>
      <c r="G82" s="90" t="s">
        <v>15</v>
      </c>
      <c r="H82" s="28"/>
      <c r="I82" s="28"/>
      <c r="J82" s="12"/>
      <c r="K82" s="13"/>
      <c r="S82" s="8" t="s">
        <v>22</v>
      </c>
      <c r="T82" s="9" t="s">
        <v>4</v>
      </c>
      <c r="U82" s="9">
        <v>6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ht="15" thickBot="1" x14ac:dyDescent="0.35">
      <c r="A83" s="112"/>
      <c r="B83" s="9"/>
      <c r="C83" s="145">
        <v>35965</v>
      </c>
      <c r="D83" s="146" t="s">
        <v>22</v>
      </c>
      <c r="E83" s="146" t="s">
        <v>25</v>
      </c>
      <c r="F83" s="146">
        <v>0</v>
      </c>
      <c r="G83" s="147">
        <v>0</v>
      </c>
      <c r="H83" s="148"/>
      <c r="I83" s="148"/>
      <c r="J83" s="12"/>
      <c r="K83" s="13"/>
      <c r="S83" s="8" t="s">
        <v>115</v>
      </c>
      <c r="T83" s="9" t="s">
        <v>25</v>
      </c>
      <c r="U83" s="9">
        <v>1</v>
      </c>
      <c r="V83" s="9">
        <v>3</v>
      </c>
      <c r="W83" s="9"/>
      <c r="X83" s="19">
        <f t="shared" si="12"/>
        <v>2</v>
      </c>
      <c r="Y83" s="20">
        <f t="shared" si="13"/>
        <v>3</v>
      </c>
    </row>
    <row r="84" spans="1:25" x14ac:dyDescent="0.3">
      <c r="A84" s="112"/>
      <c r="B84" s="9"/>
      <c r="C84" s="16">
        <v>35970</v>
      </c>
      <c r="D84" s="83" t="s">
        <v>22</v>
      </c>
      <c r="E84" s="83" t="s">
        <v>4</v>
      </c>
      <c r="F84" s="83">
        <v>6</v>
      </c>
      <c r="G84" s="84">
        <v>1</v>
      </c>
      <c r="H84" s="12"/>
      <c r="I84" s="12"/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2"/>
      <c r="B85" s="9"/>
      <c r="C85" s="21"/>
      <c r="D85" s="89"/>
      <c r="E85" s="89"/>
      <c r="F85" s="89" t="s">
        <v>14</v>
      </c>
      <c r="G85" s="90" t="s">
        <v>15</v>
      </c>
      <c r="H85" s="28"/>
      <c r="I85" s="28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2"/>
      <c r="B86" s="17"/>
      <c r="C86" s="16">
        <v>35970</v>
      </c>
      <c r="D86" s="37" t="s">
        <v>115</v>
      </c>
      <c r="E86" s="37" t="s">
        <v>25</v>
      </c>
      <c r="F86" s="83">
        <v>1</v>
      </c>
      <c r="G86" s="84">
        <v>3</v>
      </c>
      <c r="H86" s="12"/>
      <c r="I86" s="12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5"/>
      <c r="B87" s="17"/>
      <c r="C87" s="17"/>
      <c r="D87" s="37"/>
      <c r="E87" s="37"/>
      <c r="F87" s="83" t="s">
        <v>19</v>
      </c>
      <c r="G87" s="84" t="s">
        <v>9</v>
      </c>
      <c r="H87" s="12"/>
      <c r="I87" s="12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5"/>
      <c r="B88" s="17"/>
      <c r="C88" s="17"/>
      <c r="D88" s="17"/>
      <c r="E88" s="17"/>
      <c r="F88" s="9"/>
      <c r="G88" s="12"/>
      <c r="H88" s="12"/>
      <c r="I88" s="12"/>
      <c r="J88" s="12"/>
      <c r="K88" s="13"/>
      <c r="S88" s="8"/>
      <c r="T88" s="9"/>
      <c r="U88" s="9"/>
      <c r="V88" s="9"/>
      <c r="W88" s="9"/>
      <c r="X88" s="9"/>
      <c r="Y88" s="10"/>
    </row>
    <row r="89" spans="1:25" ht="15" thickBot="1" x14ac:dyDescent="0.35">
      <c r="A89" s="112"/>
      <c r="B89" s="9" t="s">
        <v>62</v>
      </c>
      <c r="C89" s="9" t="s">
        <v>27</v>
      </c>
      <c r="D89" s="9" t="s">
        <v>28</v>
      </c>
      <c r="E89" s="9" t="s">
        <v>29</v>
      </c>
      <c r="F89" s="9" t="s">
        <v>30</v>
      </c>
      <c r="G89" s="12" t="s">
        <v>31</v>
      </c>
      <c r="H89" s="12" t="s">
        <v>32</v>
      </c>
      <c r="I89" s="12" t="s">
        <v>118</v>
      </c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112" t="s">
        <v>90</v>
      </c>
      <c r="B90" s="30" t="s">
        <v>25</v>
      </c>
      <c r="C90" s="109">
        <v>3</v>
      </c>
      <c r="D90" s="109">
        <v>2</v>
      </c>
      <c r="E90" s="109">
        <v>0</v>
      </c>
      <c r="F90" s="109">
        <v>1</v>
      </c>
      <c r="G90" s="33">
        <v>6</v>
      </c>
      <c r="H90" s="33">
        <v>2</v>
      </c>
      <c r="I90" s="33">
        <v>6</v>
      </c>
      <c r="J90" s="139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36" t="s">
        <v>4</v>
      </c>
      <c r="C91" s="17"/>
      <c r="D91" s="17"/>
      <c r="E91" s="17"/>
      <c r="F91" s="17"/>
      <c r="G91" s="38"/>
      <c r="H91" s="38"/>
      <c r="I91" s="38"/>
      <c r="J91" s="139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51" t="s">
        <v>22</v>
      </c>
      <c r="C92" s="9"/>
      <c r="D92" s="9"/>
      <c r="E92" s="9"/>
      <c r="F92" s="9"/>
      <c r="G92" s="12"/>
      <c r="H92" s="12"/>
      <c r="I92" s="12"/>
      <c r="J92" s="140"/>
      <c r="K92" s="13"/>
      <c r="S92" s="8"/>
      <c r="T92" s="9"/>
      <c r="U92" s="9"/>
      <c r="V92" s="9"/>
      <c r="W92" s="9"/>
      <c r="X92" s="19"/>
      <c r="Y92" s="20"/>
    </row>
    <row r="93" spans="1:25" ht="15" thickBot="1" x14ac:dyDescent="0.35">
      <c r="A93" s="112"/>
      <c r="B93" s="50" t="s">
        <v>115</v>
      </c>
      <c r="C93" s="23"/>
      <c r="D93" s="23"/>
      <c r="E93" s="23"/>
      <c r="F93" s="23"/>
      <c r="G93" s="28"/>
      <c r="H93" s="28"/>
      <c r="I93" s="28"/>
      <c r="J93" s="140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9"/>
      <c r="C94" s="9"/>
      <c r="D94" s="9"/>
      <c r="E94" s="9"/>
      <c r="F94" s="9"/>
      <c r="G94" s="12"/>
      <c r="H94" s="12"/>
      <c r="I94" s="12"/>
      <c r="J94" s="12"/>
      <c r="K94" s="45"/>
      <c r="S94" s="8"/>
      <c r="T94" s="9"/>
      <c r="U94" s="9"/>
      <c r="V94" s="9"/>
      <c r="W94" s="9"/>
      <c r="X94" s="19"/>
      <c r="Y94" s="20"/>
    </row>
    <row r="95" spans="1:25" ht="15" thickTop="1" x14ac:dyDescent="0.3">
      <c r="A95" s="111"/>
      <c r="B95" s="2"/>
      <c r="C95" s="2"/>
      <c r="D95" s="2"/>
      <c r="E95" s="2"/>
      <c r="F95" s="2"/>
      <c r="G95" s="3"/>
      <c r="H95" s="3"/>
      <c r="I95" s="3"/>
      <c r="J95" s="3"/>
      <c r="K95" s="13"/>
      <c r="S95" s="8"/>
      <c r="T95" s="9"/>
      <c r="U95" s="9"/>
      <c r="V95" s="9"/>
      <c r="W95" s="9"/>
      <c r="X95" s="19"/>
      <c r="Y95" s="20"/>
    </row>
    <row r="96" spans="1:25" ht="21" x14ac:dyDescent="0.4">
      <c r="A96" s="112"/>
      <c r="B96" s="9"/>
      <c r="C96" s="9"/>
      <c r="D96" s="9"/>
      <c r="E96" s="9"/>
      <c r="F96" s="14" t="s">
        <v>55</v>
      </c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x14ac:dyDescent="0.3">
      <c r="A97" s="112"/>
      <c r="B97" s="9"/>
      <c r="C97" s="9"/>
      <c r="D97" s="9"/>
      <c r="E97" s="9"/>
      <c r="F97" s="15"/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16">
        <v>35959</v>
      </c>
      <c r="D98" s="83" t="s">
        <v>10</v>
      </c>
      <c r="E98" s="83" t="s">
        <v>18</v>
      </c>
      <c r="F98" s="83">
        <v>1</v>
      </c>
      <c r="G98" s="84">
        <v>3</v>
      </c>
      <c r="H98" s="12"/>
      <c r="I98" s="12"/>
      <c r="J98" s="12"/>
      <c r="K98" s="13"/>
      <c r="S98" s="8" t="s">
        <v>10</v>
      </c>
      <c r="T98" s="9" t="s">
        <v>18</v>
      </c>
      <c r="U98" s="9">
        <v>1</v>
      </c>
      <c r="V98" s="9">
        <v>3</v>
      </c>
      <c r="W98" s="9"/>
      <c r="X98" s="19">
        <f t="shared" ref="X98:X103" si="14">(IF(U98&gt;V98,3,IF(U98=V98,1,2)))</f>
        <v>2</v>
      </c>
      <c r="Y98" s="20">
        <f t="shared" ref="Y98:Y103" si="15">(IF(V98&gt;U98,3,IF(U98=V98,1,2)))</f>
        <v>3</v>
      </c>
    </row>
    <row r="99" spans="1:25" ht="15" thickBot="1" x14ac:dyDescent="0.35">
      <c r="A99" s="112"/>
      <c r="B99" s="9"/>
      <c r="C99" s="21"/>
      <c r="D99" s="89"/>
      <c r="E99" s="89"/>
      <c r="F99" s="89" t="s">
        <v>19</v>
      </c>
      <c r="G99" s="90" t="s">
        <v>15</v>
      </c>
      <c r="H99" s="28"/>
      <c r="I99" s="28"/>
      <c r="J99" s="12"/>
      <c r="K99" s="13"/>
      <c r="S99" s="8" t="s">
        <v>89</v>
      </c>
      <c r="T99" s="9" t="s">
        <v>20</v>
      </c>
      <c r="U99" s="9">
        <v>0</v>
      </c>
      <c r="V99" s="9">
        <v>0</v>
      </c>
      <c r="W99" s="9"/>
      <c r="X99" s="19">
        <f t="shared" si="14"/>
        <v>1</v>
      </c>
      <c r="Y99" s="20">
        <f t="shared" si="15"/>
        <v>1</v>
      </c>
    </row>
    <row r="100" spans="1:25" ht="15" thickBot="1" x14ac:dyDescent="0.35">
      <c r="A100" s="112"/>
      <c r="B100" s="9"/>
      <c r="C100" s="145">
        <v>35959</v>
      </c>
      <c r="D100" s="146" t="s">
        <v>89</v>
      </c>
      <c r="E100" s="146" t="s">
        <v>20</v>
      </c>
      <c r="F100" s="146">
        <v>0</v>
      </c>
      <c r="G100" s="147">
        <v>0</v>
      </c>
      <c r="H100" s="148"/>
      <c r="I100" s="148"/>
      <c r="J100" s="12"/>
      <c r="K100" s="13"/>
      <c r="S100" s="8" t="s">
        <v>20</v>
      </c>
      <c r="T100" s="9" t="s">
        <v>18</v>
      </c>
      <c r="U100" s="9">
        <v>2</v>
      </c>
      <c r="V100" s="9">
        <v>2</v>
      </c>
      <c r="W100" s="9"/>
      <c r="X100" s="19">
        <f t="shared" si="14"/>
        <v>1</v>
      </c>
      <c r="Y100" s="20">
        <f t="shared" si="15"/>
        <v>1</v>
      </c>
    </row>
    <row r="101" spans="1:25" x14ac:dyDescent="0.3">
      <c r="A101" s="112"/>
      <c r="B101" s="9"/>
      <c r="C101" s="16">
        <v>35966</v>
      </c>
      <c r="D101" s="83" t="s">
        <v>20</v>
      </c>
      <c r="E101" s="83" t="s">
        <v>18</v>
      </c>
      <c r="F101" s="83">
        <v>2</v>
      </c>
      <c r="G101" s="84">
        <v>2</v>
      </c>
      <c r="H101" s="12"/>
      <c r="I101" s="12"/>
      <c r="J101" s="12"/>
      <c r="K101" s="13"/>
      <c r="S101" s="8" t="s">
        <v>89</v>
      </c>
      <c r="T101" s="9" t="s">
        <v>10</v>
      </c>
      <c r="U101" s="9">
        <v>5</v>
      </c>
      <c r="V101" s="9">
        <v>0</v>
      </c>
      <c r="W101" s="9"/>
      <c r="X101" s="19">
        <f t="shared" si="14"/>
        <v>3</v>
      </c>
      <c r="Y101" s="20">
        <f t="shared" si="15"/>
        <v>2</v>
      </c>
    </row>
    <row r="102" spans="1:25" s="35" customFormat="1" ht="15" thickBot="1" x14ac:dyDescent="0.35">
      <c r="A102" s="112"/>
      <c r="B102" s="9"/>
      <c r="C102" s="21"/>
      <c r="D102" s="89"/>
      <c r="E102" s="89"/>
      <c r="F102" s="89" t="s">
        <v>19</v>
      </c>
      <c r="G102" s="90" t="s">
        <v>15</v>
      </c>
      <c r="H102" s="28"/>
      <c r="I102" s="28"/>
      <c r="J102" s="12"/>
      <c r="K102" s="13"/>
      <c r="S102" s="8" t="s">
        <v>20</v>
      </c>
      <c r="T102" s="9" t="s">
        <v>10</v>
      </c>
      <c r="U102" s="9">
        <v>1</v>
      </c>
      <c r="V102" s="9">
        <v>1</v>
      </c>
      <c r="W102" s="9"/>
      <c r="X102" s="19">
        <f t="shared" si="14"/>
        <v>1</v>
      </c>
      <c r="Y102" s="20">
        <f t="shared" si="15"/>
        <v>1</v>
      </c>
    </row>
    <row r="103" spans="1:25" s="35" customFormat="1" x14ac:dyDescent="0.3">
      <c r="A103" s="112"/>
      <c r="B103" s="9"/>
      <c r="C103" s="16">
        <v>35966</v>
      </c>
      <c r="D103" s="83" t="s">
        <v>89</v>
      </c>
      <c r="E103" s="83" t="s">
        <v>10</v>
      </c>
      <c r="F103" s="83">
        <v>5</v>
      </c>
      <c r="G103" s="84">
        <v>0</v>
      </c>
      <c r="H103" s="12"/>
      <c r="I103" s="12"/>
      <c r="J103" s="12"/>
      <c r="K103" s="13"/>
      <c r="S103" s="8" t="s">
        <v>89</v>
      </c>
      <c r="T103" s="9" t="s">
        <v>18</v>
      </c>
      <c r="U103" s="9">
        <v>2</v>
      </c>
      <c r="V103" s="9">
        <v>2</v>
      </c>
      <c r="W103" s="9"/>
      <c r="X103" s="19">
        <f t="shared" si="14"/>
        <v>1</v>
      </c>
      <c r="Y103" s="20">
        <f t="shared" si="15"/>
        <v>1</v>
      </c>
    </row>
    <row r="104" spans="1:25" s="35" customFormat="1" ht="15" thickBot="1" x14ac:dyDescent="0.35">
      <c r="A104" s="112"/>
      <c r="B104" s="9"/>
      <c r="C104" s="21"/>
      <c r="D104" s="89"/>
      <c r="E104" s="89"/>
      <c r="F104" s="89" t="s">
        <v>14</v>
      </c>
      <c r="G104" s="90" t="s">
        <v>15</v>
      </c>
      <c r="H104" s="28"/>
      <c r="I104" s="28"/>
      <c r="J104" s="12"/>
      <c r="K104" s="13"/>
      <c r="S104" s="8"/>
      <c r="T104" s="9"/>
      <c r="U104" s="9"/>
      <c r="V104" s="9"/>
      <c r="W104" s="9"/>
      <c r="X104" s="19"/>
      <c r="Y104" s="20"/>
    </row>
    <row r="105" spans="1:25" x14ac:dyDescent="0.3">
      <c r="A105" s="112"/>
      <c r="B105" s="9"/>
      <c r="C105" s="141">
        <v>35971</v>
      </c>
      <c r="D105" s="142" t="s">
        <v>20</v>
      </c>
      <c r="E105" s="142" t="s">
        <v>10</v>
      </c>
      <c r="F105" s="142">
        <v>1</v>
      </c>
      <c r="G105" s="143">
        <v>1</v>
      </c>
      <c r="H105" s="144"/>
      <c r="I105" s="144"/>
      <c r="J105" s="12"/>
      <c r="K105" s="13"/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A106" s="112"/>
      <c r="B106" s="9"/>
      <c r="C106" s="21"/>
      <c r="D106" s="89"/>
      <c r="E106" s="89"/>
      <c r="F106" s="89" t="s">
        <v>19</v>
      </c>
      <c r="G106" s="90" t="s">
        <v>15</v>
      </c>
      <c r="H106" s="28"/>
      <c r="I106" s="28"/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x14ac:dyDescent="0.3">
      <c r="A107" s="112"/>
      <c r="B107" s="17"/>
      <c r="C107" s="16">
        <v>35971</v>
      </c>
      <c r="D107" s="37" t="s">
        <v>89</v>
      </c>
      <c r="E107" s="37" t="s">
        <v>18</v>
      </c>
      <c r="F107" s="83">
        <v>2</v>
      </c>
      <c r="G107" s="84">
        <v>2</v>
      </c>
      <c r="H107" s="12"/>
      <c r="I107" s="12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5"/>
      <c r="B108" s="17"/>
      <c r="C108" s="17"/>
      <c r="D108" s="37"/>
      <c r="E108" s="37"/>
      <c r="F108" s="83" t="s">
        <v>14</v>
      </c>
      <c r="G108" s="84" t="s">
        <v>15</v>
      </c>
      <c r="H108" s="12"/>
      <c r="I108" s="12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5"/>
      <c r="B109" s="17"/>
      <c r="C109" s="17"/>
      <c r="D109" s="17"/>
      <c r="E109" s="17"/>
      <c r="F109" s="9"/>
      <c r="G109" s="12"/>
      <c r="H109" s="12"/>
      <c r="I109" s="12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ht="15" thickBot="1" x14ac:dyDescent="0.35">
      <c r="A110" s="112"/>
      <c r="B110" s="9" t="s">
        <v>62</v>
      </c>
      <c r="C110" s="9" t="s">
        <v>27</v>
      </c>
      <c r="D110" s="9" t="s">
        <v>28</v>
      </c>
      <c r="E110" s="9" t="s">
        <v>29</v>
      </c>
      <c r="F110" s="9" t="s">
        <v>30</v>
      </c>
      <c r="G110" s="12" t="s">
        <v>31</v>
      </c>
      <c r="H110" s="12" t="s">
        <v>32</v>
      </c>
      <c r="I110" s="12" t="s">
        <v>118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 t="s">
        <v>90</v>
      </c>
      <c r="B111" s="30" t="s">
        <v>10</v>
      </c>
      <c r="C111" s="109">
        <v>3</v>
      </c>
      <c r="D111" s="109">
        <v>1</v>
      </c>
      <c r="E111" s="109">
        <v>1</v>
      </c>
      <c r="F111" s="109">
        <v>1</v>
      </c>
      <c r="G111" s="33">
        <v>3</v>
      </c>
      <c r="H111" s="33">
        <v>3</v>
      </c>
      <c r="I111" s="33">
        <v>4</v>
      </c>
      <c r="J111" s="139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2"/>
      <c r="B112" s="36" t="s">
        <v>18</v>
      </c>
      <c r="C112" s="17"/>
      <c r="D112" s="17"/>
      <c r="E112" s="17"/>
      <c r="F112" s="17"/>
      <c r="G112" s="38"/>
      <c r="H112" s="38"/>
      <c r="I112" s="38"/>
      <c r="J112" s="139"/>
      <c r="K112" s="13"/>
      <c r="S112" s="8"/>
      <c r="T112" s="9"/>
      <c r="U112" s="9"/>
      <c r="V112" s="9"/>
      <c r="W112" s="9"/>
      <c r="X112" s="9"/>
      <c r="Y112" s="10"/>
    </row>
    <row r="113" spans="1:25" x14ac:dyDescent="0.3">
      <c r="A113" s="112"/>
      <c r="B113" s="51" t="s">
        <v>89</v>
      </c>
      <c r="C113" s="9"/>
      <c r="D113" s="9"/>
      <c r="E113" s="9"/>
      <c r="F113" s="9"/>
      <c r="G113" s="12"/>
      <c r="H113" s="12"/>
      <c r="I113" s="12"/>
      <c r="J113" s="140"/>
      <c r="K113" s="13"/>
      <c r="S113" s="8"/>
      <c r="T113" s="9"/>
      <c r="U113" s="9"/>
      <c r="V113" s="9"/>
      <c r="W113" s="9"/>
      <c r="X113" s="9"/>
      <c r="Y113" s="10"/>
    </row>
    <row r="114" spans="1:25" s="35" customFormat="1" ht="15" thickBot="1" x14ac:dyDescent="0.35">
      <c r="A114" s="112"/>
      <c r="B114" s="50" t="s">
        <v>20</v>
      </c>
      <c r="C114" s="23"/>
      <c r="D114" s="23"/>
      <c r="E114" s="23"/>
      <c r="F114" s="23"/>
      <c r="G114" s="28"/>
      <c r="H114" s="28"/>
      <c r="I114" s="28"/>
      <c r="J114" s="140"/>
      <c r="K114" s="13"/>
      <c r="S114" s="8"/>
      <c r="T114" s="9"/>
      <c r="U114" s="9"/>
      <c r="V114" s="9"/>
      <c r="W114" s="9"/>
      <c r="X114" s="19"/>
      <c r="Y114" s="20"/>
    </row>
    <row r="115" spans="1:25" ht="15" thickBot="1" x14ac:dyDescent="0.35">
      <c r="A115" s="117"/>
      <c r="B115" s="53"/>
      <c r="C115" s="53"/>
      <c r="D115" s="53"/>
      <c r="E115" s="53"/>
      <c r="F115" s="53"/>
      <c r="G115" s="54"/>
      <c r="H115" s="54"/>
      <c r="I115" s="54"/>
      <c r="J115" s="54"/>
      <c r="K115" s="45"/>
      <c r="S115" s="8"/>
      <c r="T115" s="9"/>
      <c r="U115" s="9"/>
      <c r="V115" s="9"/>
      <c r="W115" s="9"/>
      <c r="X115" s="19"/>
      <c r="Y115" s="20"/>
    </row>
    <row r="116" spans="1:25" ht="15" thickTop="1" x14ac:dyDescent="0.3">
      <c r="A116" s="111"/>
      <c r="B116" s="2"/>
      <c r="C116" s="2"/>
      <c r="D116" s="2"/>
      <c r="E116" s="2"/>
      <c r="F116" s="2"/>
      <c r="G116" s="3"/>
      <c r="H116" s="3"/>
      <c r="I116" s="3"/>
      <c r="J116" s="3"/>
      <c r="K116" s="13"/>
      <c r="S116" s="8"/>
      <c r="T116" s="9"/>
      <c r="U116" s="9"/>
      <c r="V116" s="9"/>
      <c r="W116" s="9"/>
      <c r="X116" s="19"/>
      <c r="Y116" s="20"/>
    </row>
    <row r="117" spans="1:25" ht="21" x14ac:dyDescent="0.4">
      <c r="A117" s="112"/>
      <c r="B117" s="9"/>
      <c r="C117" s="9"/>
      <c r="D117" s="9"/>
      <c r="E117" s="9"/>
      <c r="F117" s="14" t="s">
        <v>58</v>
      </c>
      <c r="G117" s="12"/>
      <c r="H117" s="12"/>
      <c r="I117" s="12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15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6">
        <v>35960</v>
      </c>
      <c r="D119" s="83" t="s">
        <v>83</v>
      </c>
      <c r="E119" s="83" t="s">
        <v>140</v>
      </c>
      <c r="F119" s="83">
        <v>1</v>
      </c>
      <c r="G119" s="84">
        <v>0</v>
      </c>
      <c r="H119" s="12"/>
      <c r="I119" s="12"/>
      <c r="J119" s="12"/>
      <c r="K119" s="13"/>
      <c r="S119" s="8" t="s">
        <v>83</v>
      </c>
      <c r="T119" s="9" t="s">
        <v>140</v>
      </c>
      <c r="U119" s="9">
        <v>1</v>
      </c>
      <c r="V119" s="9">
        <v>0</v>
      </c>
      <c r="W119" s="9"/>
      <c r="X119" s="19">
        <f t="shared" ref="X119:X124" si="16">(IF(U119&gt;V119,3,IF(U119=V119,1,2)))</f>
        <v>3</v>
      </c>
      <c r="Y119" s="20">
        <f t="shared" ref="Y119:Y124" si="17">(IF(V119&gt;U119,3,IF(U119=V119,1,2)))</f>
        <v>2</v>
      </c>
    </row>
    <row r="120" spans="1:25" ht="15" thickBot="1" x14ac:dyDescent="0.35">
      <c r="A120" s="112"/>
      <c r="B120" s="9"/>
      <c r="C120" s="21"/>
      <c r="D120" s="89"/>
      <c r="E120" s="89"/>
      <c r="F120" s="89" t="s">
        <v>8</v>
      </c>
      <c r="G120" s="90" t="s">
        <v>15</v>
      </c>
      <c r="H120" s="28"/>
      <c r="I120" s="28"/>
      <c r="J120" s="12"/>
      <c r="K120" s="13"/>
      <c r="S120" s="8" t="s">
        <v>13</v>
      </c>
      <c r="T120" s="9" t="s">
        <v>78</v>
      </c>
      <c r="U120" s="9">
        <v>2</v>
      </c>
      <c r="V120" s="9">
        <v>0</v>
      </c>
      <c r="W120" s="9"/>
      <c r="X120" s="19">
        <f t="shared" si="16"/>
        <v>3</v>
      </c>
      <c r="Y120" s="20">
        <f t="shared" si="17"/>
        <v>2</v>
      </c>
    </row>
    <row r="121" spans="1:25" x14ac:dyDescent="0.3">
      <c r="A121" s="112"/>
      <c r="B121" s="9"/>
      <c r="C121" s="16">
        <v>35961</v>
      </c>
      <c r="D121" s="83" t="s">
        <v>13</v>
      </c>
      <c r="E121" s="83" t="s">
        <v>78</v>
      </c>
      <c r="F121" s="83">
        <v>2</v>
      </c>
      <c r="G121" s="84">
        <v>0</v>
      </c>
      <c r="H121" s="12"/>
      <c r="I121" s="12"/>
      <c r="J121" s="12"/>
      <c r="K121" s="13"/>
      <c r="S121" s="8" t="s">
        <v>13</v>
      </c>
      <c r="T121" s="9" t="s">
        <v>83</v>
      </c>
      <c r="U121" s="9">
        <v>2</v>
      </c>
      <c r="V121" s="9">
        <v>2</v>
      </c>
      <c r="W121" s="9"/>
      <c r="X121" s="19">
        <f t="shared" si="16"/>
        <v>1</v>
      </c>
      <c r="Y121" s="20">
        <f t="shared" si="17"/>
        <v>1</v>
      </c>
    </row>
    <row r="122" spans="1:25" ht="15" thickBot="1" x14ac:dyDescent="0.35">
      <c r="A122" s="112"/>
      <c r="B122" s="9"/>
      <c r="C122" s="21"/>
      <c r="D122" s="89"/>
      <c r="E122" s="89"/>
      <c r="F122" s="89" t="s">
        <v>19</v>
      </c>
      <c r="G122" s="90" t="s">
        <v>15</v>
      </c>
      <c r="H122" s="28"/>
      <c r="I122" s="28"/>
      <c r="J122" s="12"/>
      <c r="K122" s="13"/>
      <c r="S122" s="8" t="s">
        <v>78</v>
      </c>
      <c r="T122" s="9" t="s">
        <v>140</v>
      </c>
      <c r="U122" s="9">
        <v>1</v>
      </c>
      <c r="V122" s="9">
        <v>2</v>
      </c>
      <c r="W122" s="9"/>
      <c r="X122" s="19">
        <f t="shared" si="16"/>
        <v>2</v>
      </c>
      <c r="Y122" s="20">
        <f t="shared" si="17"/>
        <v>3</v>
      </c>
    </row>
    <row r="123" spans="1:25" s="35" customFormat="1" x14ac:dyDescent="0.3">
      <c r="A123" s="112"/>
      <c r="B123" s="9"/>
      <c r="C123" s="16">
        <v>35967</v>
      </c>
      <c r="D123" s="83" t="s">
        <v>13</v>
      </c>
      <c r="E123" s="83" t="s">
        <v>83</v>
      </c>
      <c r="F123" s="83">
        <v>2</v>
      </c>
      <c r="G123" s="84">
        <v>2</v>
      </c>
      <c r="H123" s="12"/>
      <c r="I123" s="12"/>
      <c r="J123" s="12"/>
      <c r="K123" s="13"/>
      <c r="S123" s="8" t="s">
        <v>13</v>
      </c>
      <c r="T123" s="9" t="s">
        <v>140</v>
      </c>
      <c r="U123" s="9">
        <v>2</v>
      </c>
      <c r="V123" s="9">
        <v>0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112"/>
      <c r="B124" s="9"/>
      <c r="C124" s="21"/>
      <c r="D124" s="89"/>
      <c r="E124" s="89"/>
      <c r="F124" s="89" t="s">
        <v>8</v>
      </c>
      <c r="G124" s="90" t="s">
        <v>9</v>
      </c>
      <c r="H124" s="28"/>
      <c r="I124" s="28"/>
      <c r="J124" s="12"/>
      <c r="K124" s="13"/>
      <c r="S124" s="8" t="s">
        <v>78</v>
      </c>
      <c r="T124" s="9" t="s">
        <v>83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112"/>
      <c r="B125" s="9"/>
      <c r="C125" s="16">
        <v>35967</v>
      </c>
      <c r="D125" s="83" t="s">
        <v>78</v>
      </c>
      <c r="E125" s="83" t="s">
        <v>140</v>
      </c>
      <c r="F125" s="83">
        <v>1</v>
      </c>
      <c r="G125" s="84">
        <v>2</v>
      </c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ht="15" thickBot="1" x14ac:dyDescent="0.35">
      <c r="A126" s="112"/>
      <c r="B126" s="9"/>
      <c r="C126" s="21"/>
      <c r="D126" s="89"/>
      <c r="E126" s="89"/>
      <c r="F126" s="89" t="s">
        <v>8</v>
      </c>
      <c r="G126" s="90" t="s">
        <v>9</v>
      </c>
      <c r="H126" s="28"/>
      <c r="I126" s="28"/>
      <c r="J126" s="12"/>
      <c r="K126" s="13"/>
      <c r="S126" s="8"/>
      <c r="T126" s="9"/>
      <c r="U126" s="9"/>
      <c r="V126" s="9"/>
      <c r="W126" s="9"/>
      <c r="X126" s="19"/>
      <c r="Y126" s="20"/>
    </row>
    <row r="127" spans="1:25" x14ac:dyDescent="0.3">
      <c r="A127" s="112"/>
      <c r="B127" s="9"/>
      <c r="C127" s="16">
        <v>35971</v>
      </c>
      <c r="D127" s="83" t="s">
        <v>13</v>
      </c>
      <c r="E127" s="83" t="s">
        <v>140</v>
      </c>
      <c r="F127" s="83">
        <v>2</v>
      </c>
      <c r="G127" s="84">
        <v>0</v>
      </c>
      <c r="H127" s="12"/>
      <c r="I127" s="12"/>
      <c r="J127" s="12"/>
      <c r="K127" s="13"/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A128" s="112"/>
      <c r="B128" s="9"/>
      <c r="C128" s="21"/>
      <c r="D128" s="89"/>
      <c r="E128" s="89"/>
      <c r="F128" s="89" t="s">
        <v>8</v>
      </c>
      <c r="G128" s="90" t="s">
        <v>15</v>
      </c>
      <c r="H128" s="28"/>
      <c r="I128" s="28"/>
      <c r="J128" s="12"/>
      <c r="K128" s="13"/>
      <c r="S128" s="8"/>
      <c r="T128" s="9"/>
      <c r="U128" s="9"/>
      <c r="V128" s="9"/>
      <c r="W128" s="9"/>
      <c r="X128" s="19"/>
      <c r="Y128" s="20"/>
    </row>
    <row r="129" spans="1:25" x14ac:dyDescent="0.3">
      <c r="A129" s="112"/>
      <c r="B129" s="17"/>
      <c r="C129" s="16">
        <v>35971</v>
      </c>
      <c r="D129" s="37" t="s">
        <v>78</v>
      </c>
      <c r="E129" s="37" t="s">
        <v>83</v>
      </c>
      <c r="F129" s="83">
        <v>0</v>
      </c>
      <c r="G129" s="84">
        <v>1</v>
      </c>
      <c r="H129" s="12"/>
      <c r="I129" s="12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5" x14ac:dyDescent="0.3">
      <c r="A130" s="115"/>
      <c r="B130" s="17"/>
      <c r="C130" s="17"/>
      <c r="D130" s="37"/>
      <c r="E130" s="37"/>
      <c r="F130" s="83" t="s">
        <v>8</v>
      </c>
      <c r="G130" s="84" t="s">
        <v>9</v>
      </c>
      <c r="H130" s="12"/>
      <c r="I130" s="12"/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5"/>
      <c r="B131" s="17"/>
      <c r="C131" s="17"/>
      <c r="D131" s="17"/>
      <c r="E131" s="17"/>
      <c r="F131" s="9"/>
      <c r="G131" s="12"/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ht="15" thickBot="1" x14ac:dyDescent="0.35">
      <c r="A132" s="112"/>
      <c r="B132" s="9" t="s">
        <v>62</v>
      </c>
      <c r="C132" s="9" t="s">
        <v>27</v>
      </c>
      <c r="D132" s="9" t="s">
        <v>28</v>
      </c>
      <c r="E132" s="9" t="s">
        <v>29</v>
      </c>
      <c r="F132" s="9" t="s">
        <v>30</v>
      </c>
      <c r="G132" s="12" t="s">
        <v>31</v>
      </c>
      <c r="H132" s="12" t="s">
        <v>32</v>
      </c>
      <c r="I132" s="12" t="s">
        <v>118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x14ac:dyDescent="0.3">
      <c r="A133" s="112" t="s">
        <v>90</v>
      </c>
      <c r="B133" s="30" t="s">
        <v>83</v>
      </c>
      <c r="C133" s="109">
        <v>3</v>
      </c>
      <c r="D133" s="109">
        <v>2</v>
      </c>
      <c r="E133" s="109">
        <v>0</v>
      </c>
      <c r="F133" s="109">
        <v>1</v>
      </c>
      <c r="G133" s="33">
        <v>4</v>
      </c>
      <c r="H133" s="33">
        <v>3</v>
      </c>
      <c r="I133" s="33">
        <v>6</v>
      </c>
      <c r="J133" s="139"/>
      <c r="K133" s="13"/>
      <c r="S133" s="120"/>
      <c r="T133" s="57"/>
      <c r="U133" s="57"/>
      <c r="V133" s="57"/>
      <c r="W133" s="57"/>
      <c r="X133" s="57"/>
      <c r="Y133" s="58"/>
    </row>
    <row r="134" spans="1:25" s="35" customFormat="1" x14ac:dyDescent="0.3">
      <c r="A134" s="112"/>
      <c r="B134" s="36" t="s">
        <v>140</v>
      </c>
      <c r="C134" s="17"/>
      <c r="D134" s="17"/>
      <c r="E134" s="17"/>
      <c r="F134" s="17"/>
      <c r="G134" s="38"/>
      <c r="H134" s="38"/>
      <c r="I134" s="38"/>
      <c r="J134" s="139"/>
      <c r="K134" s="13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112"/>
      <c r="B135" s="51" t="s">
        <v>13</v>
      </c>
      <c r="C135" s="9"/>
      <c r="D135" s="9"/>
      <c r="E135" s="9"/>
      <c r="F135" s="9"/>
      <c r="G135" s="12"/>
      <c r="H135" s="12"/>
      <c r="I135" s="12"/>
      <c r="J135" s="140"/>
      <c r="K135" s="13"/>
      <c r="S135" s="8"/>
      <c r="T135" s="9"/>
      <c r="U135" s="9"/>
      <c r="V135" s="9"/>
      <c r="W135" s="9"/>
      <c r="X135" s="19"/>
      <c r="Y135" s="20"/>
    </row>
    <row r="136" spans="1:25" s="35" customFormat="1" ht="15" thickBot="1" x14ac:dyDescent="0.35">
      <c r="A136" s="112"/>
      <c r="B136" s="50" t="s">
        <v>78</v>
      </c>
      <c r="C136" s="23"/>
      <c r="D136" s="23"/>
      <c r="E136" s="23"/>
      <c r="F136" s="23"/>
      <c r="G136" s="28"/>
      <c r="H136" s="28"/>
      <c r="I136" s="28"/>
      <c r="J136" s="140"/>
      <c r="K136" s="13"/>
      <c r="S136" s="8"/>
      <c r="T136" s="9"/>
      <c r="U136" s="9"/>
      <c r="V136" s="9"/>
      <c r="W136" s="9"/>
      <c r="X136" s="19"/>
      <c r="Y136" s="20"/>
    </row>
    <row r="137" spans="1:25" s="35" customFormat="1" ht="15" thickBot="1" x14ac:dyDescent="0.35">
      <c r="A137" s="112"/>
      <c r="B137" s="9"/>
      <c r="C137" s="9"/>
      <c r="D137" s="9"/>
      <c r="E137" s="9"/>
      <c r="F137" s="9"/>
      <c r="G137" s="12"/>
      <c r="H137" s="12"/>
      <c r="I137" s="12"/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ht="15" thickTop="1" x14ac:dyDescent="0.3">
      <c r="A138" s="111"/>
      <c r="B138" s="2"/>
      <c r="C138" s="2"/>
      <c r="D138" s="2"/>
      <c r="E138" s="2"/>
      <c r="F138" s="2"/>
      <c r="G138" s="3"/>
      <c r="H138" s="3"/>
      <c r="I138" s="3"/>
      <c r="J138" s="3"/>
      <c r="K138" s="13"/>
      <c r="S138" s="8"/>
      <c r="T138" s="9"/>
      <c r="U138" s="9"/>
      <c r="V138" s="9"/>
      <c r="W138" s="9"/>
      <c r="X138" s="19"/>
      <c r="Y138" s="20"/>
    </row>
    <row r="139" spans="1:25" ht="21" x14ac:dyDescent="0.4">
      <c r="A139" s="112"/>
      <c r="B139" s="9"/>
      <c r="C139" s="9"/>
      <c r="D139" s="9"/>
      <c r="E139" s="9"/>
      <c r="F139" s="14" t="s">
        <v>144</v>
      </c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9"/>
      <c r="C140" s="9"/>
      <c r="D140" s="9"/>
      <c r="E140" s="9"/>
      <c r="F140" s="15"/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/>
      <c r="C141" s="16">
        <v>35961</v>
      </c>
      <c r="D141" s="83" t="s">
        <v>24</v>
      </c>
      <c r="E141" s="83" t="s">
        <v>142</v>
      </c>
      <c r="F141" s="83">
        <v>2</v>
      </c>
      <c r="G141" s="84">
        <v>0</v>
      </c>
      <c r="H141" s="12"/>
      <c r="I141" s="12"/>
      <c r="J141" s="12"/>
      <c r="K141" s="13"/>
      <c r="S141" s="8" t="s">
        <v>24</v>
      </c>
      <c r="T141" s="9" t="s">
        <v>142</v>
      </c>
      <c r="U141" s="9">
        <v>2</v>
      </c>
      <c r="V141" s="9">
        <v>0</v>
      </c>
      <c r="W141" s="9"/>
      <c r="X141" s="19">
        <f t="shared" ref="X141:X146" si="18">(IF(U141&gt;V141,3,IF(U141=V141,1,2)))</f>
        <v>3</v>
      </c>
      <c r="Y141" s="20">
        <f t="shared" ref="Y141:Y146" si="19">(IF(V141&gt;U141,3,IF(U141=V141,1,2)))</f>
        <v>2</v>
      </c>
    </row>
    <row r="142" spans="1:25" ht="15" thickBot="1" x14ac:dyDescent="0.35">
      <c r="A142" s="112"/>
      <c r="B142" s="9"/>
      <c r="C142" s="21"/>
      <c r="D142" s="89"/>
      <c r="E142" s="89"/>
      <c r="F142" s="89" t="s">
        <v>19</v>
      </c>
      <c r="G142" s="90" t="s">
        <v>15</v>
      </c>
      <c r="H142" s="28"/>
      <c r="I142" s="28"/>
      <c r="J142" s="12"/>
      <c r="K142" s="13"/>
      <c r="S142" s="8" t="s">
        <v>87</v>
      </c>
      <c r="T142" s="9" t="s">
        <v>88</v>
      </c>
      <c r="U142" s="9">
        <v>1</v>
      </c>
      <c r="V142" s="9">
        <v>0</v>
      </c>
      <c r="W142" s="9"/>
      <c r="X142" s="19">
        <f t="shared" si="18"/>
        <v>3</v>
      </c>
      <c r="Y142" s="20">
        <f t="shared" si="19"/>
        <v>2</v>
      </c>
    </row>
    <row r="143" spans="1:25" x14ac:dyDescent="0.3">
      <c r="A143" s="112"/>
      <c r="B143" s="9"/>
      <c r="C143" s="141">
        <v>35961</v>
      </c>
      <c r="D143" s="142" t="s">
        <v>87</v>
      </c>
      <c r="E143" s="142" t="s">
        <v>88</v>
      </c>
      <c r="F143" s="142">
        <v>1</v>
      </c>
      <c r="G143" s="143">
        <v>0</v>
      </c>
      <c r="H143" s="144"/>
      <c r="I143" s="144"/>
      <c r="J143" s="12"/>
      <c r="K143" s="13"/>
      <c r="S143" s="8" t="s">
        <v>88</v>
      </c>
      <c r="T143" s="9" t="s">
        <v>142</v>
      </c>
      <c r="U143" s="9">
        <v>1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ht="15" thickBot="1" x14ac:dyDescent="0.35">
      <c r="A144" s="112"/>
      <c r="B144" s="9"/>
      <c r="C144" s="21"/>
      <c r="D144" s="89"/>
      <c r="E144" s="89"/>
      <c r="F144" s="89" t="s">
        <v>19</v>
      </c>
      <c r="G144" s="90" t="s">
        <v>15</v>
      </c>
      <c r="H144" s="28"/>
      <c r="I144" s="28"/>
      <c r="J144" s="12"/>
      <c r="K144" s="13"/>
      <c r="S144" s="8" t="s">
        <v>87</v>
      </c>
      <c r="T144" s="9" t="s">
        <v>24</v>
      </c>
      <c r="U144" s="9">
        <v>2</v>
      </c>
      <c r="V144" s="9">
        <v>1</v>
      </c>
      <c r="W144" s="9"/>
      <c r="X144" s="19">
        <f t="shared" si="18"/>
        <v>3</v>
      </c>
      <c r="Y144" s="20">
        <f t="shared" si="19"/>
        <v>2</v>
      </c>
    </row>
    <row r="145" spans="1:25" x14ac:dyDescent="0.3">
      <c r="A145" s="112"/>
      <c r="B145" s="9"/>
      <c r="C145" s="16">
        <v>35968</v>
      </c>
      <c r="D145" s="83" t="s">
        <v>88</v>
      </c>
      <c r="E145" s="83" t="s">
        <v>142</v>
      </c>
      <c r="F145" s="83">
        <v>1</v>
      </c>
      <c r="G145" s="84">
        <v>0</v>
      </c>
      <c r="H145" s="12"/>
      <c r="I145" s="12"/>
      <c r="J145" s="12"/>
      <c r="K145" s="13"/>
      <c r="S145" s="8" t="s">
        <v>87</v>
      </c>
      <c r="T145" s="9" t="s">
        <v>142</v>
      </c>
      <c r="U145" s="9">
        <v>1</v>
      </c>
      <c r="V145" s="9">
        <v>1</v>
      </c>
      <c r="W145" s="9"/>
      <c r="X145" s="19">
        <f t="shared" si="18"/>
        <v>1</v>
      </c>
      <c r="Y145" s="20">
        <f t="shared" si="19"/>
        <v>1</v>
      </c>
    </row>
    <row r="146" spans="1:25" s="35" customFormat="1" ht="15" thickBot="1" x14ac:dyDescent="0.35">
      <c r="A146" s="112"/>
      <c r="B146" s="9"/>
      <c r="C146" s="21"/>
      <c r="D146" s="89"/>
      <c r="E146" s="89"/>
      <c r="F146" s="89" t="s">
        <v>8</v>
      </c>
      <c r="G146" s="90" t="s">
        <v>15</v>
      </c>
      <c r="H146" s="28"/>
      <c r="I146" s="28"/>
      <c r="J146" s="12"/>
      <c r="K146" s="13"/>
      <c r="S146" s="8" t="s">
        <v>88</v>
      </c>
      <c r="T146" s="9" t="s">
        <v>24</v>
      </c>
      <c r="U146" s="9">
        <v>0</v>
      </c>
      <c r="V146" s="9">
        <v>2</v>
      </c>
      <c r="W146" s="9"/>
      <c r="X146" s="19">
        <f t="shared" si="18"/>
        <v>2</v>
      </c>
      <c r="Y146" s="20">
        <f t="shared" si="19"/>
        <v>3</v>
      </c>
    </row>
    <row r="147" spans="1:25" s="35" customFormat="1" x14ac:dyDescent="0.3">
      <c r="A147" s="112"/>
      <c r="B147" s="9"/>
      <c r="C147" s="16">
        <v>35968</v>
      </c>
      <c r="D147" s="83" t="s">
        <v>87</v>
      </c>
      <c r="E147" s="83" t="s">
        <v>24</v>
      </c>
      <c r="F147" s="83">
        <v>2</v>
      </c>
      <c r="G147" s="84">
        <v>1</v>
      </c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s="35" customFormat="1" ht="15" thickBot="1" x14ac:dyDescent="0.35">
      <c r="A148" s="112"/>
      <c r="B148" s="9"/>
      <c r="C148" s="21"/>
      <c r="D148" s="89"/>
      <c r="E148" s="89"/>
      <c r="F148" s="89" t="s">
        <v>8</v>
      </c>
      <c r="G148" s="90" t="s">
        <v>15</v>
      </c>
      <c r="H148" s="28"/>
      <c r="I148" s="28"/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9"/>
      <c r="C149" s="141">
        <v>35972</v>
      </c>
      <c r="D149" s="142" t="s">
        <v>87</v>
      </c>
      <c r="E149" s="142" t="s">
        <v>142</v>
      </c>
      <c r="F149" s="142">
        <v>1</v>
      </c>
      <c r="G149" s="143">
        <v>1</v>
      </c>
      <c r="H149" s="144"/>
      <c r="I149" s="144"/>
      <c r="J149" s="12"/>
      <c r="K149" s="13"/>
      <c r="S149" s="8"/>
      <c r="T149" s="9"/>
      <c r="U149" s="9"/>
      <c r="V149" s="9"/>
      <c r="W149" s="9"/>
      <c r="X149" s="19"/>
      <c r="Y149" s="20"/>
    </row>
    <row r="150" spans="1:25" ht="15" thickBot="1" x14ac:dyDescent="0.35">
      <c r="A150" s="112"/>
      <c r="B150" s="9"/>
      <c r="C150" s="21"/>
      <c r="D150" s="89"/>
      <c r="E150" s="89"/>
      <c r="F150" s="89" t="s">
        <v>8</v>
      </c>
      <c r="G150" s="90" t="s">
        <v>9</v>
      </c>
      <c r="H150" s="28"/>
      <c r="I150" s="28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17"/>
      <c r="C151" s="16">
        <v>35972</v>
      </c>
      <c r="D151" s="37" t="s">
        <v>88</v>
      </c>
      <c r="E151" s="37" t="s">
        <v>24</v>
      </c>
      <c r="F151" s="83">
        <v>0</v>
      </c>
      <c r="G151" s="84">
        <v>2</v>
      </c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x14ac:dyDescent="0.3">
      <c r="A152" s="115"/>
      <c r="B152" s="17"/>
      <c r="C152" s="17"/>
      <c r="D152" s="37"/>
      <c r="E152" s="37"/>
      <c r="F152" s="83" t="s">
        <v>8</v>
      </c>
      <c r="G152" s="84" t="s">
        <v>44</v>
      </c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x14ac:dyDescent="0.3">
      <c r="A153" s="115"/>
      <c r="B153" s="17"/>
      <c r="C153" s="17"/>
      <c r="D153" s="17"/>
      <c r="E153" s="17"/>
      <c r="F153" s="9"/>
      <c r="G153" s="12"/>
      <c r="H153" s="12"/>
      <c r="I153" s="12"/>
      <c r="J153" s="12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9" t="s">
        <v>62</v>
      </c>
      <c r="C154" s="9" t="s">
        <v>27</v>
      </c>
      <c r="D154" s="9" t="s">
        <v>28</v>
      </c>
      <c r="E154" s="9" t="s">
        <v>29</v>
      </c>
      <c r="F154" s="9" t="s">
        <v>30</v>
      </c>
      <c r="G154" s="12" t="s">
        <v>31</v>
      </c>
      <c r="H154" s="12" t="s">
        <v>32</v>
      </c>
      <c r="I154" s="12" t="s">
        <v>118</v>
      </c>
      <c r="J154" s="12"/>
      <c r="K154" s="13"/>
      <c r="S154" s="8"/>
      <c r="T154" s="9"/>
      <c r="U154" s="9"/>
      <c r="V154" s="9"/>
      <c r="W154" s="9"/>
      <c r="X154" s="19"/>
      <c r="Y154" s="20"/>
    </row>
    <row r="155" spans="1:25" x14ac:dyDescent="0.3">
      <c r="A155" s="112" t="s">
        <v>90</v>
      </c>
      <c r="B155" s="30" t="s">
        <v>24</v>
      </c>
      <c r="C155" s="109">
        <v>3</v>
      </c>
      <c r="D155" s="109">
        <v>1</v>
      </c>
      <c r="E155" s="109">
        <v>1</v>
      </c>
      <c r="F155" s="109">
        <v>1</v>
      </c>
      <c r="G155" s="33">
        <v>3</v>
      </c>
      <c r="H155" s="33">
        <v>3</v>
      </c>
      <c r="I155" s="33">
        <v>4</v>
      </c>
      <c r="J155" s="139"/>
      <c r="K155" s="13"/>
      <c r="S155" s="8"/>
      <c r="T155" s="9"/>
      <c r="U155" s="9"/>
      <c r="V155" s="9"/>
      <c r="W155" s="9"/>
      <c r="X155" s="19"/>
      <c r="Y155" s="20"/>
    </row>
    <row r="156" spans="1:25" x14ac:dyDescent="0.3">
      <c r="A156" s="112"/>
      <c r="B156" s="36" t="s">
        <v>142</v>
      </c>
      <c r="C156" s="17"/>
      <c r="D156" s="17"/>
      <c r="E156" s="17"/>
      <c r="F156" s="17"/>
      <c r="G156" s="38"/>
      <c r="H156" s="38"/>
      <c r="I156" s="38"/>
      <c r="J156" s="139"/>
      <c r="K156" s="13"/>
      <c r="S156" s="8"/>
      <c r="T156" s="9"/>
      <c r="U156" s="9"/>
      <c r="V156" s="9"/>
      <c r="W156" s="9"/>
      <c r="X156" s="9"/>
      <c r="Y156" s="10"/>
    </row>
    <row r="157" spans="1:25" x14ac:dyDescent="0.3">
      <c r="A157" s="112"/>
      <c r="B157" s="51" t="s">
        <v>87</v>
      </c>
      <c r="C157" s="9"/>
      <c r="D157" s="9"/>
      <c r="E157" s="9"/>
      <c r="F157" s="9"/>
      <c r="G157" s="12"/>
      <c r="H157" s="12"/>
      <c r="I157" s="12"/>
      <c r="J157" s="140"/>
      <c r="K157" s="13"/>
      <c r="S157" s="8"/>
      <c r="T157" s="9"/>
      <c r="U157" s="9"/>
      <c r="V157" s="9"/>
      <c r="W157" s="9"/>
      <c r="X157" s="9"/>
      <c r="Y157" s="10"/>
    </row>
    <row r="158" spans="1:25" s="35" customFormat="1" ht="15" thickBot="1" x14ac:dyDescent="0.35">
      <c r="A158" s="112"/>
      <c r="B158" s="50" t="s">
        <v>88</v>
      </c>
      <c r="C158" s="23"/>
      <c r="D158" s="23"/>
      <c r="E158" s="23"/>
      <c r="F158" s="23"/>
      <c r="G158" s="28"/>
      <c r="H158" s="28"/>
      <c r="I158" s="28"/>
      <c r="J158" s="140"/>
      <c r="K158" s="13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A159" s="117"/>
      <c r="B159" s="53"/>
      <c r="C159" s="53"/>
      <c r="D159" s="53"/>
      <c r="E159" s="53"/>
      <c r="F159" s="53"/>
      <c r="G159" s="54"/>
      <c r="H159" s="54"/>
      <c r="I159" s="54"/>
      <c r="J159" s="54"/>
      <c r="K159" s="45"/>
      <c r="S159" s="8"/>
      <c r="T159" s="9"/>
      <c r="U159" s="9"/>
      <c r="V159" s="9"/>
      <c r="W159" s="9"/>
      <c r="X159" s="19"/>
      <c r="Y159" s="20"/>
    </row>
    <row r="160" spans="1:25" ht="15" thickTop="1" x14ac:dyDescent="0.3">
      <c r="A160" s="111"/>
      <c r="B160" s="2"/>
      <c r="C160" s="2"/>
      <c r="D160" s="2"/>
      <c r="E160" s="2"/>
      <c r="F160" s="2"/>
      <c r="G160" s="3"/>
      <c r="H160" s="3"/>
      <c r="I160" s="3"/>
      <c r="J160" s="3"/>
      <c r="K160" s="13"/>
      <c r="S160" s="8"/>
      <c r="T160" s="9"/>
      <c r="U160" s="9"/>
      <c r="V160" s="9"/>
      <c r="W160" s="9"/>
      <c r="X160" s="19"/>
      <c r="Y160" s="20"/>
    </row>
    <row r="161" spans="1:25" ht="21" x14ac:dyDescent="0.4">
      <c r="A161" s="112"/>
      <c r="B161" s="9"/>
      <c r="C161" s="9"/>
      <c r="D161" s="9"/>
      <c r="E161" s="9"/>
      <c r="F161" s="14" t="s">
        <v>145</v>
      </c>
      <c r="G161" s="12"/>
      <c r="H161" s="12"/>
      <c r="I161" s="12"/>
      <c r="J161" s="12"/>
      <c r="K161" s="13"/>
      <c r="S161" s="8"/>
      <c r="T161" s="9"/>
      <c r="U161" s="9"/>
      <c r="V161" s="9"/>
      <c r="W161" s="9"/>
      <c r="X161" s="19"/>
      <c r="Y161" s="20"/>
    </row>
    <row r="162" spans="1:25" x14ac:dyDescent="0.3">
      <c r="A162" s="112"/>
      <c r="B162" s="9"/>
      <c r="C162" s="9"/>
      <c r="D162" s="9"/>
      <c r="E162" s="9"/>
      <c r="F162" s="15"/>
      <c r="G162" s="12"/>
      <c r="H162" s="12"/>
      <c r="I162" s="12"/>
      <c r="J162" s="12"/>
      <c r="K162" s="13"/>
      <c r="S162" s="8"/>
      <c r="T162" s="9"/>
      <c r="U162" s="9"/>
      <c r="V162" s="9"/>
      <c r="W162" s="9"/>
      <c r="X162" s="19"/>
      <c r="Y162" s="20"/>
    </row>
    <row r="163" spans="1:25" x14ac:dyDescent="0.3">
      <c r="A163" s="112"/>
      <c r="B163" s="9"/>
      <c r="C163" s="16">
        <v>35960</v>
      </c>
      <c r="D163" s="83" t="s">
        <v>7</v>
      </c>
      <c r="E163" s="83" t="s">
        <v>143</v>
      </c>
      <c r="F163" s="83">
        <v>1</v>
      </c>
      <c r="G163" s="84">
        <v>0</v>
      </c>
      <c r="H163" s="12"/>
      <c r="I163" s="12"/>
      <c r="J163" s="12"/>
      <c r="K163" s="13"/>
      <c r="S163" s="8" t="s">
        <v>7</v>
      </c>
      <c r="T163" s="9" t="s">
        <v>143</v>
      </c>
      <c r="U163" s="9">
        <v>1</v>
      </c>
      <c r="V163" s="9">
        <v>0</v>
      </c>
      <c r="W163" s="9"/>
      <c r="X163" s="19">
        <f t="shared" ref="X163:X168" si="20">(IF(U163&gt;V163,3,IF(U163=V163,1,2)))</f>
        <v>3</v>
      </c>
      <c r="Y163" s="20">
        <f t="shared" ref="Y163:Y168" si="21">(IF(V163&gt;U163,3,IF(U163=V163,1,2)))</f>
        <v>2</v>
      </c>
    </row>
    <row r="164" spans="1:25" ht="15" thickBot="1" x14ac:dyDescent="0.35">
      <c r="A164" s="112"/>
      <c r="B164" s="9"/>
      <c r="C164" s="21"/>
      <c r="D164" s="89"/>
      <c r="E164" s="89"/>
      <c r="F164" s="89" t="s">
        <v>19</v>
      </c>
      <c r="G164" s="90" t="s">
        <v>15</v>
      </c>
      <c r="H164" s="28"/>
      <c r="I164" s="28"/>
      <c r="J164" s="12"/>
      <c r="K164" s="13"/>
      <c r="S164" s="8" t="s">
        <v>139</v>
      </c>
      <c r="T164" s="9" t="s">
        <v>137</v>
      </c>
      <c r="U164" s="9">
        <v>1</v>
      </c>
      <c r="V164" s="9">
        <v>3</v>
      </c>
      <c r="W164" s="9"/>
      <c r="X164" s="19">
        <f t="shared" si="20"/>
        <v>2</v>
      </c>
      <c r="Y164" s="20">
        <f t="shared" si="21"/>
        <v>3</v>
      </c>
    </row>
    <row r="165" spans="1:25" x14ac:dyDescent="0.3">
      <c r="A165" s="112"/>
      <c r="B165" s="9"/>
      <c r="C165" s="141">
        <v>35960</v>
      </c>
      <c r="D165" s="142" t="s">
        <v>139</v>
      </c>
      <c r="E165" s="142" t="s">
        <v>137</v>
      </c>
      <c r="F165" s="142">
        <v>1</v>
      </c>
      <c r="G165" s="143">
        <v>3</v>
      </c>
      <c r="H165" s="144"/>
      <c r="I165" s="144"/>
      <c r="J165" s="12"/>
      <c r="K165" s="13"/>
      <c r="S165" s="8" t="s">
        <v>143</v>
      </c>
      <c r="T165" s="9" t="s">
        <v>137</v>
      </c>
      <c r="U165" s="9">
        <v>0</v>
      </c>
      <c r="V165" s="9">
        <v>1</v>
      </c>
      <c r="W165" s="9"/>
      <c r="X165" s="19">
        <f t="shared" si="20"/>
        <v>2</v>
      </c>
      <c r="Y165" s="20">
        <f t="shared" si="21"/>
        <v>3</v>
      </c>
    </row>
    <row r="166" spans="1:25" ht="15" thickBot="1" x14ac:dyDescent="0.35">
      <c r="A166" s="112"/>
      <c r="B166" s="9"/>
      <c r="C166" s="21"/>
      <c r="D166" s="89"/>
      <c r="E166" s="89"/>
      <c r="F166" s="89" t="s">
        <v>19</v>
      </c>
      <c r="G166" s="90" t="s">
        <v>9</v>
      </c>
      <c r="H166" s="28"/>
      <c r="I166" s="28"/>
      <c r="J166" s="12"/>
      <c r="K166" s="13"/>
      <c r="S166" s="8" t="s">
        <v>7</v>
      </c>
      <c r="T166" s="9" t="s">
        <v>139</v>
      </c>
      <c r="U166" s="9">
        <v>5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x14ac:dyDescent="0.3">
      <c r="A167" s="112"/>
      <c r="B167" s="9"/>
      <c r="C167" s="16">
        <v>35966</v>
      </c>
      <c r="D167" s="83" t="s">
        <v>143</v>
      </c>
      <c r="E167" s="83" t="s">
        <v>137</v>
      </c>
      <c r="F167" s="83">
        <v>0</v>
      </c>
      <c r="G167" s="84">
        <v>1</v>
      </c>
      <c r="H167" s="12"/>
      <c r="I167" s="12"/>
      <c r="J167" s="12"/>
      <c r="K167" s="13"/>
      <c r="S167" s="8" t="s">
        <v>7</v>
      </c>
      <c r="T167" s="9" t="s">
        <v>137</v>
      </c>
      <c r="U167" s="9">
        <v>1</v>
      </c>
      <c r="V167" s="9">
        <v>0</v>
      </c>
      <c r="W167" s="9"/>
      <c r="X167" s="19">
        <f t="shared" si="20"/>
        <v>3</v>
      </c>
      <c r="Y167" s="20">
        <f t="shared" si="21"/>
        <v>2</v>
      </c>
    </row>
    <row r="168" spans="1:25" s="35" customFormat="1" ht="15" thickBot="1" x14ac:dyDescent="0.35">
      <c r="A168" s="112"/>
      <c r="B168" s="9"/>
      <c r="C168" s="21"/>
      <c r="D168" s="89"/>
      <c r="E168" s="89"/>
      <c r="F168" s="89" t="s">
        <v>8</v>
      </c>
      <c r="G168" s="90" t="s">
        <v>15</v>
      </c>
      <c r="H168" s="28"/>
      <c r="I168" s="28"/>
      <c r="J168" s="12"/>
      <c r="K168" s="13"/>
      <c r="S168" s="8" t="s">
        <v>143</v>
      </c>
      <c r="T168" s="9" t="s">
        <v>139</v>
      </c>
      <c r="U168" s="9">
        <v>1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s="35" customFormat="1" x14ac:dyDescent="0.3">
      <c r="A169" s="112"/>
      <c r="B169" s="9"/>
      <c r="C169" s="16">
        <v>35967</v>
      </c>
      <c r="D169" s="83" t="s">
        <v>7</v>
      </c>
      <c r="E169" s="83" t="s">
        <v>139</v>
      </c>
      <c r="F169" s="83">
        <v>5</v>
      </c>
      <c r="G169" s="84">
        <v>0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s="35" customFormat="1" ht="15" thickBot="1" x14ac:dyDescent="0.35">
      <c r="A170" s="112"/>
      <c r="B170" s="9"/>
      <c r="C170" s="21"/>
      <c r="D170" s="89"/>
      <c r="E170" s="89"/>
      <c r="F170" s="89" t="s">
        <v>19</v>
      </c>
      <c r="G170" s="90" t="s">
        <v>15</v>
      </c>
      <c r="H170" s="28"/>
      <c r="I170" s="28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112"/>
      <c r="B171" s="9"/>
      <c r="C171" s="141">
        <v>35972</v>
      </c>
      <c r="D171" s="142" t="s">
        <v>7</v>
      </c>
      <c r="E171" s="142" t="s">
        <v>137</v>
      </c>
      <c r="F171" s="142">
        <v>1</v>
      </c>
      <c r="G171" s="143">
        <v>0</v>
      </c>
      <c r="H171" s="144"/>
      <c r="I171" s="144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15" thickBot="1" x14ac:dyDescent="0.35">
      <c r="A172" s="112"/>
      <c r="B172" s="9"/>
      <c r="C172" s="21"/>
      <c r="D172" s="89"/>
      <c r="E172" s="89"/>
      <c r="F172" s="89" t="s">
        <v>19</v>
      </c>
      <c r="G172" s="90" t="s">
        <v>15</v>
      </c>
      <c r="H172" s="28"/>
      <c r="I172" s="28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x14ac:dyDescent="0.3">
      <c r="A173" s="112"/>
      <c r="B173" s="17"/>
      <c r="C173" s="16">
        <v>35972</v>
      </c>
      <c r="D173" s="37" t="s">
        <v>143</v>
      </c>
      <c r="E173" s="37" t="s">
        <v>139</v>
      </c>
      <c r="F173" s="83">
        <v>1</v>
      </c>
      <c r="G173" s="84">
        <v>2</v>
      </c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17"/>
      <c r="C174" s="17"/>
      <c r="D174" s="37"/>
      <c r="E174" s="37"/>
      <c r="F174" s="83" t="s">
        <v>8</v>
      </c>
      <c r="G174" s="84" t="s">
        <v>9</v>
      </c>
      <c r="H174" s="12"/>
      <c r="I174" s="12"/>
      <c r="J174" s="12"/>
      <c r="K174" s="13"/>
      <c r="S174" s="8"/>
      <c r="T174" s="9"/>
      <c r="U174" s="9"/>
      <c r="V174" s="9"/>
      <c r="W174" s="9"/>
      <c r="X174" s="19"/>
      <c r="Y174" s="20"/>
    </row>
    <row r="175" spans="1:25" x14ac:dyDescent="0.3">
      <c r="A175" s="115"/>
      <c r="B175" s="17"/>
      <c r="C175" s="17"/>
      <c r="D175" s="17"/>
      <c r="E175" s="17"/>
      <c r="F175" s="9"/>
      <c r="G175" s="12"/>
      <c r="H175" s="12"/>
      <c r="I175" s="12"/>
      <c r="J175" s="12"/>
      <c r="K175" s="13"/>
      <c r="S175" s="8"/>
      <c r="T175" s="9"/>
      <c r="U175" s="9"/>
      <c r="V175" s="9"/>
      <c r="W175" s="9"/>
      <c r="X175" s="19"/>
      <c r="Y175" s="20"/>
    </row>
    <row r="176" spans="1:25" ht="15" thickBot="1" x14ac:dyDescent="0.35">
      <c r="A176" s="112"/>
      <c r="B176" s="9" t="s">
        <v>62</v>
      </c>
      <c r="C176" s="9" t="s">
        <v>27</v>
      </c>
      <c r="D176" s="9" t="s">
        <v>28</v>
      </c>
      <c r="E176" s="9" t="s">
        <v>29</v>
      </c>
      <c r="F176" s="9" t="s">
        <v>30</v>
      </c>
      <c r="G176" s="12" t="s">
        <v>31</v>
      </c>
      <c r="H176" s="12" t="s">
        <v>32</v>
      </c>
      <c r="I176" s="12" t="s">
        <v>118</v>
      </c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2" t="s">
        <v>90</v>
      </c>
      <c r="B177" s="30" t="s">
        <v>7</v>
      </c>
      <c r="C177" s="109">
        <v>3</v>
      </c>
      <c r="D177" s="109">
        <v>1</v>
      </c>
      <c r="E177" s="109">
        <v>1</v>
      </c>
      <c r="F177" s="109">
        <v>1</v>
      </c>
      <c r="G177" s="33">
        <v>3</v>
      </c>
      <c r="H177" s="33">
        <v>3</v>
      </c>
      <c r="I177" s="33">
        <v>4</v>
      </c>
      <c r="J177" s="139"/>
      <c r="K177" s="13"/>
      <c r="S177" s="8"/>
      <c r="T177" s="9"/>
      <c r="U177" s="9"/>
      <c r="V177" s="9"/>
      <c r="W177" s="9"/>
      <c r="X177" s="19"/>
      <c r="Y177" s="20"/>
    </row>
    <row r="178" spans="1:25" x14ac:dyDescent="0.3">
      <c r="A178" s="112"/>
      <c r="B178" s="36" t="s">
        <v>143</v>
      </c>
      <c r="C178" s="17"/>
      <c r="D178" s="17"/>
      <c r="E178" s="17"/>
      <c r="F178" s="17"/>
      <c r="G178" s="38"/>
      <c r="H178" s="38"/>
      <c r="I178" s="38"/>
      <c r="J178" s="139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2"/>
      <c r="B179" s="51" t="s">
        <v>139</v>
      </c>
      <c r="C179" s="9"/>
      <c r="D179" s="9"/>
      <c r="E179" s="9"/>
      <c r="F179" s="9"/>
      <c r="G179" s="12"/>
      <c r="H179" s="12"/>
      <c r="I179" s="12"/>
      <c r="J179" s="140"/>
      <c r="K179" s="13"/>
      <c r="S179" s="8"/>
      <c r="T179" s="9"/>
      <c r="U179" s="9"/>
      <c r="V179" s="9"/>
      <c r="W179" s="9"/>
      <c r="X179" s="9"/>
      <c r="Y179" s="10"/>
    </row>
    <row r="180" spans="1:25" s="35" customFormat="1" ht="15" thickBot="1" x14ac:dyDescent="0.35">
      <c r="A180" s="112"/>
      <c r="B180" s="50" t="s">
        <v>137</v>
      </c>
      <c r="C180" s="23"/>
      <c r="D180" s="23"/>
      <c r="E180" s="23"/>
      <c r="F180" s="23"/>
      <c r="G180" s="28"/>
      <c r="H180" s="28"/>
      <c r="I180" s="28"/>
      <c r="J180" s="140"/>
      <c r="K180" s="13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A181" s="117"/>
      <c r="B181" s="53"/>
      <c r="C181" s="53"/>
      <c r="D181" s="53"/>
      <c r="E181" s="53"/>
      <c r="F181" s="53"/>
      <c r="G181" s="54"/>
      <c r="H181" s="54"/>
      <c r="I181" s="54"/>
      <c r="J181" s="54"/>
      <c r="K181" s="45"/>
      <c r="S181" s="8"/>
      <c r="T181" s="9"/>
      <c r="U181" s="9"/>
      <c r="V181" s="9"/>
      <c r="W181" s="9"/>
      <c r="X181" s="19"/>
      <c r="Y181" s="20"/>
    </row>
    <row r="182" spans="1:25" ht="15" thickTop="1" x14ac:dyDescent="0.3">
      <c r="A182" s="112"/>
      <c r="B182" s="9"/>
      <c r="C182" s="9"/>
      <c r="D182" s="9"/>
      <c r="E182" s="9"/>
      <c r="F182" s="9"/>
      <c r="G182" s="12"/>
      <c r="H182" s="12"/>
      <c r="I182" s="12"/>
      <c r="J182" s="12"/>
      <c r="K182" s="13"/>
      <c r="L182" s="47"/>
      <c r="S182" s="8"/>
      <c r="T182" s="9"/>
      <c r="U182" s="9"/>
      <c r="V182" s="9"/>
      <c r="W182" s="9"/>
      <c r="X182" s="9"/>
      <c r="Y182" s="10"/>
    </row>
    <row r="183" spans="1:25" ht="21" x14ac:dyDescent="0.4">
      <c r="A183" s="112"/>
      <c r="B183" s="9"/>
      <c r="C183" s="9"/>
      <c r="D183" s="9"/>
      <c r="E183" s="9"/>
      <c r="F183" s="14" t="s">
        <v>63</v>
      </c>
      <c r="G183" s="12"/>
      <c r="H183" s="12"/>
      <c r="I183" s="12"/>
      <c r="J183" s="12"/>
      <c r="K183" s="13"/>
      <c r="L183" s="47"/>
      <c r="S183" s="46"/>
      <c r="T183" s="17"/>
      <c r="U183" s="17"/>
      <c r="V183" s="17"/>
      <c r="W183" s="17"/>
      <c r="X183" s="19"/>
      <c r="Y183" s="20"/>
    </row>
    <row r="184" spans="1:25" s="35" customFormat="1" x14ac:dyDescent="0.3">
      <c r="A184" s="112"/>
      <c r="B184" s="9"/>
      <c r="C184" s="83"/>
      <c r="D184" s="83"/>
      <c r="E184" s="83"/>
      <c r="F184" s="83"/>
      <c r="G184" s="84"/>
      <c r="H184" s="84"/>
      <c r="I184" s="84"/>
      <c r="J184" s="12"/>
      <c r="K184" s="13"/>
      <c r="L184" s="99"/>
      <c r="S184" s="8"/>
      <c r="T184" s="9"/>
      <c r="U184" s="9"/>
      <c r="V184" s="9"/>
      <c r="W184" s="9"/>
      <c r="X184" s="19"/>
      <c r="Y184" s="20"/>
    </row>
    <row r="185" spans="1:25" s="35" customFormat="1" x14ac:dyDescent="0.3">
      <c r="A185" s="112"/>
      <c r="B185" s="9"/>
      <c r="C185" s="81">
        <v>35973</v>
      </c>
      <c r="D185" s="37" t="s">
        <v>5</v>
      </c>
      <c r="E185" s="37" t="s">
        <v>119</v>
      </c>
      <c r="F185" s="37">
        <v>1</v>
      </c>
      <c r="G185" s="74">
        <v>0</v>
      </c>
      <c r="H185" s="84"/>
      <c r="I185" s="84"/>
      <c r="J185" s="12"/>
      <c r="K185" s="13"/>
      <c r="L185" s="99"/>
      <c r="S185" s="46" t="s">
        <v>5</v>
      </c>
      <c r="T185" s="17" t="s">
        <v>119</v>
      </c>
      <c r="U185" s="17">
        <v>1</v>
      </c>
      <c r="V185" s="17">
        <v>0</v>
      </c>
      <c r="W185" s="17"/>
      <c r="X185" s="19">
        <f t="shared" ref="X185:X192" si="22">(IF(U185&gt;V185,3,IF(U185=V185,1,2)))</f>
        <v>3</v>
      </c>
      <c r="Y185" s="20">
        <f t="shared" ref="Y185:Y192" si="23">(IF(V185&gt;U185,3,IF(U185=V185,1,2)))</f>
        <v>2</v>
      </c>
    </row>
    <row r="186" spans="1:25" ht="15" thickBot="1" x14ac:dyDescent="0.35">
      <c r="A186" s="112"/>
      <c r="B186" s="9"/>
      <c r="C186" s="87"/>
      <c r="D186" s="42"/>
      <c r="E186" s="42"/>
      <c r="F186" s="42" t="s">
        <v>19</v>
      </c>
      <c r="G186" s="79" t="s">
        <v>15</v>
      </c>
      <c r="H186" s="90"/>
      <c r="I186" s="90"/>
      <c r="J186" s="12"/>
      <c r="K186" s="13"/>
      <c r="L186" s="47"/>
      <c r="S186" s="8" t="s">
        <v>16</v>
      </c>
      <c r="T186" s="9" t="s">
        <v>138</v>
      </c>
      <c r="U186" s="9">
        <v>4</v>
      </c>
      <c r="V186" s="9">
        <v>1</v>
      </c>
      <c r="W186" s="9"/>
      <c r="X186" s="19">
        <f t="shared" si="22"/>
        <v>3</v>
      </c>
      <c r="Y186" s="20">
        <f t="shared" si="23"/>
        <v>2</v>
      </c>
    </row>
    <row r="187" spans="1:25" x14ac:dyDescent="0.3">
      <c r="A187" s="112"/>
      <c r="B187" s="9"/>
      <c r="C187" s="81">
        <v>35973</v>
      </c>
      <c r="D187" s="37" t="s">
        <v>16</v>
      </c>
      <c r="E187" s="37" t="s">
        <v>138</v>
      </c>
      <c r="F187" s="37">
        <v>4</v>
      </c>
      <c r="G187" s="74">
        <v>1</v>
      </c>
      <c r="H187" s="84"/>
      <c r="I187" s="84"/>
      <c r="J187" s="12"/>
      <c r="K187" s="13"/>
      <c r="L187" s="47"/>
      <c r="S187" s="8" t="s">
        <v>11</v>
      </c>
      <c r="T187" s="9" t="s">
        <v>25</v>
      </c>
      <c r="U187" s="9">
        <v>1</v>
      </c>
      <c r="V187" s="9">
        <v>0</v>
      </c>
      <c r="W187" s="9" t="s">
        <v>146</v>
      </c>
      <c r="X187" s="19">
        <f t="shared" si="22"/>
        <v>3</v>
      </c>
      <c r="Y187" s="20">
        <f t="shared" si="23"/>
        <v>2</v>
      </c>
    </row>
    <row r="188" spans="1:25" ht="15" thickBot="1" x14ac:dyDescent="0.35">
      <c r="A188" s="112"/>
      <c r="B188" s="9"/>
      <c r="C188" s="87"/>
      <c r="D188" s="42"/>
      <c r="E188" s="42"/>
      <c r="F188" s="42" t="s">
        <v>50</v>
      </c>
      <c r="G188" s="79" t="s">
        <v>15</v>
      </c>
      <c r="H188" s="90"/>
      <c r="I188" s="90"/>
      <c r="J188" s="12"/>
      <c r="K188" s="13"/>
      <c r="L188" s="47"/>
      <c r="S188" s="46" t="s">
        <v>115</v>
      </c>
      <c r="T188" s="17" t="s">
        <v>21</v>
      </c>
      <c r="U188" s="17">
        <v>1</v>
      </c>
      <c r="V188" s="17">
        <v>4</v>
      </c>
      <c r="W188" s="17"/>
      <c r="X188" s="19">
        <f t="shared" si="22"/>
        <v>2</v>
      </c>
      <c r="Y188" s="20">
        <f t="shared" si="23"/>
        <v>3</v>
      </c>
    </row>
    <row r="189" spans="1:25" s="35" customFormat="1" x14ac:dyDescent="0.3">
      <c r="A189" s="112"/>
      <c r="B189" s="103"/>
      <c r="C189" s="81">
        <v>35974</v>
      </c>
      <c r="D189" s="37" t="s">
        <v>11</v>
      </c>
      <c r="E189" s="37" t="s">
        <v>25</v>
      </c>
      <c r="F189" s="37">
        <v>1</v>
      </c>
      <c r="G189" s="74">
        <v>0</v>
      </c>
      <c r="H189" s="84" t="s">
        <v>146</v>
      </c>
      <c r="I189" s="84"/>
      <c r="J189" s="12"/>
      <c r="K189" s="13"/>
      <c r="L189" s="99"/>
      <c r="S189" s="8" t="s">
        <v>13</v>
      </c>
      <c r="T189" s="9" t="s">
        <v>18</v>
      </c>
      <c r="U189" s="9">
        <v>2</v>
      </c>
      <c r="V189" s="9">
        <v>1</v>
      </c>
      <c r="W189" s="9"/>
      <c r="X189" s="19">
        <f t="shared" si="22"/>
        <v>3</v>
      </c>
      <c r="Y189" s="20">
        <f t="shared" si="23"/>
        <v>2</v>
      </c>
    </row>
    <row r="190" spans="1:25" s="35" customFormat="1" x14ac:dyDescent="0.3">
      <c r="A190" s="112"/>
      <c r="B190" s="103"/>
      <c r="C190" s="81"/>
      <c r="D190" s="37"/>
      <c r="E190" s="37"/>
      <c r="F190" s="37">
        <v>0</v>
      </c>
      <c r="G190" s="74">
        <v>0</v>
      </c>
      <c r="H190" s="84"/>
      <c r="I190" s="84"/>
      <c r="J190" s="12"/>
      <c r="K190" s="13"/>
      <c r="L190" s="99"/>
      <c r="S190" s="8" t="s">
        <v>89</v>
      </c>
      <c r="T190" s="9" t="s">
        <v>83</v>
      </c>
      <c r="U190" s="9">
        <v>2</v>
      </c>
      <c r="V190" s="9">
        <v>1</v>
      </c>
      <c r="W190" s="9"/>
      <c r="X190" s="19">
        <f t="shared" si="22"/>
        <v>3</v>
      </c>
      <c r="Y190" s="20">
        <f t="shared" si="23"/>
        <v>2</v>
      </c>
    </row>
    <row r="191" spans="1:25" ht="15" thickBot="1" x14ac:dyDescent="0.35">
      <c r="A191" s="112"/>
      <c r="B191" s="103"/>
      <c r="C191" s="87"/>
      <c r="D191" s="42"/>
      <c r="E191" s="42"/>
      <c r="F191" s="42" t="s">
        <v>8</v>
      </c>
      <c r="G191" s="79" t="s">
        <v>15</v>
      </c>
      <c r="H191" s="90"/>
      <c r="I191" s="90"/>
      <c r="J191" s="12"/>
      <c r="K191" s="13"/>
      <c r="L191" s="47"/>
      <c r="S191" s="8" t="s">
        <v>87</v>
      </c>
      <c r="T191" s="9" t="s">
        <v>137</v>
      </c>
      <c r="U191" s="9">
        <v>0</v>
      </c>
      <c r="V191" s="9">
        <v>1</v>
      </c>
      <c r="W191" s="9"/>
      <c r="X191" s="19">
        <f t="shared" si="22"/>
        <v>2</v>
      </c>
      <c r="Y191" s="20">
        <f t="shared" si="23"/>
        <v>3</v>
      </c>
    </row>
    <row r="192" spans="1:25" x14ac:dyDescent="0.3">
      <c r="A192" s="115"/>
      <c r="B192" s="9"/>
      <c r="C192" s="81">
        <v>35974</v>
      </c>
      <c r="D192" s="37" t="s">
        <v>115</v>
      </c>
      <c r="E192" s="37" t="s">
        <v>21</v>
      </c>
      <c r="F192" s="37">
        <v>1</v>
      </c>
      <c r="G192" s="74">
        <v>4</v>
      </c>
      <c r="H192" s="84"/>
      <c r="I192" s="84"/>
      <c r="J192" s="12"/>
      <c r="K192" s="13"/>
      <c r="L192" s="47"/>
      <c r="S192" s="8" t="s">
        <v>7</v>
      </c>
      <c r="T192" s="9" t="s">
        <v>24</v>
      </c>
      <c r="U192" s="9">
        <v>6</v>
      </c>
      <c r="V192" s="9">
        <v>5</v>
      </c>
      <c r="W192" s="9" t="s">
        <v>68</v>
      </c>
      <c r="X192" s="9">
        <f t="shared" si="22"/>
        <v>3</v>
      </c>
      <c r="Y192" s="10">
        <f t="shared" si="23"/>
        <v>2</v>
      </c>
    </row>
    <row r="193" spans="1:25" ht="15" thickBot="1" x14ac:dyDescent="0.35">
      <c r="A193" s="115"/>
      <c r="B193" s="9"/>
      <c r="C193" s="87"/>
      <c r="D193" s="42"/>
      <c r="E193" s="42"/>
      <c r="F193" s="42" t="s">
        <v>8</v>
      </c>
      <c r="G193" s="79" t="s">
        <v>147</v>
      </c>
      <c r="H193" s="90"/>
      <c r="I193" s="90"/>
      <c r="J193" s="12"/>
      <c r="K193" s="13"/>
      <c r="L193" s="47"/>
      <c r="S193" s="46"/>
      <c r="T193" s="17"/>
      <c r="U193" s="17"/>
      <c r="V193" s="17"/>
      <c r="W193" s="17"/>
      <c r="X193" s="17"/>
      <c r="Y193" s="124"/>
    </row>
    <row r="194" spans="1:25" x14ac:dyDescent="0.3">
      <c r="A194" s="115"/>
      <c r="B194" s="9"/>
      <c r="C194" s="81">
        <v>35975</v>
      </c>
      <c r="D194" s="37" t="s">
        <v>13</v>
      </c>
      <c r="E194" s="37" t="s">
        <v>18</v>
      </c>
      <c r="F194" s="37">
        <v>2</v>
      </c>
      <c r="G194" s="74">
        <v>1</v>
      </c>
      <c r="H194" s="84"/>
      <c r="I194" s="84"/>
      <c r="J194" s="12"/>
      <c r="K194" s="13"/>
      <c r="L194" s="47"/>
      <c r="S194" s="8"/>
      <c r="T194" s="9"/>
      <c r="U194" s="9"/>
      <c r="V194" s="9"/>
      <c r="W194" s="9"/>
      <c r="X194" s="19"/>
      <c r="Y194" s="20"/>
    </row>
    <row r="195" spans="1:25" s="35" customFormat="1" ht="15" thickBot="1" x14ac:dyDescent="0.35">
      <c r="A195" s="115"/>
      <c r="B195" s="9"/>
      <c r="C195" s="87"/>
      <c r="D195" s="42"/>
      <c r="E195" s="42"/>
      <c r="F195" s="42" t="s">
        <v>8</v>
      </c>
      <c r="G195" s="79" t="s">
        <v>15</v>
      </c>
      <c r="H195" s="90"/>
      <c r="I195" s="90"/>
      <c r="J195" s="12"/>
      <c r="K195" s="13"/>
      <c r="L195" s="99"/>
      <c r="S195" s="46"/>
      <c r="T195" s="17"/>
      <c r="U195" s="17"/>
      <c r="V195" s="17"/>
      <c r="W195" s="17"/>
      <c r="X195" s="19"/>
      <c r="Y195" s="20"/>
    </row>
    <row r="196" spans="1:25" s="35" customFormat="1" x14ac:dyDescent="0.3">
      <c r="A196" s="115"/>
      <c r="B196" s="9"/>
      <c r="C196" s="81">
        <v>35975</v>
      </c>
      <c r="D196" s="37" t="s">
        <v>89</v>
      </c>
      <c r="E196" s="37" t="s">
        <v>83</v>
      </c>
      <c r="F196" s="37">
        <v>2</v>
      </c>
      <c r="G196" s="74">
        <v>1</v>
      </c>
      <c r="H196" s="84"/>
      <c r="I196" s="84"/>
      <c r="J196" s="12"/>
      <c r="K196" s="13"/>
      <c r="L196" s="99"/>
      <c r="S196" s="8"/>
      <c r="T196" s="9"/>
      <c r="U196" s="9"/>
      <c r="V196" s="9"/>
      <c r="W196" s="9"/>
      <c r="X196" s="9"/>
      <c r="Y196" s="10"/>
    </row>
    <row r="197" spans="1:25" s="35" customFormat="1" ht="15" thickBot="1" x14ac:dyDescent="0.35">
      <c r="A197" s="115"/>
      <c r="B197" s="9"/>
      <c r="C197" s="87"/>
      <c r="D197" s="42"/>
      <c r="E197" s="42"/>
      <c r="F197" s="42" t="s">
        <v>19</v>
      </c>
      <c r="G197" s="79" t="s">
        <v>15</v>
      </c>
      <c r="H197" s="90"/>
      <c r="I197" s="90"/>
      <c r="J197" s="12"/>
      <c r="K197" s="13"/>
      <c r="S197" s="8"/>
      <c r="T197" s="9"/>
      <c r="U197" s="9"/>
      <c r="V197" s="9"/>
      <c r="W197" s="9"/>
      <c r="X197" s="19"/>
      <c r="Y197" s="20"/>
    </row>
    <row r="198" spans="1:25" s="35" customFormat="1" x14ac:dyDescent="0.3">
      <c r="A198" s="115"/>
      <c r="B198" s="9"/>
      <c r="C198" s="81">
        <v>35976</v>
      </c>
      <c r="D198" s="37" t="s">
        <v>87</v>
      </c>
      <c r="E198" s="37" t="s">
        <v>137</v>
      </c>
      <c r="F198" s="37">
        <v>0</v>
      </c>
      <c r="G198" s="74">
        <v>1</v>
      </c>
      <c r="H198" s="84"/>
      <c r="I198" s="84"/>
      <c r="J198" s="12"/>
      <c r="K198" s="13"/>
      <c r="S198" s="8"/>
      <c r="T198" s="9"/>
      <c r="U198" s="9"/>
      <c r="V198" s="9"/>
      <c r="W198" s="9"/>
      <c r="X198" s="19"/>
      <c r="Y198" s="20"/>
    </row>
    <row r="199" spans="1:25" ht="15" thickBot="1" x14ac:dyDescent="0.35">
      <c r="A199" s="115"/>
      <c r="B199" s="9"/>
      <c r="C199" s="87"/>
      <c r="D199" s="42"/>
      <c r="E199" s="42"/>
      <c r="F199" s="42" t="s">
        <v>8</v>
      </c>
      <c r="G199" s="79" t="s">
        <v>9</v>
      </c>
      <c r="H199" s="90"/>
      <c r="I199" s="90"/>
      <c r="J199" s="12"/>
      <c r="K199" s="13"/>
      <c r="L199" s="47"/>
      <c r="S199" s="8"/>
      <c r="T199" s="9"/>
      <c r="U199" s="9"/>
      <c r="V199" s="9"/>
      <c r="W199" s="9"/>
      <c r="X199" s="9"/>
      <c r="Y199" s="10"/>
    </row>
    <row r="200" spans="1:25" s="35" customFormat="1" x14ac:dyDescent="0.3">
      <c r="A200" s="115"/>
      <c r="B200" s="9"/>
      <c r="C200" s="81">
        <v>35976</v>
      </c>
      <c r="D200" s="37" t="s">
        <v>7</v>
      </c>
      <c r="E200" s="37" t="s">
        <v>24</v>
      </c>
      <c r="F200" s="37">
        <v>4</v>
      </c>
      <c r="G200" s="74">
        <v>3</v>
      </c>
      <c r="H200" s="84" t="s">
        <v>68</v>
      </c>
      <c r="I200" s="84"/>
      <c r="J200" s="12"/>
      <c r="K200" s="13"/>
      <c r="L200" s="99"/>
      <c r="S200" s="8"/>
      <c r="T200" s="9"/>
      <c r="U200" s="9"/>
      <c r="V200" s="9"/>
      <c r="W200" s="9"/>
      <c r="X200" s="9"/>
      <c r="Y200" s="10"/>
    </row>
    <row r="201" spans="1:25" s="35" customFormat="1" x14ac:dyDescent="0.3">
      <c r="A201" s="115"/>
      <c r="B201" s="9"/>
      <c r="C201" s="83"/>
      <c r="D201" s="37"/>
      <c r="E201" s="37"/>
      <c r="F201" s="37">
        <v>2</v>
      </c>
      <c r="G201" s="74">
        <v>2</v>
      </c>
      <c r="H201" s="84" t="s">
        <v>65</v>
      </c>
      <c r="I201" s="84"/>
      <c r="J201" s="12"/>
      <c r="K201" s="13"/>
      <c r="L201" s="99"/>
      <c r="S201" s="8"/>
      <c r="T201" s="9"/>
      <c r="U201" s="9"/>
      <c r="V201" s="9"/>
      <c r="W201" s="9"/>
      <c r="X201" s="9"/>
      <c r="Y201" s="10"/>
    </row>
    <row r="202" spans="1:25" s="35" customFormat="1" x14ac:dyDescent="0.3">
      <c r="A202" s="115"/>
      <c r="B202" s="9"/>
      <c r="C202" s="83"/>
      <c r="D202" s="83"/>
      <c r="E202" s="83"/>
      <c r="F202" s="83">
        <v>2</v>
      </c>
      <c r="G202" s="84">
        <v>2</v>
      </c>
      <c r="H202" s="84"/>
      <c r="I202" s="84"/>
      <c r="J202" s="12"/>
      <c r="K202" s="13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15"/>
      <c r="B203" s="9"/>
      <c r="C203" s="83"/>
      <c r="D203" s="83"/>
      <c r="E203" s="83"/>
      <c r="F203" s="83" t="s">
        <v>14</v>
      </c>
      <c r="G203" s="84" t="s">
        <v>44</v>
      </c>
      <c r="H203" s="84"/>
      <c r="I203" s="84"/>
      <c r="J203" s="12"/>
      <c r="K203" s="13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15"/>
      <c r="B204" s="9"/>
      <c r="C204" s="9"/>
      <c r="D204" s="9"/>
      <c r="E204" s="9"/>
      <c r="F204" s="9"/>
      <c r="G204" s="12"/>
      <c r="H204" s="12"/>
      <c r="I204" s="12"/>
      <c r="J204" s="12"/>
      <c r="K204" s="13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15"/>
      <c r="B205" s="9"/>
      <c r="C205" s="9"/>
      <c r="D205" s="9"/>
      <c r="E205" s="9"/>
      <c r="F205" s="9"/>
      <c r="G205" s="12"/>
      <c r="H205" s="12"/>
      <c r="I205" s="12"/>
      <c r="J205" s="12"/>
      <c r="K205" s="13"/>
      <c r="L205" s="99"/>
      <c r="S205" s="8"/>
      <c r="T205" s="9"/>
      <c r="U205" s="9"/>
      <c r="V205" s="9"/>
      <c r="W205" s="9"/>
      <c r="X205" s="9"/>
      <c r="Y205" s="10"/>
    </row>
    <row r="206" spans="1:25" s="35" customFormat="1" ht="21" x14ac:dyDescent="0.4">
      <c r="A206" s="115"/>
      <c r="B206" s="9"/>
      <c r="C206" s="9"/>
      <c r="D206" s="9"/>
      <c r="E206" s="9"/>
      <c r="F206" s="14" t="s">
        <v>67</v>
      </c>
      <c r="G206" s="12"/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15"/>
      <c r="B207" s="9"/>
      <c r="C207" s="9"/>
      <c r="D207" s="83"/>
      <c r="E207" s="83"/>
      <c r="F207" s="83"/>
      <c r="G207" s="84"/>
      <c r="H207" s="84"/>
      <c r="I207" s="12"/>
      <c r="J207" s="12"/>
      <c r="K207" s="13"/>
      <c r="L207" s="99"/>
      <c r="S207" s="8"/>
      <c r="T207" s="9"/>
      <c r="U207" s="9"/>
      <c r="V207" s="9"/>
      <c r="W207" s="9"/>
      <c r="X207" s="9"/>
      <c r="Y207" s="10"/>
    </row>
    <row r="208" spans="1:25" s="35" customFormat="1" x14ac:dyDescent="0.3">
      <c r="A208" s="115"/>
      <c r="B208" s="9"/>
      <c r="C208" s="16">
        <v>35979</v>
      </c>
      <c r="D208" s="83" t="s">
        <v>5</v>
      </c>
      <c r="E208" s="37" t="s">
        <v>11</v>
      </c>
      <c r="F208" s="37">
        <v>3</v>
      </c>
      <c r="G208" s="74">
        <v>4</v>
      </c>
      <c r="H208" s="74" t="s">
        <v>68</v>
      </c>
      <c r="I208" s="12"/>
      <c r="J208" s="12"/>
      <c r="K208" s="13"/>
      <c r="S208" s="8" t="s">
        <v>5</v>
      </c>
      <c r="T208" s="9" t="s">
        <v>11</v>
      </c>
      <c r="U208" s="9">
        <v>3</v>
      </c>
      <c r="V208" s="9">
        <v>4</v>
      </c>
      <c r="W208" s="9" t="s">
        <v>68</v>
      </c>
      <c r="X208" s="19">
        <f t="shared" ref="X208:X211" si="24">(IF(U208&gt;V208,3,IF(U208=V208,1,2)))</f>
        <v>2</v>
      </c>
      <c r="Y208" s="20">
        <f t="shared" ref="Y208:Y211" si="25">(IF(V208&gt;U208,3,IF(U208=V208,1,2)))</f>
        <v>3</v>
      </c>
    </row>
    <row r="209" spans="1:25" s="35" customFormat="1" x14ac:dyDescent="0.3">
      <c r="A209" s="115"/>
      <c r="B209" s="9"/>
      <c r="C209" s="16"/>
      <c r="D209" s="83"/>
      <c r="E209" s="37"/>
      <c r="F209" s="37">
        <v>0</v>
      </c>
      <c r="G209" s="74">
        <v>0</v>
      </c>
      <c r="H209" s="74" t="s">
        <v>65</v>
      </c>
      <c r="I209" s="12"/>
      <c r="J209" s="12"/>
      <c r="K209" s="13"/>
      <c r="S209" s="8" t="s">
        <v>16</v>
      </c>
      <c r="T209" s="9" t="s">
        <v>21</v>
      </c>
      <c r="U209" s="9">
        <v>3</v>
      </c>
      <c r="V209" s="9">
        <v>2</v>
      </c>
      <c r="W209" s="9"/>
      <c r="X209" s="19">
        <f t="shared" si="24"/>
        <v>3</v>
      </c>
      <c r="Y209" s="20">
        <f t="shared" si="25"/>
        <v>2</v>
      </c>
    </row>
    <row r="210" spans="1:25" s="35" customFormat="1" x14ac:dyDescent="0.3">
      <c r="A210" s="115"/>
      <c r="B210" s="9"/>
      <c r="C210" s="16"/>
      <c r="D210" s="83"/>
      <c r="E210" s="37"/>
      <c r="F210" s="37">
        <v>0</v>
      </c>
      <c r="G210" s="74">
        <v>0</v>
      </c>
      <c r="H210" s="74"/>
      <c r="I210" s="12"/>
      <c r="J210" s="12"/>
      <c r="K210" s="13"/>
      <c r="S210" s="8" t="s">
        <v>89</v>
      </c>
      <c r="T210" s="9" t="s">
        <v>7</v>
      </c>
      <c r="U210" s="9">
        <v>2</v>
      </c>
      <c r="V210" s="9">
        <v>1</v>
      </c>
      <c r="W210" s="9"/>
      <c r="X210" s="19">
        <f t="shared" si="24"/>
        <v>3</v>
      </c>
      <c r="Y210" s="20">
        <f t="shared" si="25"/>
        <v>2</v>
      </c>
    </row>
    <row r="211" spans="1:25" s="35" customFormat="1" ht="15" thickBot="1" x14ac:dyDescent="0.35">
      <c r="A211" s="115"/>
      <c r="B211" s="9"/>
      <c r="C211" s="21"/>
      <c r="D211" s="42"/>
      <c r="E211" s="42"/>
      <c r="F211" s="42" t="s">
        <v>8</v>
      </c>
      <c r="G211" s="79" t="s">
        <v>15</v>
      </c>
      <c r="H211" s="79"/>
      <c r="I211" s="28"/>
      <c r="J211" s="12"/>
      <c r="K211" s="13"/>
      <c r="L211" s="99"/>
      <c r="S211" s="8" t="s">
        <v>13</v>
      </c>
      <c r="T211" s="9" t="s">
        <v>137</v>
      </c>
      <c r="U211" s="9">
        <v>0</v>
      </c>
      <c r="V211" s="9">
        <v>3</v>
      </c>
      <c r="W211" s="9"/>
      <c r="X211" s="19">
        <f t="shared" si="24"/>
        <v>2</v>
      </c>
      <c r="Y211" s="20">
        <f t="shared" si="25"/>
        <v>3</v>
      </c>
    </row>
    <row r="212" spans="1:25" s="35" customFormat="1" x14ac:dyDescent="0.3">
      <c r="A212" s="115"/>
      <c r="B212" s="9"/>
      <c r="C212" s="16">
        <v>35979</v>
      </c>
      <c r="D212" s="37" t="s">
        <v>16</v>
      </c>
      <c r="E212" s="37" t="s">
        <v>21</v>
      </c>
      <c r="F212" s="37">
        <v>3</v>
      </c>
      <c r="G212" s="74">
        <v>2</v>
      </c>
      <c r="H212" s="74"/>
      <c r="I212" s="12"/>
      <c r="J212" s="12"/>
      <c r="K212" s="13"/>
      <c r="L212" s="99"/>
      <c r="S212" s="8"/>
      <c r="T212" s="9"/>
      <c r="U212" s="9"/>
      <c r="V212" s="9"/>
      <c r="W212" s="9"/>
      <c r="X212" s="19"/>
      <c r="Y212" s="20"/>
    </row>
    <row r="213" spans="1:25" s="35" customFormat="1" ht="15" thickBot="1" x14ac:dyDescent="0.35">
      <c r="A213" s="115"/>
      <c r="B213" s="9"/>
      <c r="C213" s="21"/>
      <c r="D213" s="42"/>
      <c r="E213" s="42"/>
      <c r="F213" s="42" t="s">
        <v>14</v>
      </c>
      <c r="G213" s="79" t="s">
        <v>9</v>
      </c>
      <c r="H213" s="79"/>
      <c r="I213" s="28"/>
      <c r="J213" s="12"/>
      <c r="K213" s="13"/>
      <c r="L213" s="99"/>
      <c r="S213" s="8"/>
      <c r="T213" s="9"/>
      <c r="U213" s="9"/>
      <c r="V213" s="9"/>
      <c r="W213" s="9"/>
      <c r="X213" s="19"/>
      <c r="Y213" s="20"/>
    </row>
    <row r="214" spans="1:25" s="35" customFormat="1" x14ac:dyDescent="0.3">
      <c r="A214" s="115"/>
      <c r="B214" s="9"/>
      <c r="C214" s="16">
        <v>35980</v>
      </c>
      <c r="D214" s="37" t="s">
        <v>89</v>
      </c>
      <c r="E214" s="37" t="s">
        <v>7</v>
      </c>
      <c r="F214" s="37">
        <v>2</v>
      </c>
      <c r="G214" s="74">
        <v>1</v>
      </c>
      <c r="H214" s="74"/>
      <c r="I214" s="12"/>
      <c r="J214" s="12"/>
      <c r="K214" s="13"/>
      <c r="S214" s="8"/>
      <c r="T214" s="9"/>
      <c r="U214" s="9"/>
      <c r="V214" s="9"/>
      <c r="W214" s="9"/>
      <c r="X214" s="19"/>
      <c r="Y214" s="20"/>
    </row>
    <row r="215" spans="1:25" s="35" customFormat="1" ht="15" thickBot="1" x14ac:dyDescent="0.35">
      <c r="A215" s="115"/>
      <c r="B215" s="9"/>
      <c r="C215" s="21"/>
      <c r="D215" s="42"/>
      <c r="E215" s="42"/>
      <c r="F215" s="42" t="s">
        <v>19</v>
      </c>
      <c r="G215" s="79" t="s">
        <v>9</v>
      </c>
      <c r="H215" s="79"/>
      <c r="I215" s="28"/>
      <c r="J215" s="12"/>
      <c r="K215" s="13"/>
      <c r="L215" s="99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15"/>
      <c r="B216" s="9"/>
      <c r="C216" s="16">
        <v>35980</v>
      </c>
      <c r="D216" s="37" t="s">
        <v>13</v>
      </c>
      <c r="E216" s="37" t="s">
        <v>137</v>
      </c>
      <c r="F216" s="37">
        <v>0</v>
      </c>
      <c r="G216" s="74">
        <v>3</v>
      </c>
      <c r="H216" s="74"/>
      <c r="I216" s="12"/>
      <c r="J216" s="12"/>
      <c r="K216" s="13"/>
      <c r="S216" s="8"/>
      <c r="T216" s="9"/>
      <c r="U216" s="9"/>
      <c r="V216" s="9"/>
      <c r="W216" s="9"/>
      <c r="X216" s="19"/>
      <c r="Y216" s="20"/>
    </row>
    <row r="217" spans="1:25" s="35" customFormat="1" x14ac:dyDescent="0.3">
      <c r="A217" s="115"/>
      <c r="B217" s="9"/>
      <c r="C217" s="9"/>
      <c r="D217" s="37"/>
      <c r="E217" s="37"/>
      <c r="F217" s="37" t="s">
        <v>8</v>
      </c>
      <c r="G217" s="74" t="s">
        <v>9</v>
      </c>
      <c r="H217" s="74"/>
      <c r="I217" s="12"/>
      <c r="J217" s="12"/>
      <c r="K217" s="13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115"/>
      <c r="B218" s="9"/>
      <c r="C218" s="9"/>
      <c r="D218" s="17"/>
      <c r="E218" s="17"/>
      <c r="F218" s="17"/>
      <c r="G218" s="38"/>
      <c r="H218" s="38"/>
      <c r="I218" s="12"/>
      <c r="J218" s="12"/>
      <c r="K218" s="13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13"/>
      <c r="L219" s="99"/>
      <c r="S219" s="8"/>
      <c r="T219" s="9"/>
      <c r="U219" s="9"/>
      <c r="V219" s="9"/>
      <c r="W219" s="9"/>
      <c r="X219" s="9"/>
      <c r="Y219" s="10"/>
    </row>
    <row r="220" spans="1:25" s="35" customFormat="1" ht="21" x14ac:dyDescent="0.4">
      <c r="A220" s="11"/>
      <c r="B220" s="17"/>
      <c r="C220" s="17"/>
      <c r="D220" s="17"/>
      <c r="E220" s="17"/>
      <c r="F220" s="126" t="s">
        <v>69</v>
      </c>
      <c r="G220" s="38"/>
      <c r="H220" s="38"/>
      <c r="I220" s="38"/>
      <c r="J220" s="38"/>
      <c r="K220" s="13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15"/>
      <c r="B221" s="15"/>
      <c r="C221" s="9"/>
      <c r="D221" s="83"/>
      <c r="E221" s="83"/>
      <c r="F221" s="83"/>
      <c r="G221" s="84"/>
      <c r="H221" s="12"/>
      <c r="I221" s="12"/>
      <c r="J221" s="12"/>
      <c r="K221" s="13"/>
      <c r="L221" s="99"/>
      <c r="S221" s="8"/>
      <c r="T221" s="47"/>
      <c r="U221" s="47"/>
      <c r="V221" s="47"/>
      <c r="W221" s="47"/>
      <c r="X221" s="47"/>
      <c r="Y221" s="10"/>
    </row>
    <row r="222" spans="1:25" s="35" customFormat="1" x14ac:dyDescent="0.3">
      <c r="A222" s="127"/>
      <c r="B222" s="57"/>
      <c r="C222" s="128">
        <v>35983</v>
      </c>
      <c r="D222" s="37" t="s">
        <v>16</v>
      </c>
      <c r="E222" s="37" t="s">
        <v>89</v>
      </c>
      <c r="F222" s="37">
        <v>4</v>
      </c>
      <c r="G222" s="37">
        <v>2</v>
      </c>
      <c r="H222" s="17" t="s">
        <v>68</v>
      </c>
      <c r="I222" s="38"/>
      <c r="J222" s="38"/>
      <c r="K222" s="40"/>
      <c r="S222" s="8" t="s">
        <v>16</v>
      </c>
      <c r="T222" s="47" t="s">
        <v>89</v>
      </c>
      <c r="U222" s="47">
        <v>5</v>
      </c>
      <c r="V222" s="47">
        <v>3</v>
      </c>
      <c r="W222" s="47" t="s">
        <v>68</v>
      </c>
      <c r="X222" s="19">
        <f t="shared" ref="X222:X223" si="26">(IF(U222&gt;V222,3,IF(U222=V222,1,2)))</f>
        <v>3</v>
      </c>
      <c r="Y222" s="20">
        <f t="shared" ref="Y222:Y223" si="27">(IF(V222&gt;U222,3,IF(U222=V222,1,2)))</f>
        <v>2</v>
      </c>
    </row>
    <row r="223" spans="1:25" s="35" customFormat="1" x14ac:dyDescent="0.3">
      <c r="A223" s="127"/>
      <c r="B223" s="57"/>
      <c r="C223" s="128"/>
      <c r="D223" s="37"/>
      <c r="E223" s="37"/>
      <c r="F223" s="37">
        <v>1</v>
      </c>
      <c r="G223" s="37">
        <v>1</v>
      </c>
      <c r="H223" s="17" t="s">
        <v>65</v>
      </c>
      <c r="I223" s="38"/>
      <c r="J223" s="38"/>
      <c r="K223" s="40"/>
      <c r="S223" s="8" t="s">
        <v>11</v>
      </c>
      <c r="T223" s="47" t="s">
        <v>137</v>
      </c>
      <c r="U223" s="47">
        <v>2</v>
      </c>
      <c r="V223" s="47">
        <v>1</v>
      </c>
      <c r="W223" s="47"/>
      <c r="X223" s="19">
        <f t="shared" si="26"/>
        <v>3</v>
      </c>
      <c r="Y223" s="20">
        <f t="shared" si="27"/>
        <v>2</v>
      </c>
    </row>
    <row r="224" spans="1:25" s="35" customFormat="1" x14ac:dyDescent="0.3">
      <c r="A224" s="127"/>
      <c r="B224" s="57"/>
      <c r="C224" s="128"/>
      <c r="D224" s="37"/>
      <c r="E224" s="37"/>
      <c r="F224" s="37">
        <v>1</v>
      </c>
      <c r="G224" s="37">
        <v>1</v>
      </c>
      <c r="H224" s="17"/>
      <c r="I224" s="38"/>
      <c r="J224" s="38"/>
      <c r="K224" s="40"/>
      <c r="S224" s="8"/>
      <c r="T224" s="47"/>
      <c r="U224" s="47"/>
      <c r="V224" s="47"/>
      <c r="W224" s="47"/>
      <c r="X224" s="47"/>
      <c r="Y224" s="10"/>
    </row>
    <row r="225" spans="1:25" s="35" customFormat="1" ht="15" thickBot="1" x14ac:dyDescent="0.35">
      <c r="A225" s="127"/>
      <c r="B225" s="57"/>
      <c r="C225" s="129"/>
      <c r="D225" s="42"/>
      <c r="E225" s="42"/>
      <c r="F225" s="42" t="s">
        <v>8</v>
      </c>
      <c r="G225" s="42" t="s">
        <v>15</v>
      </c>
      <c r="H225" s="22"/>
      <c r="I225" s="43"/>
      <c r="J225" s="38"/>
      <c r="K225" s="40"/>
      <c r="L225" s="99"/>
      <c r="S225" s="8"/>
      <c r="T225" s="47"/>
      <c r="U225" s="47"/>
      <c r="V225" s="47"/>
      <c r="W225" s="47"/>
      <c r="X225" s="47"/>
      <c r="Y225" s="10"/>
    </row>
    <row r="226" spans="1:25" x14ac:dyDescent="0.3">
      <c r="A226" s="127"/>
      <c r="B226" s="57"/>
      <c r="C226" s="128">
        <v>35984</v>
      </c>
      <c r="D226" s="37" t="s">
        <v>11</v>
      </c>
      <c r="E226" s="37" t="s">
        <v>137</v>
      </c>
      <c r="F226" s="37">
        <v>2</v>
      </c>
      <c r="G226" s="37">
        <v>1</v>
      </c>
      <c r="H226" s="17"/>
      <c r="I226" s="38"/>
      <c r="J226" s="38"/>
      <c r="K226" s="40"/>
      <c r="S226" s="8"/>
      <c r="X226" s="19"/>
      <c r="Y226" s="20"/>
    </row>
    <row r="227" spans="1:25" x14ac:dyDescent="0.3">
      <c r="A227" s="115"/>
      <c r="B227" s="9"/>
      <c r="C227" s="9"/>
      <c r="D227" s="83"/>
      <c r="E227" s="83"/>
      <c r="F227" s="83" t="s">
        <v>8</v>
      </c>
      <c r="G227" s="84" t="s">
        <v>15</v>
      </c>
      <c r="H227" s="12"/>
      <c r="I227" s="12"/>
      <c r="J227" s="12"/>
      <c r="K227" s="13"/>
      <c r="S227" s="8"/>
      <c r="X227" s="19"/>
      <c r="Y227" s="20"/>
    </row>
    <row r="228" spans="1:25" x14ac:dyDescent="0.3">
      <c r="A228" s="115"/>
      <c r="B228" s="9"/>
      <c r="C228" s="9"/>
      <c r="D228" s="83"/>
      <c r="E228" s="83"/>
      <c r="F228" s="83"/>
      <c r="G228" s="84"/>
      <c r="H228" s="12"/>
      <c r="I228" s="12"/>
      <c r="J228" s="12"/>
      <c r="K228" s="13"/>
      <c r="S228" s="8"/>
      <c r="Y228" s="10"/>
    </row>
    <row r="229" spans="1:25" ht="15" thickBot="1" x14ac:dyDescent="0.35">
      <c r="A229" s="115"/>
      <c r="B229" s="9"/>
      <c r="C229" s="9"/>
      <c r="D229" s="9"/>
      <c r="E229" s="9"/>
      <c r="F229" s="9"/>
      <c r="G229" s="12"/>
      <c r="H229" s="12"/>
      <c r="I229" s="12"/>
      <c r="J229" s="12"/>
      <c r="K229" s="13"/>
      <c r="S229" s="8"/>
      <c r="Y229" s="10"/>
    </row>
    <row r="230" spans="1:25" ht="21" x14ac:dyDescent="0.4">
      <c r="A230" s="115"/>
      <c r="B230" s="9"/>
      <c r="C230" s="196" t="s">
        <v>148</v>
      </c>
      <c r="D230" s="198"/>
      <c r="E230" s="198"/>
      <c r="F230" s="198"/>
      <c r="G230" s="198"/>
      <c r="H230" s="198"/>
      <c r="I230" s="199"/>
      <c r="J230" s="12"/>
      <c r="K230" s="102"/>
      <c r="S230" s="8"/>
      <c r="Y230" s="10"/>
    </row>
    <row r="231" spans="1:25" x14ac:dyDescent="0.3">
      <c r="A231" s="29"/>
      <c r="B231" s="17"/>
      <c r="C231" s="36"/>
      <c r="D231" s="17"/>
      <c r="E231" s="37" t="s">
        <v>89</v>
      </c>
      <c r="F231" s="134" t="s">
        <v>106</v>
      </c>
      <c r="G231" s="17" t="s">
        <v>137</v>
      </c>
      <c r="H231" s="38"/>
      <c r="I231" s="39"/>
      <c r="J231" s="38"/>
      <c r="K231" s="98"/>
      <c r="S231" s="8" t="s">
        <v>89</v>
      </c>
      <c r="T231" s="47" t="s">
        <v>137</v>
      </c>
      <c r="U231" s="47">
        <v>1</v>
      </c>
      <c r="V231" s="47">
        <v>2</v>
      </c>
      <c r="X231" s="19">
        <f t="shared" ref="X231" si="28">(IF(U231&gt;V231,3,IF(U231=V231,1,2)))</f>
        <v>2</v>
      </c>
      <c r="Y231" s="20">
        <f t="shared" ref="Y231" si="29">(IF(V231&gt;U231,3,IF(U231=V231,1,2)))</f>
        <v>3</v>
      </c>
    </row>
    <row r="232" spans="1:25" x14ac:dyDescent="0.3">
      <c r="A232" s="115"/>
      <c r="B232" s="9"/>
      <c r="C232" s="51"/>
      <c r="D232" s="9"/>
      <c r="E232" s="83">
        <v>1</v>
      </c>
      <c r="F232" s="83"/>
      <c r="G232" s="9">
        <v>2</v>
      </c>
      <c r="H232" s="12"/>
      <c r="I232" s="104"/>
      <c r="J232" s="12"/>
      <c r="K232" s="102"/>
      <c r="S232" s="8"/>
      <c r="Y232" s="10"/>
    </row>
    <row r="233" spans="1:25" ht="15" thickBot="1" x14ac:dyDescent="0.35">
      <c r="A233" s="115"/>
      <c r="B233" s="9"/>
      <c r="C233" s="50"/>
      <c r="D233" s="23"/>
      <c r="E233" s="23" t="s">
        <v>19</v>
      </c>
      <c r="F233" s="23"/>
      <c r="G233" s="23" t="s">
        <v>44</v>
      </c>
      <c r="H233" s="28"/>
      <c r="I233" s="105"/>
      <c r="J233" s="12"/>
      <c r="K233" s="102"/>
      <c r="S233" s="8"/>
      <c r="X233" s="19"/>
      <c r="Y233" s="20"/>
    </row>
    <row r="234" spans="1:25" x14ac:dyDescent="0.3">
      <c r="A234" s="115"/>
      <c r="B234" s="9"/>
      <c r="C234" s="9"/>
      <c r="D234" s="9"/>
      <c r="E234" s="9"/>
      <c r="F234" s="9"/>
      <c r="G234" s="9"/>
      <c r="H234" s="12"/>
      <c r="I234" s="12"/>
      <c r="J234" s="12"/>
      <c r="K234" s="102"/>
      <c r="S234" s="8"/>
      <c r="Y234" s="10"/>
    </row>
    <row r="235" spans="1:25" x14ac:dyDescent="0.3">
      <c r="A235" s="115"/>
      <c r="B235" s="9"/>
      <c r="C235" s="9"/>
      <c r="D235" s="9"/>
      <c r="E235" s="9"/>
      <c r="F235" s="9"/>
      <c r="G235" s="9"/>
      <c r="H235" s="12"/>
      <c r="I235" s="12"/>
      <c r="J235" s="12"/>
      <c r="K235" s="102"/>
      <c r="S235" s="8"/>
      <c r="Y235" s="10"/>
    </row>
    <row r="236" spans="1:25" x14ac:dyDescent="0.3">
      <c r="A236" s="115"/>
      <c r="B236" s="9"/>
      <c r="C236" s="9"/>
      <c r="D236" s="9"/>
      <c r="E236" s="9"/>
      <c r="F236" s="9"/>
      <c r="G236" s="9"/>
      <c r="H236" s="12"/>
      <c r="I236" s="12"/>
      <c r="J236" s="12"/>
      <c r="K236" s="102"/>
      <c r="S236" s="8"/>
      <c r="Y236" s="10"/>
    </row>
    <row r="237" spans="1:25" ht="15" thickBot="1" x14ac:dyDescent="0.35">
      <c r="A237" s="115"/>
      <c r="B237" s="9"/>
      <c r="C237" s="9"/>
      <c r="D237" s="9"/>
      <c r="E237" s="9"/>
      <c r="F237" s="9"/>
      <c r="G237" s="9"/>
      <c r="H237" s="12"/>
      <c r="I237" s="12"/>
      <c r="J237" s="12"/>
      <c r="K237" s="102"/>
      <c r="S237" s="8"/>
      <c r="Y237" s="10"/>
    </row>
    <row r="238" spans="1:25" ht="21" x14ac:dyDescent="0.4">
      <c r="A238" s="115"/>
      <c r="B238" s="9"/>
      <c r="C238" s="196" t="s">
        <v>149</v>
      </c>
      <c r="D238" s="198"/>
      <c r="E238" s="198"/>
      <c r="F238" s="198"/>
      <c r="G238" s="198"/>
      <c r="H238" s="198"/>
      <c r="I238" s="199"/>
      <c r="J238" s="12"/>
      <c r="K238" s="102"/>
      <c r="S238" s="8"/>
      <c r="Y238" s="10"/>
    </row>
    <row r="239" spans="1:25" x14ac:dyDescent="0.3">
      <c r="A239" s="29"/>
      <c r="B239" s="17"/>
      <c r="C239" s="36"/>
      <c r="D239" s="17"/>
      <c r="E239" s="37" t="s">
        <v>16</v>
      </c>
      <c r="F239" s="130" t="s">
        <v>106</v>
      </c>
      <c r="G239" s="74" t="s">
        <v>11</v>
      </c>
      <c r="H239" s="38"/>
      <c r="I239" s="39"/>
      <c r="J239" s="38"/>
      <c r="K239" s="98"/>
      <c r="S239" s="8" t="s">
        <v>16</v>
      </c>
      <c r="T239" s="47" t="s">
        <v>11</v>
      </c>
      <c r="U239" s="47">
        <v>0</v>
      </c>
      <c r="V239" s="47">
        <v>3</v>
      </c>
      <c r="X239" s="19">
        <f t="shared" ref="X239" si="30">(IF(U239&gt;V239,3,IF(U239=V239,1,2)))</f>
        <v>2</v>
      </c>
      <c r="Y239" s="20">
        <f t="shared" ref="Y239" si="31">(IF(V239&gt;U239,3,IF(U239=V239,1,2)))</f>
        <v>3</v>
      </c>
    </row>
    <row r="240" spans="1:25" x14ac:dyDescent="0.3">
      <c r="A240" s="29"/>
      <c r="B240" s="17"/>
      <c r="C240" s="36"/>
      <c r="D240" s="17"/>
      <c r="E240" s="37">
        <v>0</v>
      </c>
      <c r="F240" s="130"/>
      <c r="G240" s="74">
        <v>3</v>
      </c>
      <c r="H240" s="38"/>
      <c r="I240" s="39"/>
      <c r="J240" s="38"/>
      <c r="K240" s="98"/>
      <c r="S240" s="8"/>
      <c r="Y240" s="10"/>
    </row>
    <row r="241" spans="1:25" ht="15" thickBot="1" x14ac:dyDescent="0.35">
      <c r="A241" s="115"/>
      <c r="B241" s="9"/>
      <c r="C241" s="50"/>
      <c r="D241" s="23"/>
      <c r="E241" s="23" t="s">
        <v>8</v>
      </c>
      <c r="F241" s="23"/>
      <c r="G241" s="28" t="s">
        <v>44</v>
      </c>
      <c r="H241" s="28"/>
      <c r="I241" s="105"/>
      <c r="J241" s="12"/>
      <c r="K241" s="102"/>
      <c r="S241" s="106"/>
      <c r="T241" s="107"/>
      <c r="U241" s="107"/>
      <c r="V241" s="107"/>
      <c r="W241" s="107"/>
      <c r="X241" s="107"/>
      <c r="Y241" s="108"/>
    </row>
    <row r="242" spans="1:25" x14ac:dyDescent="0.3">
      <c r="A242" s="115"/>
      <c r="B242" s="9"/>
      <c r="C242" s="9"/>
      <c r="D242" s="9"/>
      <c r="E242" s="9"/>
      <c r="F242" s="9"/>
      <c r="G242" s="12"/>
      <c r="H242" s="12"/>
      <c r="I242" s="12"/>
      <c r="J242" s="12"/>
      <c r="K242" s="102"/>
    </row>
    <row r="243" spans="1:25" x14ac:dyDescent="0.3">
      <c r="A243" s="29"/>
      <c r="B243" s="17"/>
      <c r="C243" s="17"/>
      <c r="D243" s="17"/>
      <c r="E243" s="17"/>
      <c r="F243" s="17"/>
      <c r="G243" s="38"/>
      <c r="H243" s="38"/>
      <c r="I243" s="38"/>
      <c r="J243" s="38"/>
      <c r="K243" s="98"/>
    </row>
    <row r="244" spans="1:25" x14ac:dyDescent="0.3">
      <c r="A244" s="11"/>
      <c r="B244" s="17"/>
      <c r="C244" s="17"/>
      <c r="D244" s="17"/>
      <c r="E244" s="17"/>
      <c r="F244" s="17"/>
      <c r="G244" s="38"/>
      <c r="H244" s="38"/>
      <c r="I244" s="38"/>
      <c r="J244" s="38"/>
      <c r="K244" s="40"/>
    </row>
    <row r="245" spans="1:25" x14ac:dyDescent="0.3">
      <c r="A245" s="11"/>
      <c r="B245" s="17"/>
      <c r="C245" s="17"/>
      <c r="D245" s="17"/>
      <c r="E245" s="17"/>
      <c r="F245" s="17"/>
      <c r="G245" s="38"/>
      <c r="H245" s="38"/>
      <c r="I245" s="38"/>
      <c r="J245" s="38"/>
      <c r="K245" s="40"/>
    </row>
    <row r="246" spans="1:25" ht="15" thickBot="1" x14ac:dyDescent="0.35">
      <c r="A246" s="112" t="s">
        <v>72</v>
      </c>
      <c r="B246" s="9" t="s">
        <v>62</v>
      </c>
      <c r="C246" s="9" t="s">
        <v>27</v>
      </c>
      <c r="D246" s="9" t="s">
        <v>28</v>
      </c>
      <c r="E246" s="9" t="s">
        <v>29</v>
      </c>
      <c r="F246" s="9" t="s">
        <v>30</v>
      </c>
      <c r="G246" s="12" t="s">
        <v>31</v>
      </c>
      <c r="H246" s="12" t="s">
        <v>32</v>
      </c>
      <c r="I246" s="12" t="s">
        <v>118</v>
      </c>
      <c r="J246" s="12"/>
      <c r="K246" s="102"/>
    </row>
    <row r="247" spans="1:25" x14ac:dyDescent="0.3">
      <c r="A247" s="11"/>
      <c r="B247" s="30" t="s">
        <v>11</v>
      </c>
      <c r="C247" s="109">
        <f>COUNTIF($S$12:$T$239,"Frankreich")</f>
        <v>7</v>
      </c>
      <c r="D247" s="32">
        <f t="shared" ref="D247:D278" si="32">SUMPRODUCT(($S$12:$T$239=B247)*($X$12:$Y$239=3))</f>
        <v>7</v>
      </c>
      <c r="E247" s="32">
        <f t="shared" ref="E247:E278" si="33">SUMPRODUCT(($S$12:$T$239=B247)*($X$12:$Y$239=1))</f>
        <v>0</v>
      </c>
      <c r="F247" s="32">
        <f t="shared" ref="F247:F278" si="34">SUMPRODUCT(($S$12:$T$239=B247)*($X$12:$Y$239=2))</f>
        <v>0</v>
      </c>
      <c r="G247" s="32">
        <f t="shared" ref="G247:G278" si="35">SUMPRODUCT(($S$12:$S$239=B247)*($U$12:$U$239))+SUMPRODUCT(($T$12:$T$239=B247)*($V$12:$V$239))</f>
        <v>19</v>
      </c>
      <c r="H247" s="32">
        <f t="shared" ref="H247:H278" si="36">SUMPRODUCT(($S$12:$S$239=B247)*($V$12:$V$239))+SUMPRODUCT(($T$12:$T$239=B247)*($U$12:$U$239))</f>
        <v>5</v>
      </c>
      <c r="I247" s="34">
        <f t="shared" ref="I247:I278" si="37">(D247*3)+E247</f>
        <v>21</v>
      </c>
      <c r="J247" s="38"/>
      <c r="K247" s="40"/>
    </row>
    <row r="248" spans="1:25" x14ac:dyDescent="0.3">
      <c r="A248" s="11"/>
      <c r="B248" s="36" t="s">
        <v>16</v>
      </c>
      <c r="C248" s="17">
        <f>COUNTIF($S$12:$T$239,"Brasilien")</f>
        <v>7</v>
      </c>
      <c r="D248" s="37">
        <f t="shared" si="32"/>
        <v>5</v>
      </c>
      <c r="E248" s="37">
        <f t="shared" si="33"/>
        <v>0</v>
      </c>
      <c r="F248" s="37">
        <f t="shared" si="34"/>
        <v>2</v>
      </c>
      <c r="G248" s="37">
        <f t="shared" si="35"/>
        <v>18</v>
      </c>
      <c r="H248" s="37">
        <f t="shared" si="36"/>
        <v>12</v>
      </c>
      <c r="I248" s="39">
        <f t="shared" si="37"/>
        <v>15</v>
      </c>
      <c r="J248" s="38"/>
      <c r="K248" s="40"/>
    </row>
    <row r="249" spans="1:25" x14ac:dyDescent="0.3">
      <c r="A249" s="11"/>
      <c r="B249" s="51" t="s">
        <v>137</v>
      </c>
      <c r="C249" s="17">
        <f>COUNTIF($S$12:$T$239,"Kroatien")</f>
        <v>7</v>
      </c>
      <c r="D249" s="37">
        <f t="shared" si="32"/>
        <v>5</v>
      </c>
      <c r="E249" s="37">
        <f t="shared" si="33"/>
        <v>0</v>
      </c>
      <c r="F249" s="37">
        <f t="shared" si="34"/>
        <v>2</v>
      </c>
      <c r="G249" s="37">
        <f t="shared" si="35"/>
        <v>11</v>
      </c>
      <c r="H249" s="37">
        <f t="shared" si="36"/>
        <v>5</v>
      </c>
      <c r="I249" s="39">
        <f t="shared" si="37"/>
        <v>15</v>
      </c>
      <c r="J249" s="12"/>
      <c r="K249" s="13"/>
    </row>
    <row r="250" spans="1:25" x14ac:dyDescent="0.3">
      <c r="A250" s="11"/>
      <c r="B250" s="51" t="s">
        <v>7</v>
      </c>
      <c r="C250" s="17">
        <f>COUNTIF($S$12:$T$239,"Argentinien")</f>
        <v>5</v>
      </c>
      <c r="D250" s="37">
        <f t="shared" si="32"/>
        <v>4</v>
      </c>
      <c r="E250" s="37">
        <f t="shared" si="33"/>
        <v>0</v>
      </c>
      <c r="F250" s="37">
        <f t="shared" si="34"/>
        <v>1</v>
      </c>
      <c r="G250" s="37">
        <f t="shared" si="35"/>
        <v>14</v>
      </c>
      <c r="H250" s="37">
        <f t="shared" si="36"/>
        <v>7</v>
      </c>
      <c r="I250" s="39">
        <f t="shared" si="37"/>
        <v>12</v>
      </c>
      <c r="J250" s="12"/>
      <c r="K250" s="13"/>
    </row>
    <row r="251" spans="1:25" x14ac:dyDescent="0.3">
      <c r="A251" s="11"/>
      <c r="B251" s="36" t="s">
        <v>89</v>
      </c>
      <c r="C251" s="17">
        <f>COUNTIF($S$12:$T$239,"Niederlande")</f>
        <v>7</v>
      </c>
      <c r="D251" s="37">
        <f t="shared" si="32"/>
        <v>3</v>
      </c>
      <c r="E251" s="37">
        <f t="shared" si="33"/>
        <v>2</v>
      </c>
      <c r="F251" s="37">
        <f t="shared" si="34"/>
        <v>2</v>
      </c>
      <c r="G251" s="37">
        <f t="shared" si="35"/>
        <v>15</v>
      </c>
      <c r="H251" s="37">
        <f t="shared" si="36"/>
        <v>11</v>
      </c>
      <c r="I251" s="39">
        <f t="shared" si="37"/>
        <v>11</v>
      </c>
      <c r="J251" s="38"/>
      <c r="K251" s="40"/>
    </row>
    <row r="252" spans="1:25" x14ac:dyDescent="0.3">
      <c r="A252" s="11"/>
      <c r="B252" s="36" t="s">
        <v>5</v>
      </c>
      <c r="C252" s="17">
        <f>COUNTIF($S$12:$T$239,"Italien")</f>
        <v>5</v>
      </c>
      <c r="D252" s="37">
        <f t="shared" si="32"/>
        <v>3</v>
      </c>
      <c r="E252" s="37">
        <f t="shared" si="33"/>
        <v>1</v>
      </c>
      <c r="F252" s="37">
        <f t="shared" si="34"/>
        <v>1</v>
      </c>
      <c r="G252" s="37">
        <f t="shared" si="35"/>
        <v>11</v>
      </c>
      <c r="H252" s="37">
        <f t="shared" si="36"/>
        <v>7</v>
      </c>
      <c r="I252" s="39">
        <f t="shared" si="37"/>
        <v>10</v>
      </c>
      <c r="J252" s="38"/>
      <c r="K252" s="40"/>
    </row>
    <row r="253" spans="1:25" x14ac:dyDescent="0.3">
      <c r="A253" s="11"/>
      <c r="B253" s="36" t="s">
        <v>13</v>
      </c>
      <c r="C253" s="17">
        <f>COUNTIF($S$12:$T$239,"BRD")</f>
        <v>5</v>
      </c>
      <c r="D253" s="37">
        <f t="shared" si="32"/>
        <v>3</v>
      </c>
      <c r="E253" s="37">
        <f t="shared" si="33"/>
        <v>1</v>
      </c>
      <c r="F253" s="37">
        <f t="shared" si="34"/>
        <v>1</v>
      </c>
      <c r="G253" s="37">
        <f t="shared" si="35"/>
        <v>8</v>
      </c>
      <c r="H253" s="37">
        <f t="shared" si="36"/>
        <v>6</v>
      </c>
      <c r="I253" s="39">
        <f t="shared" si="37"/>
        <v>10</v>
      </c>
      <c r="J253" s="38"/>
      <c r="K253" s="40"/>
    </row>
    <row r="254" spans="1:25" x14ac:dyDescent="0.3">
      <c r="A254" s="11"/>
      <c r="B254" s="36" t="s">
        <v>21</v>
      </c>
      <c r="C254" s="17">
        <f>COUNTIF($S$12:$T$239,"Dänemark")</f>
        <v>5</v>
      </c>
      <c r="D254" s="37">
        <f t="shared" si="32"/>
        <v>2</v>
      </c>
      <c r="E254" s="37">
        <f t="shared" si="33"/>
        <v>1</v>
      </c>
      <c r="F254" s="37">
        <f t="shared" si="34"/>
        <v>2</v>
      </c>
      <c r="G254" s="37">
        <f t="shared" si="35"/>
        <v>9</v>
      </c>
      <c r="H254" s="37">
        <f t="shared" si="36"/>
        <v>7</v>
      </c>
      <c r="I254" s="39">
        <f t="shared" si="37"/>
        <v>7</v>
      </c>
      <c r="J254" s="38"/>
      <c r="K254" s="40"/>
    </row>
    <row r="255" spans="1:25" x14ac:dyDescent="0.3">
      <c r="A255" s="11"/>
      <c r="B255" s="36" t="s">
        <v>83</v>
      </c>
      <c r="C255" s="17">
        <f>COUNTIF($S$12:$T$239,"Jugoslawien")</f>
        <v>4</v>
      </c>
      <c r="D255" s="37">
        <f t="shared" si="32"/>
        <v>2</v>
      </c>
      <c r="E255" s="37">
        <f t="shared" si="33"/>
        <v>1</v>
      </c>
      <c r="F255" s="37">
        <f t="shared" si="34"/>
        <v>1</v>
      </c>
      <c r="G255" s="37">
        <f t="shared" si="35"/>
        <v>5</v>
      </c>
      <c r="H255" s="37">
        <f t="shared" si="36"/>
        <v>4</v>
      </c>
      <c r="I255" s="39">
        <f t="shared" si="37"/>
        <v>7</v>
      </c>
      <c r="J255" s="38"/>
      <c r="K255" s="40"/>
    </row>
    <row r="256" spans="1:25" x14ac:dyDescent="0.3">
      <c r="A256" s="11"/>
      <c r="B256" s="51" t="s">
        <v>87</v>
      </c>
      <c r="C256" s="17">
        <f>COUNTIF($S$12:$T$239,"Rumänien")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4</v>
      </c>
      <c r="H256" s="37">
        <f t="shared" si="36"/>
        <v>3</v>
      </c>
      <c r="I256" s="39">
        <f t="shared" si="37"/>
        <v>7</v>
      </c>
      <c r="J256" s="12"/>
      <c r="K256" s="13"/>
    </row>
    <row r="257" spans="1:11" x14ac:dyDescent="0.3">
      <c r="A257" s="11"/>
      <c r="B257" s="51" t="s">
        <v>24</v>
      </c>
      <c r="C257" s="17">
        <f>COUNTIF($S$12:$T$239,"England")</f>
        <v>4</v>
      </c>
      <c r="D257" s="37">
        <f t="shared" si="32"/>
        <v>2</v>
      </c>
      <c r="E257" s="37">
        <f t="shared" si="33"/>
        <v>0</v>
      </c>
      <c r="F257" s="37">
        <f t="shared" si="34"/>
        <v>2</v>
      </c>
      <c r="G257" s="37">
        <f t="shared" si="35"/>
        <v>10</v>
      </c>
      <c r="H257" s="37">
        <f t="shared" si="36"/>
        <v>8</v>
      </c>
      <c r="I257" s="39">
        <f t="shared" si="37"/>
        <v>6</v>
      </c>
      <c r="J257" s="12"/>
      <c r="K257" s="13"/>
    </row>
    <row r="258" spans="1:11" x14ac:dyDescent="0.3">
      <c r="A258" s="11"/>
      <c r="B258" s="36" t="s">
        <v>115</v>
      </c>
      <c r="C258" s="17">
        <f>COUNTIF($S$12:$T$239,"Nigeria")</f>
        <v>4</v>
      </c>
      <c r="D258" s="37">
        <f t="shared" si="32"/>
        <v>2</v>
      </c>
      <c r="E258" s="37">
        <f t="shared" si="33"/>
        <v>0</v>
      </c>
      <c r="F258" s="37">
        <f t="shared" si="34"/>
        <v>2</v>
      </c>
      <c r="G258" s="37">
        <f t="shared" si="35"/>
        <v>6</v>
      </c>
      <c r="H258" s="37">
        <f t="shared" si="36"/>
        <v>9</v>
      </c>
      <c r="I258" s="39">
        <f t="shared" si="37"/>
        <v>6</v>
      </c>
      <c r="J258" s="38"/>
      <c r="K258" s="40"/>
    </row>
    <row r="259" spans="1:11" x14ac:dyDescent="0.3">
      <c r="A259" s="11"/>
      <c r="B259" s="36" t="s">
        <v>18</v>
      </c>
      <c r="C259" s="17">
        <f>COUNTIF($S$12:$T$239,"Mexiko")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7</v>
      </c>
      <c r="I259" s="39">
        <f t="shared" si="37"/>
        <v>5</v>
      </c>
      <c r="J259" s="38"/>
      <c r="K259" s="40"/>
    </row>
    <row r="260" spans="1:11" x14ac:dyDescent="0.3">
      <c r="A260" s="11"/>
      <c r="B260" s="36" t="s">
        <v>119</v>
      </c>
      <c r="C260" s="17">
        <f>COUNTIF($S$12:$T$239,"Norwegen")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5</v>
      </c>
      <c r="H260" s="37">
        <f t="shared" si="36"/>
        <v>5</v>
      </c>
      <c r="I260" s="39">
        <f t="shared" si="37"/>
        <v>5</v>
      </c>
      <c r="J260" s="38"/>
      <c r="K260" s="40"/>
    </row>
    <row r="261" spans="1:11" x14ac:dyDescent="0.3">
      <c r="A261" s="11"/>
      <c r="B261" s="36" t="s">
        <v>25</v>
      </c>
      <c r="C261" s="17">
        <f>COUNTIF($S$12:$T$239,"Paraguay")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3</v>
      </c>
      <c r="H261" s="37">
        <f t="shared" si="36"/>
        <v>2</v>
      </c>
      <c r="I261" s="39">
        <f t="shared" si="37"/>
        <v>5</v>
      </c>
      <c r="J261" s="38"/>
      <c r="K261" s="40"/>
    </row>
    <row r="262" spans="1:11" x14ac:dyDescent="0.3">
      <c r="A262" s="11"/>
      <c r="B262" s="36" t="s">
        <v>22</v>
      </c>
      <c r="C262" s="17">
        <f>COUNTIF($S$12:$T$239,"Spanien")</f>
        <v>3</v>
      </c>
      <c r="D262" s="37">
        <f t="shared" si="32"/>
        <v>1</v>
      </c>
      <c r="E262" s="37">
        <f t="shared" si="33"/>
        <v>1</v>
      </c>
      <c r="F262" s="37">
        <f t="shared" si="34"/>
        <v>1</v>
      </c>
      <c r="G262" s="37">
        <f t="shared" si="35"/>
        <v>8</v>
      </c>
      <c r="H262" s="37">
        <f t="shared" si="36"/>
        <v>4</v>
      </c>
      <c r="I262" s="39">
        <f t="shared" si="37"/>
        <v>4</v>
      </c>
      <c r="J262" s="38"/>
      <c r="K262" s="40"/>
    </row>
    <row r="263" spans="1:11" x14ac:dyDescent="0.3">
      <c r="A263" s="11"/>
      <c r="B263" s="36" t="s">
        <v>26</v>
      </c>
      <c r="C263" s="17">
        <f>COUNTIF($S$12:$T$239,"Marokko")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40"/>
    </row>
    <row r="264" spans="1:11" x14ac:dyDescent="0.3">
      <c r="A264" s="11"/>
      <c r="B264" s="36" t="s">
        <v>138</v>
      </c>
      <c r="C264" s="17">
        <f>COUNTIF($S$12:$T$239,"Chile")</f>
        <v>4</v>
      </c>
      <c r="D264" s="37">
        <f t="shared" si="32"/>
        <v>0</v>
      </c>
      <c r="E264" s="37">
        <f t="shared" si="33"/>
        <v>3</v>
      </c>
      <c r="F264" s="37">
        <f t="shared" si="34"/>
        <v>1</v>
      </c>
      <c r="G264" s="37">
        <f t="shared" si="35"/>
        <v>5</v>
      </c>
      <c r="H264" s="37">
        <f t="shared" si="36"/>
        <v>8</v>
      </c>
      <c r="I264" s="39">
        <f t="shared" si="37"/>
        <v>3</v>
      </c>
      <c r="J264" s="38"/>
      <c r="K264" s="98"/>
    </row>
    <row r="265" spans="1:11" x14ac:dyDescent="0.3">
      <c r="A265" s="11"/>
      <c r="B265" s="36" t="s">
        <v>20</v>
      </c>
      <c r="C265" s="17">
        <f>COUNTIF($S$12:$T$239,"Belgien")</f>
        <v>3</v>
      </c>
      <c r="D265" s="37">
        <f t="shared" si="32"/>
        <v>0</v>
      </c>
      <c r="E265" s="37">
        <f t="shared" si="33"/>
        <v>3</v>
      </c>
      <c r="F265" s="37">
        <f t="shared" si="34"/>
        <v>0</v>
      </c>
      <c r="G265" s="37">
        <f t="shared" si="35"/>
        <v>3</v>
      </c>
      <c r="H265" s="37">
        <f t="shared" si="36"/>
        <v>3</v>
      </c>
      <c r="I265" s="39">
        <f t="shared" si="37"/>
        <v>3</v>
      </c>
      <c r="J265" s="38"/>
      <c r="K265" s="40"/>
    </row>
    <row r="266" spans="1:11" x14ac:dyDescent="0.3">
      <c r="A266" s="11"/>
      <c r="B266" s="51" t="s">
        <v>139</v>
      </c>
      <c r="C266" s="17">
        <f>COUNTIF($S$12:$T$239,"Jamaika")</f>
        <v>3</v>
      </c>
      <c r="D266" s="37">
        <f t="shared" si="32"/>
        <v>1</v>
      </c>
      <c r="E266" s="37">
        <f t="shared" si="33"/>
        <v>0</v>
      </c>
      <c r="F266" s="37">
        <f t="shared" si="34"/>
        <v>2</v>
      </c>
      <c r="G266" s="37">
        <f t="shared" si="35"/>
        <v>3</v>
      </c>
      <c r="H266" s="37">
        <f t="shared" si="36"/>
        <v>9</v>
      </c>
      <c r="I266" s="39">
        <f t="shared" si="37"/>
        <v>3</v>
      </c>
      <c r="J266" s="12"/>
      <c r="K266" s="13"/>
    </row>
    <row r="267" spans="1:11" x14ac:dyDescent="0.3">
      <c r="A267" s="11"/>
      <c r="B267" s="36" t="s">
        <v>140</v>
      </c>
      <c r="C267" s="17">
        <f>COUNTIF($S$12:$T$239,"Iran")</f>
        <v>3</v>
      </c>
      <c r="D267" s="37">
        <f t="shared" si="32"/>
        <v>1</v>
      </c>
      <c r="E267" s="37">
        <f t="shared" si="33"/>
        <v>0</v>
      </c>
      <c r="F267" s="37">
        <f t="shared" si="34"/>
        <v>2</v>
      </c>
      <c r="G267" s="37">
        <f t="shared" si="35"/>
        <v>2</v>
      </c>
      <c r="H267" s="37">
        <f t="shared" si="36"/>
        <v>4</v>
      </c>
      <c r="I267" s="39">
        <f t="shared" si="37"/>
        <v>3</v>
      </c>
      <c r="J267" s="38"/>
      <c r="K267" s="40"/>
    </row>
    <row r="268" spans="1:11" x14ac:dyDescent="0.3">
      <c r="A268" s="11"/>
      <c r="B268" s="51" t="s">
        <v>88</v>
      </c>
      <c r="C268" s="17">
        <f>COUNTIF($S$12:$T$239,"Kolumbien")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1</v>
      </c>
      <c r="H268" s="37">
        <f t="shared" si="36"/>
        <v>3</v>
      </c>
      <c r="I268" s="39">
        <f t="shared" si="37"/>
        <v>3</v>
      </c>
      <c r="J268" s="12"/>
      <c r="K268" s="13"/>
    </row>
    <row r="269" spans="1:11" x14ac:dyDescent="0.3">
      <c r="A269" s="11"/>
      <c r="B269" s="36" t="s">
        <v>76</v>
      </c>
      <c r="C269" s="17">
        <f>COUNTIF($S$12:$T$239,"Österreich")</f>
        <v>3</v>
      </c>
      <c r="D269" s="37">
        <f t="shared" si="32"/>
        <v>0</v>
      </c>
      <c r="E269" s="37">
        <f t="shared" si="33"/>
        <v>2</v>
      </c>
      <c r="F269" s="37">
        <f t="shared" si="34"/>
        <v>1</v>
      </c>
      <c r="G269" s="37">
        <f t="shared" si="35"/>
        <v>3</v>
      </c>
      <c r="H269" s="37">
        <f t="shared" si="36"/>
        <v>4</v>
      </c>
      <c r="I269" s="39">
        <f t="shared" si="37"/>
        <v>2</v>
      </c>
      <c r="J269" s="38"/>
      <c r="K269" s="40"/>
    </row>
    <row r="270" spans="1:11" x14ac:dyDescent="0.3">
      <c r="A270" s="11"/>
      <c r="B270" s="36" t="s">
        <v>141</v>
      </c>
      <c r="C270" s="17">
        <f>COUNTIF($S$12:$T$239,"Südafrika")</f>
        <v>3</v>
      </c>
      <c r="D270" s="37">
        <f t="shared" si="32"/>
        <v>0</v>
      </c>
      <c r="E270" s="37">
        <f t="shared" si="33"/>
        <v>2</v>
      </c>
      <c r="F270" s="37">
        <f t="shared" si="34"/>
        <v>1</v>
      </c>
      <c r="G270" s="37">
        <f t="shared" si="35"/>
        <v>3</v>
      </c>
      <c r="H270" s="37">
        <f t="shared" si="36"/>
        <v>6</v>
      </c>
      <c r="I270" s="39">
        <f t="shared" si="37"/>
        <v>2</v>
      </c>
      <c r="J270" s="38"/>
      <c r="K270" s="40"/>
    </row>
    <row r="271" spans="1:11" x14ac:dyDescent="0.3">
      <c r="A271" s="11"/>
      <c r="B271" s="36" t="s">
        <v>84</v>
      </c>
      <c r="C271" s="17">
        <f>COUNTIF($S$12:$T$239,"Kamerun")</f>
        <v>3</v>
      </c>
      <c r="D271" s="37">
        <f t="shared" si="32"/>
        <v>0</v>
      </c>
      <c r="E271" s="37">
        <f t="shared" si="33"/>
        <v>2</v>
      </c>
      <c r="F271" s="37">
        <f t="shared" si="34"/>
        <v>1</v>
      </c>
      <c r="G271" s="37">
        <f t="shared" si="35"/>
        <v>2</v>
      </c>
      <c r="H271" s="37">
        <f t="shared" si="36"/>
        <v>5</v>
      </c>
      <c r="I271" s="39">
        <f t="shared" si="37"/>
        <v>2</v>
      </c>
      <c r="J271" s="38"/>
      <c r="K271" s="40"/>
    </row>
    <row r="272" spans="1:11" x14ac:dyDescent="0.3">
      <c r="A272" s="11"/>
      <c r="B272" s="36" t="s">
        <v>117</v>
      </c>
      <c r="C272" s="17">
        <f>COUNTIF($S$12:$T$239,"Saudi-Arabien")</f>
        <v>3</v>
      </c>
      <c r="D272" s="37">
        <f t="shared" si="32"/>
        <v>0</v>
      </c>
      <c r="E272" s="37">
        <f t="shared" si="33"/>
        <v>1</v>
      </c>
      <c r="F272" s="37">
        <f t="shared" si="34"/>
        <v>2</v>
      </c>
      <c r="G272" s="37">
        <f t="shared" si="35"/>
        <v>2</v>
      </c>
      <c r="H272" s="37">
        <f t="shared" si="36"/>
        <v>7</v>
      </c>
      <c r="I272" s="39">
        <f t="shared" si="37"/>
        <v>1</v>
      </c>
      <c r="J272" s="38"/>
      <c r="K272" s="40"/>
    </row>
    <row r="273" spans="1:20" x14ac:dyDescent="0.3">
      <c r="A273" s="11"/>
      <c r="B273" s="36" t="s">
        <v>10</v>
      </c>
      <c r="C273" s="17">
        <f>COUNTIF($S$12:$T$239,"Südkorea")</f>
        <v>3</v>
      </c>
      <c r="D273" s="37">
        <f t="shared" si="32"/>
        <v>0</v>
      </c>
      <c r="E273" s="37">
        <f t="shared" si="33"/>
        <v>1</v>
      </c>
      <c r="F273" s="37">
        <f t="shared" si="34"/>
        <v>2</v>
      </c>
      <c r="G273" s="37">
        <f t="shared" si="35"/>
        <v>2</v>
      </c>
      <c r="H273" s="37">
        <f t="shared" si="36"/>
        <v>9</v>
      </c>
      <c r="I273" s="39">
        <f t="shared" si="37"/>
        <v>1</v>
      </c>
      <c r="J273" s="38"/>
      <c r="K273" s="40"/>
    </row>
    <row r="274" spans="1:20" x14ac:dyDescent="0.3">
      <c r="A274" s="11"/>
      <c r="B274" s="36" t="s">
        <v>41</v>
      </c>
      <c r="C274" s="17">
        <f>COUNTIF($S$12:$T$239,"Schottland")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2</v>
      </c>
      <c r="H274" s="37">
        <f t="shared" si="36"/>
        <v>6</v>
      </c>
      <c r="I274" s="39">
        <f t="shared" si="37"/>
        <v>1</v>
      </c>
      <c r="J274" s="38"/>
      <c r="K274" s="40"/>
    </row>
    <row r="275" spans="1:20" x14ac:dyDescent="0.3">
      <c r="A275" s="11"/>
      <c r="B275" s="51" t="s">
        <v>142</v>
      </c>
      <c r="C275" s="17">
        <f>COUNTIF($S$12:$T$239,"Tunesien")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4</v>
      </c>
      <c r="I275" s="39">
        <f t="shared" si="37"/>
        <v>1</v>
      </c>
      <c r="J275" s="12"/>
      <c r="K275" s="13"/>
    </row>
    <row r="276" spans="1:20" x14ac:dyDescent="0.3">
      <c r="A276" s="11"/>
      <c r="B276" s="36" t="s">
        <v>4</v>
      </c>
      <c r="C276" s="17">
        <f>COUNTIF($S$12:$T$239,"Bulgarien")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1</v>
      </c>
      <c r="H276" s="37">
        <f t="shared" si="36"/>
        <v>7</v>
      </c>
      <c r="I276" s="39">
        <f t="shared" si="37"/>
        <v>1</v>
      </c>
      <c r="J276" s="38"/>
      <c r="K276" s="40"/>
    </row>
    <row r="277" spans="1:20" x14ac:dyDescent="0.3">
      <c r="A277" s="11"/>
      <c r="B277" s="51" t="s">
        <v>143</v>
      </c>
      <c r="C277" s="17">
        <f>COUNTIF($S$12:$T$239,"Japan")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1</v>
      </c>
      <c r="H277" s="37">
        <f t="shared" si="36"/>
        <v>4</v>
      </c>
      <c r="I277" s="39">
        <f t="shared" si="37"/>
        <v>0</v>
      </c>
      <c r="J277" s="12"/>
      <c r="K277" s="13"/>
    </row>
    <row r="278" spans="1:20" ht="15" thickBot="1" x14ac:dyDescent="0.35">
      <c r="A278" s="11"/>
      <c r="B278" s="41" t="s">
        <v>78</v>
      </c>
      <c r="C278" s="22">
        <f>COUNTIF($S$12:$T$239,"USA")</f>
        <v>3</v>
      </c>
      <c r="D278" s="42">
        <f t="shared" si="32"/>
        <v>0</v>
      </c>
      <c r="E278" s="42">
        <f t="shared" si="33"/>
        <v>0</v>
      </c>
      <c r="F278" s="42">
        <f t="shared" si="34"/>
        <v>3</v>
      </c>
      <c r="G278" s="42">
        <f t="shared" si="35"/>
        <v>1</v>
      </c>
      <c r="H278" s="42">
        <f t="shared" si="36"/>
        <v>5</v>
      </c>
      <c r="I278" s="44">
        <f t="shared" si="37"/>
        <v>0</v>
      </c>
      <c r="J278" s="38"/>
      <c r="K278" s="40"/>
    </row>
    <row r="279" spans="1:20" x14ac:dyDescent="0.3">
      <c r="A279" s="112"/>
      <c r="B279" s="9"/>
      <c r="C279" s="9"/>
      <c r="D279" s="9"/>
      <c r="E279" s="9"/>
      <c r="F279" s="9"/>
      <c r="G279" s="12"/>
      <c r="H279" s="12"/>
      <c r="I279" s="12"/>
      <c r="J279" s="12"/>
      <c r="K279" s="13"/>
    </row>
    <row r="280" spans="1:20" ht="15" thickBot="1" x14ac:dyDescent="0.35">
      <c r="A280" s="117"/>
      <c r="B280" s="53"/>
      <c r="C280" s="53"/>
      <c r="D280" s="53"/>
      <c r="E280" s="53"/>
      <c r="F280" s="53"/>
      <c r="G280" s="54"/>
      <c r="H280" s="54"/>
      <c r="I280" s="54"/>
      <c r="J280" s="54"/>
      <c r="K280" s="45"/>
    </row>
    <row r="281" spans="1:20" ht="15" thickTop="1" x14ac:dyDescent="0.3">
      <c r="M281" s="55"/>
      <c r="N281" s="55"/>
      <c r="O281" s="55"/>
      <c r="P281" s="55"/>
      <c r="Q281" s="55"/>
      <c r="R281" s="55"/>
      <c r="S281" s="9"/>
      <c r="T281" s="9"/>
    </row>
    <row r="282" spans="1:20" x14ac:dyDescent="0.3">
      <c r="M282" s="9"/>
      <c r="N282" s="9"/>
      <c r="O282" s="9"/>
      <c r="P282" s="9"/>
      <c r="Q282" s="9"/>
      <c r="R282" s="19"/>
      <c r="S282" s="19"/>
      <c r="T282" s="9"/>
    </row>
    <row r="283" spans="1:20" x14ac:dyDescent="0.3">
      <c r="M283" s="9"/>
      <c r="N283" s="9"/>
      <c r="O283" s="9"/>
      <c r="P283" s="9"/>
      <c r="Q283" s="9"/>
      <c r="R283" s="19"/>
      <c r="S283" s="19"/>
      <c r="T283" s="9"/>
    </row>
    <row r="284" spans="1:20" x14ac:dyDescent="0.3">
      <c r="M284" s="55"/>
      <c r="N284" s="55"/>
      <c r="O284" s="55"/>
      <c r="P284" s="55"/>
      <c r="Q284" s="55"/>
      <c r="R284" s="55"/>
      <c r="S284" s="9"/>
      <c r="T284" s="9"/>
    </row>
    <row r="285" spans="1:20" x14ac:dyDescent="0.3">
      <c r="M285" s="55"/>
      <c r="N285" s="55"/>
      <c r="O285" s="55"/>
      <c r="P285" s="55"/>
      <c r="Q285" s="55"/>
      <c r="R285" s="55"/>
      <c r="S285" s="9"/>
      <c r="T285" s="9"/>
    </row>
    <row r="286" spans="1:20" x14ac:dyDescent="0.3">
      <c r="C286" s="17"/>
      <c r="D286" s="37"/>
      <c r="E286" s="37"/>
      <c r="F286" s="37"/>
      <c r="M286" s="55"/>
      <c r="N286" s="55"/>
      <c r="O286" s="55"/>
      <c r="P286" s="55"/>
      <c r="Q286" s="55"/>
      <c r="R286" s="55"/>
      <c r="S286" s="9"/>
      <c r="T286" s="9"/>
    </row>
    <row r="287" spans="1:20" x14ac:dyDescent="0.3">
      <c r="C287" s="17"/>
      <c r="D287" s="37"/>
      <c r="E287" s="37"/>
      <c r="F287" s="37"/>
    </row>
    <row r="288" spans="1:20" x14ac:dyDescent="0.3">
      <c r="C288" s="17"/>
      <c r="D288" s="37"/>
      <c r="E288" s="37"/>
      <c r="F288" s="37"/>
    </row>
    <row r="289" spans="3:6" x14ac:dyDescent="0.3">
      <c r="C289" s="17"/>
      <c r="D289" s="37"/>
      <c r="E289" s="37"/>
      <c r="F289" s="37"/>
    </row>
  </sheetData>
  <mergeCells count="5">
    <mergeCell ref="A2:J2"/>
    <mergeCell ref="A4:J4"/>
    <mergeCell ref="A5:J5"/>
    <mergeCell ref="C230:I230"/>
    <mergeCell ref="C238:I23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91"/>
  <sheetViews>
    <sheetView topLeftCell="A245" workbookViewId="0">
      <selection activeCell="K264" sqref="K264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  <col min="26" max="27" width="11.77734375" customWidth="1"/>
  </cols>
  <sheetData>
    <row r="1" spans="1:27" x14ac:dyDescent="0.3"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00" t="s">
        <v>150</v>
      </c>
      <c r="B2" s="200"/>
      <c r="C2" s="200"/>
      <c r="D2" s="200"/>
      <c r="E2" s="200"/>
      <c r="F2" s="200"/>
      <c r="G2" s="200"/>
      <c r="H2" s="200"/>
      <c r="I2" s="200"/>
      <c r="J2" s="200"/>
      <c r="S2" s="8"/>
      <c r="T2" s="9"/>
      <c r="U2" s="9"/>
      <c r="V2" s="9"/>
      <c r="W2" s="9"/>
      <c r="X2" s="9"/>
      <c r="Y2" s="10"/>
    </row>
    <row r="3" spans="1:27" x14ac:dyDescent="0.3">
      <c r="S3" s="8"/>
      <c r="T3" s="9"/>
      <c r="U3" s="9"/>
      <c r="V3" s="9"/>
      <c r="W3" s="9"/>
      <c r="X3" s="9"/>
      <c r="Y3" s="10"/>
    </row>
    <row r="4" spans="1:27" ht="28.8" x14ac:dyDescent="0.55000000000000004">
      <c r="A4" s="201" t="s">
        <v>151</v>
      </c>
      <c r="B4" s="201"/>
      <c r="C4" s="201"/>
      <c r="D4" s="201"/>
      <c r="E4" s="201"/>
      <c r="F4" s="201"/>
      <c r="G4" s="201"/>
      <c r="H4" s="201"/>
      <c r="I4" s="201"/>
      <c r="J4" s="201"/>
      <c r="S4" s="8"/>
      <c r="T4" s="9"/>
      <c r="U4" s="9"/>
      <c r="V4" s="9"/>
      <c r="W4" s="9"/>
      <c r="X4" s="9"/>
      <c r="Y4" s="10"/>
    </row>
    <row r="5" spans="1:27" ht="21" x14ac:dyDescent="0.4">
      <c r="A5" s="202" t="s">
        <v>152</v>
      </c>
      <c r="B5" s="202"/>
      <c r="C5" s="202"/>
      <c r="D5" s="202"/>
      <c r="E5" s="202"/>
      <c r="F5" s="202"/>
      <c r="G5" s="202"/>
      <c r="H5" s="202"/>
      <c r="I5" s="202"/>
      <c r="J5" s="202"/>
      <c r="S5" s="8"/>
      <c r="T5" s="9"/>
      <c r="U5" s="9"/>
      <c r="V5" s="9"/>
      <c r="W5" s="9"/>
      <c r="X5" s="9"/>
      <c r="Y5" s="10"/>
    </row>
    <row r="6" spans="1:27" x14ac:dyDescent="0.3">
      <c r="S6" s="8"/>
      <c r="T6" s="9"/>
      <c r="U6" s="9"/>
      <c r="V6" s="9"/>
      <c r="W6" s="9"/>
      <c r="X6" s="9"/>
      <c r="Y6" s="10"/>
    </row>
    <row r="7" spans="1:27" x14ac:dyDescent="0.3">
      <c r="S7" s="8"/>
      <c r="T7" s="9"/>
      <c r="U7" s="9"/>
      <c r="V7" s="9"/>
      <c r="W7" s="9"/>
      <c r="X7" s="9"/>
      <c r="Y7" s="10"/>
    </row>
    <row r="8" spans="1:27" x14ac:dyDescent="0.3">
      <c r="A8" s="149"/>
      <c r="B8" s="149"/>
      <c r="C8" s="149"/>
      <c r="D8" s="149"/>
      <c r="E8" s="149"/>
      <c r="F8" s="149"/>
      <c r="G8" s="150"/>
      <c r="H8" s="150"/>
      <c r="I8" s="150"/>
      <c r="S8" s="8"/>
      <c r="T8" s="9"/>
      <c r="U8" s="9"/>
      <c r="V8" s="9"/>
      <c r="W8" s="9"/>
      <c r="X8" s="9"/>
      <c r="Y8" s="10"/>
    </row>
    <row r="9" spans="1:27" x14ac:dyDescent="0.3">
      <c r="A9" s="151"/>
      <c r="B9" s="149"/>
      <c r="C9" s="149"/>
      <c r="D9" s="149"/>
      <c r="E9" s="149"/>
      <c r="F9" s="149"/>
      <c r="G9" s="149"/>
      <c r="H9" s="150"/>
      <c r="I9" s="150"/>
      <c r="S9" s="8"/>
      <c r="T9" s="9"/>
      <c r="U9" s="9"/>
      <c r="V9" s="9"/>
      <c r="W9" s="9"/>
      <c r="X9" s="9"/>
      <c r="Y9" s="10"/>
    </row>
    <row r="10" spans="1:27" ht="21" x14ac:dyDescent="0.4">
      <c r="F10" s="152" t="s">
        <v>3</v>
      </c>
      <c r="S10" s="8"/>
      <c r="T10" s="9"/>
      <c r="U10" s="9"/>
      <c r="V10" s="9"/>
      <c r="W10" s="9"/>
      <c r="X10" s="9"/>
      <c r="Y10" s="10"/>
    </row>
    <row r="11" spans="1:27" x14ac:dyDescent="0.3">
      <c r="F11" s="153"/>
      <c r="S11" s="8"/>
      <c r="T11" s="9"/>
      <c r="U11" s="9"/>
      <c r="V11" s="9"/>
      <c r="W11" s="9"/>
      <c r="X11" s="9"/>
      <c r="Y11" s="10"/>
    </row>
    <row r="12" spans="1:27" x14ac:dyDescent="0.3">
      <c r="C12" s="154">
        <v>37407</v>
      </c>
      <c r="D12" s="155" t="s">
        <v>11</v>
      </c>
      <c r="E12" s="155" t="s">
        <v>153</v>
      </c>
      <c r="F12" s="155">
        <v>0</v>
      </c>
      <c r="G12" s="155">
        <v>1</v>
      </c>
      <c r="H12" s="47"/>
      <c r="I12" s="47" t="s">
        <v>154</v>
      </c>
      <c r="S12" s="8" t="s">
        <v>11</v>
      </c>
      <c r="T12" s="9" t="s">
        <v>153</v>
      </c>
      <c r="U12" s="9">
        <v>0</v>
      </c>
      <c r="V12" s="9">
        <v>1</v>
      </c>
      <c r="W12" s="9"/>
      <c r="X12" s="19">
        <f t="shared" ref="X12:X17" si="0">(IF(U12&gt;V12,3,IF(U12=V12,1,2)))</f>
        <v>2</v>
      </c>
      <c r="Y12" s="20">
        <f t="shared" ref="Y12:Y17" si="1">(IF(V12&gt;U12,3,IF(U12=V12,1,2)))</f>
        <v>3</v>
      </c>
      <c r="AA12" t="s">
        <v>11</v>
      </c>
    </row>
    <row r="13" spans="1:27" ht="15" thickBot="1" x14ac:dyDescent="0.35">
      <c r="C13" s="21"/>
      <c r="D13" s="89"/>
      <c r="E13" s="89"/>
      <c r="F13" s="89" t="s">
        <v>8</v>
      </c>
      <c r="G13" s="89" t="s">
        <v>9</v>
      </c>
      <c r="H13" s="23"/>
      <c r="I13" s="23"/>
      <c r="S13" s="8" t="s">
        <v>38</v>
      </c>
      <c r="T13" s="9" t="s">
        <v>21</v>
      </c>
      <c r="U13" s="9">
        <v>1</v>
      </c>
      <c r="V13" s="9">
        <v>2</v>
      </c>
      <c r="W13" s="9"/>
      <c r="X13" s="19">
        <f t="shared" si="0"/>
        <v>2</v>
      </c>
      <c r="Y13" s="20">
        <f t="shared" si="1"/>
        <v>3</v>
      </c>
      <c r="AA13" t="s">
        <v>153</v>
      </c>
    </row>
    <row r="14" spans="1:27" x14ac:dyDescent="0.3">
      <c r="C14" s="154">
        <v>37408</v>
      </c>
      <c r="D14" s="155" t="s">
        <v>38</v>
      </c>
      <c r="E14" s="155" t="s">
        <v>21</v>
      </c>
      <c r="F14" s="155">
        <v>1</v>
      </c>
      <c r="G14" s="155">
        <v>2</v>
      </c>
      <c r="H14" s="47"/>
      <c r="I14" s="110" t="s">
        <v>155</v>
      </c>
      <c r="S14" s="8" t="s">
        <v>21</v>
      </c>
      <c r="T14" s="132" t="s">
        <v>153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38</v>
      </c>
    </row>
    <row r="15" spans="1:27" ht="15" thickBot="1" x14ac:dyDescent="0.35">
      <c r="C15" s="21"/>
      <c r="D15" s="89"/>
      <c r="E15" s="89"/>
      <c r="F15" s="89" t="s">
        <v>8</v>
      </c>
      <c r="G15" s="89" t="s">
        <v>9</v>
      </c>
      <c r="H15" s="23"/>
      <c r="I15" s="28"/>
      <c r="S15" s="8" t="s">
        <v>11</v>
      </c>
      <c r="T15" s="9" t="s">
        <v>38</v>
      </c>
      <c r="U15" s="9">
        <v>0</v>
      </c>
      <c r="V15" s="9">
        <v>0</v>
      </c>
      <c r="W15" s="9"/>
      <c r="X15" s="19">
        <f t="shared" si="0"/>
        <v>1</v>
      </c>
      <c r="Y15" s="20">
        <f t="shared" si="1"/>
        <v>1</v>
      </c>
      <c r="AA15" t="s">
        <v>21</v>
      </c>
    </row>
    <row r="16" spans="1:27" x14ac:dyDescent="0.3">
      <c r="C16" s="154">
        <v>37413</v>
      </c>
      <c r="D16" s="155" t="s">
        <v>21</v>
      </c>
      <c r="E16" s="155" t="s">
        <v>153</v>
      </c>
      <c r="F16" s="155">
        <v>1</v>
      </c>
      <c r="G16" s="155">
        <v>1</v>
      </c>
      <c r="H16" s="47"/>
      <c r="I16" s="110" t="s">
        <v>156</v>
      </c>
      <c r="S16" s="8" t="s">
        <v>21</v>
      </c>
      <c r="T16" s="132" t="s">
        <v>11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25</v>
      </c>
    </row>
    <row r="17" spans="1:27" ht="15" thickBot="1" x14ac:dyDescent="0.35">
      <c r="C17" s="21"/>
      <c r="D17" s="89"/>
      <c r="E17" s="89"/>
      <c r="F17" s="89" t="s">
        <v>19</v>
      </c>
      <c r="G17" s="89" t="s">
        <v>15</v>
      </c>
      <c r="H17" s="23"/>
      <c r="I17" s="28"/>
      <c r="S17" s="8" t="s">
        <v>153</v>
      </c>
      <c r="T17" s="132" t="s">
        <v>38</v>
      </c>
      <c r="U17" s="9">
        <v>3</v>
      </c>
      <c r="V17" s="9">
        <v>3</v>
      </c>
      <c r="W17" s="9"/>
      <c r="X17" s="19">
        <f t="shared" si="0"/>
        <v>1</v>
      </c>
      <c r="Y17" s="20">
        <f t="shared" si="1"/>
        <v>1</v>
      </c>
      <c r="AA17" t="s">
        <v>141</v>
      </c>
    </row>
    <row r="18" spans="1:27" ht="15" thickBot="1" x14ac:dyDescent="0.35">
      <c r="C18" s="145">
        <v>37413</v>
      </c>
      <c r="D18" s="146" t="s">
        <v>11</v>
      </c>
      <c r="E18" s="146" t="s">
        <v>38</v>
      </c>
      <c r="F18" s="146">
        <v>0</v>
      </c>
      <c r="G18" s="146">
        <v>0</v>
      </c>
      <c r="H18" s="156"/>
      <c r="I18" s="148" t="s">
        <v>157</v>
      </c>
      <c r="S18" s="8"/>
      <c r="T18" s="9"/>
      <c r="U18" s="9"/>
      <c r="V18" s="9"/>
      <c r="W18" s="9"/>
      <c r="X18" s="19"/>
      <c r="Y18" s="20"/>
      <c r="AA18" t="s">
        <v>22</v>
      </c>
    </row>
    <row r="19" spans="1:27" x14ac:dyDescent="0.3">
      <c r="C19" s="154">
        <v>37418</v>
      </c>
      <c r="D19" s="155" t="s">
        <v>21</v>
      </c>
      <c r="E19" s="155" t="s">
        <v>11</v>
      </c>
      <c r="F19" s="155">
        <v>2</v>
      </c>
      <c r="G19" s="155">
        <v>0</v>
      </c>
      <c r="H19" s="47"/>
      <c r="I19" s="110" t="s">
        <v>158</v>
      </c>
      <c r="S19" s="8"/>
      <c r="T19" s="9"/>
      <c r="U19" s="9"/>
      <c r="V19" s="9"/>
      <c r="W19" s="9"/>
      <c r="X19" s="19"/>
      <c r="Y19" s="20"/>
      <c r="AA19" t="s">
        <v>159</v>
      </c>
    </row>
    <row r="20" spans="1:27" ht="15" thickBot="1" x14ac:dyDescent="0.35">
      <c r="C20" s="21"/>
      <c r="D20" s="89"/>
      <c r="E20" s="89"/>
      <c r="F20" s="89" t="s">
        <v>19</v>
      </c>
      <c r="G20" s="89" t="s">
        <v>15</v>
      </c>
      <c r="H20" s="23"/>
      <c r="I20" s="28"/>
      <c r="S20" s="8"/>
      <c r="T20" s="9"/>
      <c r="U20" s="9"/>
      <c r="V20" s="9"/>
      <c r="W20" s="9"/>
      <c r="X20" s="9"/>
      <c r="Y20" s="10"/>
      <c r="AA20" t="s">
        <v>16</v>
      </c>
    </row>
    <row r="21" spans="1:27" x14ac:dyDescent="0.3">
      <c r="C21" s="154">
        <v>37418</v>
      </c>
      <c r="D21" s="155" t="s">
        <v>153</v>
      </c>
      <c r="E21" s="155" t="s">
        <v>38</v>
      </c>
      <c r="F21" s="155">
        <v>3</v>
      </c>
      <c r="G21" s="155">
        <v>3</v>
      </c>
      <c r="H21" s="47"/>
      <c r="I21" s="110" t="s">
        <v>160</v>
      </c>
      <c r="S21" s="8"/>
      <c r="T21" s="9"/>
      <c r="U21" s="9"/>
      <c r="V21" s="9"/>
      <c r="W21" s="9"/>
      <c r="X21" s="9"/>
      <c r="Y21" s="10"/>
      <c r="AA21" t="s">
        <v>161</v>
      </c>
    </row>
    <row r="22" spans="1:27" x14ac:dyDescent="0.3">
      <c r="C22" s="154"/>
      <c r="D22" s="155"/>
      <c r="E22" s="155"/>
      <c r="F22" s="155" t="s">
        <v>50</v>
      </c>
      <c r="G22" s="155" t="s">
        <v>15</v>
      </c>
      <c r="H22" s="47"/>
      <c r="S22" s="8"/>
      <c r="T22" s="9"/>
      <c r="U22" s="9"/>
      <c r="V22" s="9"/>
      <c r="W22" s="9"/>
      <c r="X22" s="9"/>
      <c r="Y22" s="10"/>
      <c r="AA22" t="s">
        <v>162</v>
      </c>
    </row>
    <row r="23" spans="1:27" x14ac:dyDescent="0.3">
      <c r="C23" s="154"/>
      <c r="G23" s="47"/>
      <c r="H23" s="47"/>
      <c r="S23" s="8"/>
      <c r="T23" s="9"/>
      <c r="U23" s="9"/>
      <c r="V23" s="9"/>
      <c r="W23" s="9"/>
      <c r="X23" s="9"/>
      <c r="Y23" s="10"/>
      <c r="AA23" t="s">
        <v>86</v>
      </c>
    </row>
    <row r="24" spans="1:27" ht="15" thickBot="1" x14ac:dyDescent="0.35">
      <c r="B24" s="47" t="s">
        <v>62</v>
      </c>
      <c r="C24" s="47" t="s">
        <v>27</v>
      </c>
      <c r="D24" s="47" t="s">
        <v>28</v>
      </c>
      <c r="E24" s="47" t="s">
        <v>29</v>
      </c>
      <c r="F24" s="47" t="s">
        <v>30</v>
      </c>
      <c r="G24" s="110" t="s">
        <v>31</v>
      </c>
      <c r="H24" s="110" t="s">
        <v>32</v>
      </c>
      <c r="I24" s="110" t="s">
        <v>118</v>
      </c>
      <c r="S24" s="8"/>
      <c r="T24" s="9"/>
      <c r="U24" s="9"/>
      <c r="V24" s="9"/>
      <c r="W24" s="9"/>
      <c r="X24" s="9"/>
      <c r="Y24" s="10"/>
      <c r="AA24" t="s">
        <v>10</v>
      </c>
    </row>
    <row r="25" spans="1:27" x14ac:dyDescent="0.3">
      <c r="A25" s="157" t="s">
        <v>90</v>
      </c>
      <c r="B25" s="30" t="s">
        <v>11</v>
      </c>
      <c r="C25" s="31">
        <f>COUNTIF($S$12:$T$17,"Rumänien")</f>
        <v>0</v>
      </c>
      <c r="D25" s="32">
        <f t="shared" ref="D25:D28" si="2">SUMPRODUCT(($S$12:$T$17=B25)*($X$12:$Y$17=3))</f>
        <v>0</v>
      </c>
      <c r="E25" s="32">
        <f t="shared" ref="E25:E28" si="3">SUMPRODUCT(($S$12:$T$17=B25)*($X$12:$Y$17=1))</f>
        <v>1</v>
      </c>
      <c r="F25" s="32">
        <f t="shared" ref="F25:F28" si="4">SUMPRODUCT(($S$12:$T$17=B25)*($X$12:$Y$17=2))</f>
        <v>2</v>
      </c>
      <c r="G25" s="32">
        <f t="shared" ref="G25:G28" si="5">SUMPRODUCT(($S$12:$S$17=B25)*($U$12:$U$17))+SUMPRODUCT(($T$12:$T$17=B25)*($V$12:$V$17))</f>
        <v>0</v>
      </c>
      <c r="H25" s="32">
        <f t="shared" ref="H25:H28" si="6">SUMPRODUCT(($S$12:$S$17=B25)*($V$12:$V$17))+SUMPRODUCT(($T$12:$T$17=B25)*($U$12:$U$17))</f>
        <v>3</v>
      </c>
      <c r="I25" s="34">
        <f>(D25*3)+E25</f>
        <v>1</v>
      </c>
      <c r="J25" s="38"/>
      <c r="S25" s="8"/>
      <c r="T25" s="9"/>
      <c r="U25" s="9"/>
      <c r="V25" s="9"/>
      <c r="W25" s="9"/>
      <c r="X25" s="19"/>
      <c r="Y25" s="20"/>
      <c r="AA25" t="s">
        <v>35</v>
      </c>
    </row>
    <row r="26" spans="1:27" x14ac:dyDescent="0.3">
      <c r="B26" s="36" t="s">
        <v>153</v>
      </c>
      <c r="C26" s="9">
        <f>COUNTIF($S$12:$T$17,"Schweiz")</f>
        <v>0</v>
      </c>
      <c r="D26" s="37">
        <f t="shared" si="2"/>
        <v>1</v>
      </c>
      <c r="E26" s="37">
        <f t="shared" si="3"/>
        <v>2</v>
      </c>
      <c r="F26" s="37">
        <f t="shared" si="4"/>
        <v>0</v>
      </c>
      <c r="G26" s="37">
        <f t="shared" si="5"/>
        <v>5</v>
      </c>
      <c r="H26" s="37">
        <f t="shared" si="6"/>
        <v>4</v>
      </c>
      <c r="I26" s="39">
        <f t="shared" ref="I26:I28" si="7">(D26*3)+E26</f>
        <v>5</v>
      </c>
      <c r="J26" s="38"/>
      <c r="S26" s="8"/>
      <c r="T26" s="9"/>
      <c r="U26" s="9"/>
      <c r="V26" s="9"/>
      <c r="W26" s="9"/>
      <c r="X26" s="9"/>
      <c r="Y26" s="10"/>
      <c r="AA26" t="s">
        <v>78</v>
      </c>
    </row>
    <row r="27" spans="1:27" x14ac:dyDescent="0.3">
      <c r="B27" s="51" t="s">
        <v>38</v>
      </c>
      <c r="C27" s="9">
        <f>COUNTIF($S$12:$T$17,"USA")</f>
        <v>0</v>
      </c>
      <c r="D27" s="37">
        <f t="shared" si="2"/>
        <v>0</v>
      </c>
      <c r="E27" s="37">
        <f t="shared" si="3"/>
        <v>2</v>
      </c>
      <c r="F27" s="37">
        <f t="shared" si="4"/>
        <v>1</v>
      </c>
      <c r="G27" s="37">
        <f t="shared" si="5"/>
        <v>4</v>
      </c>
      <c r="H27" s="37">
        <f t="shared" si="6"/>
        <v>5</v>
      </c>
      <c r="I27" s="39">
        <f t="shared" si="7"/>
        <v>2</v>
      </c>
      <c r="J27" s="12"/>
      <c r="S27" s="8"/>
      <c r="T27" s="9"/>
      <c r="U27" s="9"/>
      <c r="V27" s="9"/>
      <c r="W27" s="9"/>
      <c r="X27" s="9"/>
      <c r="Y27" s="10"/>
      <c r="AA27" t="s">
        <v>36</v>
      </c>
    </row>
    <row r="28" spans="1:27" ht="15" thickBot="1" x14ac:dyDescent="0.35">
      <c r="B28" s="50" t="s">
        <v>21</v>
      </c>
      <c r="C28" s="23">
        <f>COUNTIF($S$12:$T$17,"Kolumbien")</f>
        <v>0</v>
      </c>
      <c r="D28" s="42">
        <f t="shared" si="2"/>
        <v>2</v>
      </c>
      <c r="E28" s="42">
        <f t="shared" si="3"/>
        <v>1</v>
      </c>
      <c r="F28" s="42">
        <f t="shared" si="4"/>
        <v>0</v>
      </c>
      <c r="G28" s="42">
        <f t="shared" si="5"/>
        <v>5</v>
      </c>
      <c r="H28" s="42">
        <f t="shared" si="6"/>
        <v>2</v>
      </c>
      <c r="I28" s="44">
        <f t="shared" si="7"/>
        <v>7</v>
      </c>
      <c r="J28" s="12"/>
      <c r="S28" s="8"/>
      <c r="T28" s="9"/>
      <c r="U28" s="9"/>
      <c r="V28" s="9"/>
      <c r="W28" s="9"/>
      <c r="X28" s="19"/>
      <c r="Y28" s="20"/>
      <c r="AA28" t="s">
        <v>85</v>
      </c>
    </row>
    <row r="29" spans="1:27" ht="15" thickBot="1" x14ac:dyDescent="0.35">
      <c r="B29" s="9"/>
      <c r="C29" s="9"/>
      <c r="D29" s="9"/>
      <c r="E29" s="9"/>
      <c r="F29" s="9"/>
      <c r="G29" s="12"/>
      <c r="H29" s="12"/>
      <c r="I29" s="12"/>
      <c r="J29" s="12"/>
      <c r="K29" s="158"/>
      <c r="S29" s="8"/>
      <c r="T29" s="9"/>
      <c r="U29" s="9"/>
      <c r="V29" s="9"/>
      <c r="W29" s="9"/>
      <c r="X29" s="19"/>
      <c r="Y29" s="20"/>
      <c r="AA29" t="s">
        <v>84</v>
      </c>
    </row>
    <row r="30" spans="1:27" ht="15" thickTop="1" x14ac:dyDescent="0.3">
      <c r="A30" s="2"/>
      <c r="B30" s="2"/>
      <c r="C30" s="2"/>
      <c r="D30" s="2"/>
      <c r="E30" s="2"/>
      <c r="F30" s="2"/>
      <c r="G30" s="3"/>
      <c r="H30" s="3"/>
      <c r="I30" s="3"/>
      <c r="J30" s="3"/>
      <c r="S30" s="8"/>
      <c r="T30" s="9"/>
      <c r="U30" s="9"/>
      <c r="V30" s="9"/>
      <c r="W30" s="9"/>
      <c r="X30" s="19"/>
      <c r="Y30" s="20"/>
      <c r="AA30" t="s">
        <v>13</v>
      </c>
    </row>
    <row r="31" spans="1:27" ht="21" x14ac:dyDescent="0.4">
      <c r="F31" s="152" t="s">
        <v>40</v>
      </c>
      <c r="S31" s="46"/>
      <c r="T31" s="17"/>
      <c r="U31" s="17"/>
      <c r="V31" s="17"/>
      <c r="X31" s="19"/>
      <c r="Y31" s="20"/>
      <c r="AA31" t="s">
        <v>117</v>
      </c>
    </row>
    <row r="32" spans="1:27" x14ac:dyDescent="0.3">
      <c r="F32" s="153"/>
      <c r="S32" s="8"/>
      <c r="T32" s="9"/>
      <c r="U32" s="9"/>
      <c r="V32" s="9"/>
      <c r="X32" s="19"/>
      <c r="Y32" s="20"/>
      <c r="AA32" t="s">
        <v>24</v>
      </c>
    </row>
    <row r="33" spans="1:27" x14ac:dyDescent="0.3">
      <c r="C33" s="154">
        <v>37409</v>
      </c>
      <c r="D33" s="155" t="s">
        <v>25</v>
      </c>
      <c r="E33" s="155" t="s">
        <v>141</v>
      </c>
      <c r="F33" s="155">
        <v>2</v>
      </c>
      <c r="G33" s="155">
        <v>2</v>
      </c>
      <c r="H33" s="47"/>
      <c r="I33" s="110" t="s">
        <v>157</v>
      </c>
      <c r="S33" s="8" t="s">
        <v>25</v>
      </c>
      <c r="T33" s="9" t="s">
        <v>141</v>
      </c>
      <c r="U33" s="9">
        <v>2</v>
      </c>
      <c r="V33" s="9">
        <v>2</v>
      </c>
      <c r="X33" s="19">
        <f t="shared" ref="X33:X38" si="8">(IF(U33&gt;V33,3,IF(U33=V33,1,2)))</f>
        <v>1</v>
      </c>
      <c r="Y33" s="20">
        <f t="shared" ref="Y33:Y38" si="9">(IF(V33&gt;U33,3,IF(U33=V33,1,2)))</f>
        <v>1</v>
      </c>
      <c r="AA33" t="s">
        <v>92</v>
      </c>
    </row>
    <row r="34" spans="1:27" ht="15" thickBot="1" x14ac:dyDescent="0.35">
      <c r="C34" s="21"/>
      <c r="D34" s="89"/>
      <c r="E34" s="89"/>
      <c r="F34" s="89" t="s">
        <v>19</v>
      </c>
      <c r="G34" s="89" t="s">
        <v>15</v>
      </c>
      <c r="H34" s="23"/>
      <c r="I34" s="28"/>
      <c r="S34" s="8" t="s">
        <v>22</v>
      </c>
      <c r="T34" s="9" t="s">
        <v>159</v>
      </c>
      <c r="U34" s="9">
        <v>3</v>
      </c>
      <c r="V34" s="9">
        <v>1</v>
      </c>
      <c r="X34" s="19">
        <f t="shared" si="8"/>
        <v>3</v>
      </c>
      <c r="Y34" s="20">
        <f t="shared" si="9"/>
        <v>2</v>
      </c>
      <c r="AA34" t="s">
        <v>7</v>
      </c>
    </row>
    <row r="35" spans="1:27" x14ac:dyDescent="0.3">
      <c r="C35" s="154">
        <v>37409</v>
      </c>
      <c r="D35" s="155" t="s">
        <v>22</v>
      </c>
      <c r="E35" s="155" t="s">
        <v>159</v>
      </c>
      <c r="F35" s="155">
        <v>3</v>
      </c>
      <c r="G35" s="155">
        <v>1</v>
      </c>
      <c r="H35" s="47"/>
      <c r="I35" s="110" t="s">
        <v>163</v>
      </c>
      <c r="S35" s="8" t="s">
        <v>22</v>
      </c>
      <c r="T35" s="9" t="s">
        <v>25</v>
      </c>
      <c r="U35" s="9">
        <v>3</v>
      </c>
      <c r="V35" s="9">
        <v>1</v>
      </c>
      <c r="X35" s="19">
        <f t="shared" si="8"/>
        <v>3</v>
      </c>
      <c r="Y35" s="20">
        <f t="shared" si="9"/>
        <v>2</v>
      </c>
      <c r="AA35" t="s">
        <v>115</v>
      </c>
    </row>
    <row r="36" spans="1:27" ht="15" thickBot="1" x14ac:dyDescent="0.35">
      <c r="C36" s="21"/>
      <c r="D36" s="89"/>
      <c r="E36" s="89"/>
      <c r="F36" s="89" t="s">
        <v>19</v>
      </c>
      <c r="G36" s="89" t="s">
        <v>15</v>
      </c>
      <c r="H36" s="23"/>
      <c r="I36" s="28"/>
      <c r="S36" s="8" t="s">
        <v>141</v>
      </c>
      <c r="T36" s="9" t="s">
        <v>159</v>
      </c>
      <c r="U36" s="9">
        <v>1</v>
      </c>
      <c r="V36" s="9">
        <v>0</v>
      </c>
      <c r="X36" s="19">
        <f t="shared" si="8"/>
        <v>3</v>
      </c>
      <c r="Y36" s="20">
        <f t="shared" si="9"/>
        <v>2</v>
      </c>
      <c r="AA36" t="s">
        <v>137</v>
      </c>
    </row>
    <row r="37" spans="1:27" x14ac:dyDescent="0.3">
      <c r="C37" s="154">
        <v>37414</v>
      </c>
      <c r="D37" s="155" t="s">
        <v>22</v>
      </c>
      <c r="E37" s="155" t="s">
        <v>25</v>
      </c>
      <c r="F37" s="155">
        <v>3</v>
      </c>
      <c r="G37" s="155">
        <v>1</v>
      </c>
      <c r="H37" s="47"/>
      <c r="I37" s="110" t="s">
        <v>164</v>
      </c>
      <c r="S37" s="8" t="s">
        <v>141</v>
      </c>
      <c r="T37" s="9" t="s">
        <v>22</v>
      </c>
      <c r="U37" s="9">
        <v>2</v>
      </c>
      <c r="V37" s="9">
        <v>3</v>
      </c>
      <c r="X37" s="19">
        <f t="shared" si="8"/>
        <v>2</v>
      </c>
      <c r="Y37" s="20">
        <f t="shared" si="9"/>
        <v>3</v>
      </c>
      <c r="AA37" t="s">
        <v>18</v>
      </c>
    </row>
    <row r="38" spans="1:27" ht="15" thickBot="1" x14ac:dyDescent="0.35">
      <c r="C38" s="21"/>
      <c r="D38" s="89"/>
      <c r="E38" s="89"/>
      <c r="F38" s="89" t="s">
        <v>8</v>
      </c>
      <c r="G38" s="89" t="s">
        <v>9</v>
      </c>
      <c r="H38" s="23"/>
      <c r="I38" s="28"/>
      <c r="S38" s="8" t="s">
        <v>159</v>
      </c>
      <c r="T38" s="9" t="s">
        <v>25</v>
      </c>
      <c r="U38" s="9">
        <v>1</v>
      </c>
      <c r="V38" s="9">
        <v>3</v>
      </c>
      <c r="X38" s="19">
        <f t="shared" si="8"/>
        <v>2</v>
      </c>
      <c r="Y38" s="20">
        <f t="shared" si="9"/>
        <v>3</v>
      </c>
      <c r="AA38" t="s">
        <v>5</v>
      </c>
    </row>
    <row r="39" spans="1:27" x14ac:dyDescent="0.3">
      <c r="C39" s="154">
        <v>37415</v>
      </c>
      <c r="D39" s="155" t="s">
        <v>141</v>
      </c>
      <c r="E39" s="155" t="s">
        <v>159</v>
      </c>
      <c r="F39" s="155">
        <v>1</v>
      </c>
      <c r="G39" s="155">
        <v>0</v>
      </c>
      <c r="H39" s="47"/>
      <c r="I39" s="110" t="s">
        <v>156</v>
      </c>
      <c r="S39" s="8"/>
      <c r="T39" s="9"/>
      <c r="U39" s="9"/>
      <c r="V39" s="9"/>
      <c r="X39" s="19"/>
      <c r="Y39" s="20"/>
      <c r="AA39" t="s">
        <v>165</v>
      </c>
    </row>
    <row r="40" spans="1:27" ht="15" thickBot="1" x14ac:dyDescent="0.35">
      <c r="C40" s="21"/>
      <c r="D40" s="89"/>
      <c r="E40" s="89"/>
      <c r="F40" s="89" t="s">
        <v>19</v>
      </c>
      <c r="G40" s="89" t="s">
        <v>15</v>
      </c>
      <c r="H40" s="23"/>
      <c r="I40" s="28"/>
      <c r="S40" s="8"/>
      <c r="T40" s="9"/>
      <c r="U40" s="9"/>
      <c r="V40" s="9"/>
      <c r="X40" s="19"/>
      <c r="Y40" s="20"/>
      <c r="AA40" t="s">
        <v>143</v>
      </c>
    </row>
    <row r="41" spans="1:27" x14ac:dyDescent="0.3">
      <c r="C41" s="154">
        <v>37419</v>
      </c>
      <c r="D41" s="159" t="s">
        <v>141</v>
      </c>
      <c r="E41" s="159" t="s">
        <v>22</v>
      </c>
      <c r="F41" s="159">
        <v>2</v>
      </c>
      <c r="G41" s="159">
        <v>3</v>
      </c>
      <c r="H41" s="99"/>
      <c r="I41" s="110" t="s">
        <v>166</v>
      </c>
      <c r="S41" s="8"/>
      <c r="T41" s="9"/>
      <c r="U41" s="9"/>
      <c r="V41" s="9"/>
      <c r="X41" s="19"/>
      <c r="Y41" s="20"/>
      <c r="AA41" t="s">
        <v>20</v>
      </c>
    </row>
    <row r="42" spans="1:27" ht="15" thickBot="1" x14ac:dyDescent="0.35">
      <c r="C42" s="21"/>
      <c r="D42" s="42"/>
      <c r="E42" s="42"/>
      <c r="F42" s="42" t="s">
        <v>19</v>
      </c>
      <c r="G42" s="42" t="s">
        <v>44</v>
      </c>
      <c r="H42" s="22"/>
      <c r="I42" s="28"/>
      <c r="S42" s="8"/>
      <c r="T42" s="9"/>
      <c r="U42" s="9"/>
      <c r="V42" s="9"/>
      <c r="W42" s="9"/>
      <c r="X42" s="19"/>
      <c r="Y42" s="20"/>
      <c r="AA42" t="s">
        <v>120</v>
      </c>
    </row>
    <row r="43" spans="1:27" x14ac:dyDescent="0.3">
      <c r="C43" s="154">
        <v>37419</v>
      </c>
      <c r="D43" s="159" t="s">
        <v>159</v>
      </c>
      <c r="E43" s="159" t="s">
        <v>25</v>
      </c>
      <c r="F43" s="159">
        <v>1</v>
      </c>
      <c r="G43" s="159">
        <v>3</v>
      </c>
      <c r="H43" s="99"/>
      <c r="I43" s="110" t="s">
        <v>167</v>
      </c>
      <c r="S43" s="8"/>
      <c r="T43" s="9"/>
      <c r="U43" s="9"/>
      <c r="V43" s="9"/>
      <c r="W43" s="9"/>
      <c r="X43" s="19"/>
      <c r="Y43" s="20"/>
      <c r="AA43" t="s">
        <v>142</v>
      </c>
    </row>
    <row r="44" spans="1:27" x14ac:dyDescent="0.3">
      <c r="C44" s="154"/>
      <c r="D44" s="159"/>
      <c r="E44" s="159"/>
      <c r="F44" s="159" t="s">
        <v>19</v>
      </c>
      <c r="G44" s="159" t="s">
        <v>15</v>
      </c>
      <c r="H44" s="99"/>
      <c r="S44" s="8"/>
      <c r="T44" s="9"/>
      <c r="U44" s="9"/>
      <c r="V44" s="9"/>
      <c r="W44" s="9"/>
      <c r="X44" s="19"/>
      <c r="Y44" s="20"/>
    </row>
    <row r="45" spans="1:27" x14ac:dyDescent="0.3">
      <c r="A45" s="154"/>
      <c r="B45" s="99"/>
      <c r="C45" s="99"/>
      <c r="D45" s="99"/>
      <c r="E45" s="99"/>
      <c r="F45" s="99"/>
      <c r="G45" s="160"/>
      <c r="S45" s="8"/>
      <c r="T45" s="9"/>
      <c r="U45" s="9"/>
      <c r="V45" s="9"/>
      <c r="W45" s="9"/>
      <c r="X45" s="19"/>
      <c r="Y45" s="20"/>
    </row>
    <row r="46" spans="1:27" ht="15" thickBot="1" x14ac:dyDescent="0.35">
      <c r="B46" s="47" t="s">
        <v>62</v>
      </c>
      <c r="C46" s="47" t="s">
        <v>27</v>
      </c>
      <c r="D46" s="47" t="s">
        <v>28</v>
      </c>
      <c r="E46" s="47" t="s">
        <v>29</v>
      </c>
      <c r="F46" s="47" t="s">
        <v>30</v>
      </c>
      <c r="G46" s="110" t="s">
        <v>31</v>
      </c>
      <c r="H46" s="110" t="s">
        <v>32</v>
      </c>
      <c r="I46" s="110" t="s">
        <v>118</v>
      </c>
      <c r="S46" s="8"/>
      <c r="T46" s="9"/>
      <c r="U46" s="9"/>
      <c r="V46" s="9"/>
      <c r="W46" s="9"/>
      <c r="X46" s="19"/>
      <c r="Y46" s="20"/>
    </row>
    <row r="47" spans="1:27" x14ac:dyDescent="0.3">
      <c r="A47" s="47" t="s">
        <v>90</v>
      </c>
      <c r="B47" s="30" t="s">
        <v>25</v>
      </c>
      <c r="C47" s="109">
        <v>3</v>
      </c>
      <c r="D47" s="109">
        <v>2</v>
      </c>
      <c r="E47" s="109">
        <v>1</v>
      </c>
      <c r="F47" s="109">
        <v>0</v>
      </c>
      <c r="G47" s="33">
        <v>6</v>
      </c>
      <c r="H47" s="33">
        <v>1</v>
      </c>
      <c r="I47" s="33">
        <v>7</v>
      </c>
      <c r="J47" s="139"/>
      <c r="S47" s="8"/>
      <c r="T47" s="9"/>
      <c r="U47" s="9"/>
      <c r="V47" s="9"/>
      <c r="W47" s="9"/>
      <c r="X47" s="19"/>
      <c r="Y47" s="20"/>
    </row>
    <row r="48" spans="1:27" x14ac:dyDescent="0.3">
      <c r="B48" s="36" t="s">
        <v>141</v>
      </c>
      <c r="C48" s="17"/>
      <c r="D48" s="17"/>
      <c r="E48" s="17"/>
      <c r="F48" s="17"/>
      <c r="G48" s="38"/>
      <c r="H48" s="38"/>
      <c r="I48" s="38"/>
      <c r="J48" s="139"/>
      <c r="S48" s="8"/>
      <c r="T48" s="9"/>
      <c r="U48" s="9"/>
      <c r="V48" s="9"/>
      <c r="W48" s="9"/>
      <c r="X48" s="19"/>
      <c r="Y48" s="20"/>
    </row>
    <row r="49" spans="1:25" x14ac:dyDescent="0.3">
      <c r="B49" s="51" t="s">
        <v>22</v>
      </c>
      <c r="C49" s="9"/>
      <c r="D49" s="9"/>
      <c r="E49" s="9"/>
      <c r="F49" s="9"/>
      <c r="G49" s="12"/>
      <c r="H49" s="12"/>
      <c r="I49" s="12"/>
      <c r="J49" s="140"/>
      <c r="S49" s="8"/>
      <c r="T49" s="9"/>
      <c r="U49" s="9"/>
      <c r="V49" s="9"/>
      <c r="W49" s="9"/>
      <c r="X49" s="19"/>
      <c r="Y49" s="20"/>
    </row>
    <row r="50" spans="1:25" ht="15" thickBot="1" x14ac:dyDescent="0.35">
      <c r="B50" s="50" t="s">
        <v>159</v>
      </c>
      <c r="C50" s="23"/>
      <c r="D50" s="23"/>
      <c r="E50" s="23"/>
      <c r="F50" s="23"/>
      <c r="G50" s="28"/>
      <c r="H50" s="28"/>
      <c r="I50" s="28"/>
      <c r="J50" s="140"/>
      <c r="S50" s="8"/>
      <c r="T50" s="9"/>
      <c r="U50" s="9"/>
      <c r="V50" s="9"/>
      <c r="W50" s="9"/>
      <c r="X50" s="19"/>
      <c r="Y50" s="20"/>
    </row>
    <row r="51" spans="1:25" ht="15" thickBot="1" x14ac:dyDescent="0.35">
      <c r="B51" s="9"/>
      <c r="C51" s="9"/>
      <c r="D51" s="9"/>
      <c r="E51" s="9"/>
      <c r="F51" s="9"/>
      <c r="G51" s="12"/>
      <c r="H51" s="12"/>
      <c r="I51" s="12"/>
      <c r="J51" s="12"/>
      <c r="K51" s="158"/>
      <c r="S51" s="8"/>
      <c r="T51" s="9"/>
      <c r="U51" s="9"/>
      <c r="V51" s="9"/>
      <c r="W51" s="9"/>
      <c r="X51" s="19"/>
      <c r="Y51" s="20"/>
    </row>
    <row r="52" spans="1:25" ht="15" thickTop="1" x14ac:dyDescent="0.3">
      <c r="A52" s="2"/>
      <c r="B52" s="2"/>
      <c r="C52" s="2"/>
      <c r="D52" s="2"/>
      <c r="E52" s="2"/>
      <c r="F52" s="2"/>
      <c r="G52" s="3"/>
      <c r="H52" s="3"/>
      <c r="I52" s="3"/>
      <c r="J52" s="3"/>
      <c r="S52" s="8"/>
      <c r="T52" s="9"/>
      <c r="U52" s="9"/>
      <c r="V52" s="9"/>
      <c r="W52" s="9"/>
      <c r="X52" s="19"/>
      <c r="Y52" s="20"/>
    </row>
    <row r="53" spans="1:25" ht="21" x14ac:dyDescent="0.4">
      <c r="F53" s="152" t="s">
        <v>47</v>
      </c>
      <c r="S53" s="8"/>
      <c r="T53" s="9"/>
      <c r="U53" s="9"/>
      <c r="V53" s="9"/>
      <c r="W53" s="9"/>
      <c r="X53" s="19"/>
      <c r="Y53" s="20"/>
    </row>
    <row r="54" spans="1:25" x14ac:dyDescent="0.3">
      <c r="F54" s="153"/>
      <c r="S54" s="46"/>
      <c r="T54" s="17"/>
      <c r="U54" s="17"/>
      <c r="V54" s="17"/>
      <c r="W54" s="17"/>
      <c r="X54" s="19"/>
      <c r="Y54" s="20"/>
    </row>
    <row r="55" spans="1:25" x14ac:dyDescent="0.3">
      <c r="C55" s="154">
        <v>37410</v>
      </c>
      <c r="D55" s="155" t="s">
        <v>16</v>
      </c>
      <c r="E55" s="155" t="s">
        <v>161</v>
      </c>
      <c r="F55" s="155">
        <v>2</v>
      </c>
      <c r="G55" s="161">
        <v>1</v>
      </c>
      <c r="I55" s="110" t="s">
        <v>155</v>
      </c>
      <c r="S55" s="46" t="s">
        <v>16</v>
      </c>
      <c r="T55" s="17" t="s">
        <v>161</v>
      </c>
      <c r="U55" s="17">
        <v>2</v>
      </c>
      <c r="V55" s="17">
        <v>1</v>
      </c>
      <c r="W55" s="17"/>
      <c r="X55" s="19">
        <f t="shared" ref="X55:X60" si="10">(IF(U55&gt;V55,3,IF(U55=V55,1,2)))</f>
        <v>3</v>
      </c>
      <c r="Y55" s="20">
        <f t="shared" ref="Y55:Y60" si="11">(IF(V55&gt;U55,3,IF(U55=V55,1,2)))</f>
        <v>2</v>
      </c>
    </row>
    <row r="56" spans="1:25" ht="15" thickBot="1" x14ac:dyDescent="0.35">
      <c r="C56" s="21"/>
      <c r="D56" s="89"/>
      <c r="E56" s="89"/>
      <c r="F56" s="89" t="s">
        <v>8</v>
      </c>
      <c r="G56" s="90" t="s">
        <v>9</v>
      </c>
      <c r="H56" s="28"/>
      <c r="I56" s="28"/>
      <c r="S56" s="46" t="s">
        <v>162</v>
      </c>
      <c r="T56" s="17" t="s">
        <v>86</v>
      </c>
      <c r="U56" s="17">
        <v>0</v>
      </c>
      <c r="V56" s="17">
        <v>2</v>
      </c>
      <c r="W56" s="17"/>
      <c r="X56" s="19">
        <f t="shared" si="10"/>
        <v>2</v>
      </c>
      <c r="Y56" s="20">
        <f t="shared" si="11"/>
        <v>3</v>
      </c>
    </row>
    <row r="57" spans="1:25" x14ac:dyDescent="0.3">
      <c r="C57" s="154">
        <v>37411</v>
      </c>
      <c r="D57" s="155" t="s">
        <v>162</v>
      </c>
      <c r="E57" s="155" t="s">
        <v>86</v>
      </c>
      <c r="F57" s="155">
        <v>0</v>
      </c>
      <c r="G57" s="161">
        <v>2</v>
      </c>
      <c r="I57" s="110" t="s">
        <v>163</v>
      </c>
      <c r="S57" s="46" t="s">
        <v>16</v>
      </c>
      <c r="T57" s="17" t="s">
        <v>162</v>
      </c>
      <c r="U57" s="17">
        <v>4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ht="15" thickBot="1" x14ac:dyDescent="0.35">
      <c r="C58" s="21"/>
      <c r="D58" s="89"/>
      <c r="E58" s="89"/>
      <c r="F58" s="89" t="s">
        <v>8</v>
      </c>
      <c r="G58" s="90" t="s">
        <v>15</v>
      </c>
      <c r="H58" s="28"/>
      <c r="I58" s="28"/>
      <c r="S58" s="46" t="s">
        <v>86</v>
      </c>
      <c r="T58" s="17" t="s">
        <v>161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x14ac:dyDescent="0.3">
      <c r="C59" s="154">
        <v>37415</v>
      </c>
      <c r="D59" s="155" t="s">
        <v>16</v>
      </c>
      <c r="E59" s="155" t="s">
        <v>162</v>
      </c>
      <c r="F59" s="155">
        <v>4</v>
      </c>
      <c r="G59" s="161">
        <v>0</v>
      </c>
      <c r="I59" s="110" t="s">
        <v>167</v>
      </c>
      <c r="S59" s="46" t="s">
        <v>86</v>
      </c>
      <c r="T59" s="17" t="s">
        <v>16</v>
      </c>
      <c r="U59" s="17">
        <v>2</v>
      </c>
      <c r="V59" s="17">
        <v>5</v>
      </c>
      <c r="W59" s="17"/>
      <c r="X59" s="19">
        <f t="shared" si="10"/>
        <v>2</v>
      </c>
      <c r="Y59" s="20">
        <f t="shared" si="11"/>
        <v>3</v>
      </c>
    </row>
    <row r="60" spans="1:25" ht="15" thickBot="1" x14ac:dyDescent="0.35">
      <c r="C60" s="21"/>
      <c r="D60" s="89"/>
      <c r="E60" s="89"/>
      <c r="F60" s="89" t="s">
        <v>50</v>
      </c>
      <c r="G60" s="90" t="s">
        <v>15</v>
      </c>
      <c r="H60" s="28"/>
      <c r="I60" s="28"/>
      <c r="S60" s="46" t="s">
        <v>161</v>
      </c>
      <c r="T60" s="17" t="s">
        <v>162</v>
      </c>
      <c r="U60" s="17">
        <v>3</v>
      </c>
      <c r="V60" s="17">
        <v>0</v>
      </c>
      <c r="W60" s="17"/>
      <c r="X60" s="19">
        <f t="shared" si="10"/>
        <v>3</v>
      </c>
      <c r="Y60" s="20">
        <f t="shared" si="11"/>
        <v>2</v>
      </c>
    </row>
    <row r="61" spans="1:25" x14ac:dyDescent="0.3">
      <c r="C61" s="141">
        <v>37416</v>
      </c>
      <c r="D61" s="142" t="s">
        <v>86</v>
      </c>
      <c r="E61" s="142" t="s">
        <v>161</v>
      </c>
      <c r="F61" s="142">
        <v>1</v>
      </c>
      <c r="G61" s="143">
        <v>1</v>
      </c>
      <c r="H61" s="144"/>
      <c r="I61" s="144" t="s">
        <v>158</v>
      </c>
      <c r="S61" s="46"/>
      <c r="T61" s="17"/>
      <c r="U61" s="17"/>
      <c r="V61" s="17"/>
      <c r="W61" s="17"/>
      <c r="X61" s="19"/>
      <c r="Y61" s="20"/>
    </row>
    <row r="62" spans="1:25" ht="15" thickBot="1" x14ac:dyDescent="0.35">
      <c r="C62" s="21"/>
      <c r="D62" s="89"/>
      <c r="E62" s="89"/>
      <c r="F62" s="89" t="s">
        <v>8</v>
      </c>
      <c r="G62" s="90" t="s">
        <v>15</v>
      </c>
      <c r="H62" s="28"/>
      <c r="I62" s="28"/>
      <c r="S62" s="46"/>
      <c r="T62" s="17"/>
      <c r="U62" s="17"/>
      <c r="V62" s="17"/>
      <c r="W62" s="17"/>
      <c r="X62" s="19"/>
      <c r="Y62" s="20"/>
    </row>
    <row r="63" spans="1:25" x14ac:dyDescent="0.3">
      <c r="C63" s="154">
        <v>37420</v>
      </c>
      <c r="D63" s="155" t="s">
        <v>86</v>
      </c>
      <c r="E63" s="155" t="s">
        <v>16</v>
      </c>
      <c r="F63" s="155">
        <v>2</v>
      </c>
      <c r="G63" s="161">
        <v>5</v>
      </c>
      <c r="I63" s="110" t="s">
        <v>160</v>
      </c>
      <c r="S63" s="46"/>
      <c r="T63" s="17"/>
      <c r="U63" s="17"/>
      <c r="V63" s="17"/>
      <c r="W63" s="17"/>
      <c r="X63" s="19"/>
      <c r="Y63" s="20"/>
    </row>
    <row r="64" spans="1:25" ht="15" thickBot="1" x14ac:dyDescent="0.35">
      <c r="C64" s="21"/>
      <c r="D64" s="89"/>
      <c r="E64" s="89"/>
      <c r="F64" s="89" t="s">
        <v>19</v>
      </c>
      <c r="G64" s="90" t="s">
        <v>147</v>
      </c>
      <c r="H64" s="28"/>
      <c r="I64" s="28"/>
      <c r="S64" s="46"/>
      <c r="T64" s="17"/>
      <c r="U64" s="17"/>
      <c r="V64" s="17"/>
      <c r="W64" s="17"/>
      <c r="X64" s="19"/>
      <c r="Y64" s="20"/>
    </row>
    <row r="65" spans="1:25" x14ac:dyDescent="0.3">
      <c r="C65" s="154">
        <v>37420</v>
      </c>
      <c r="D65" s="155" t="s">
        <v>161</v>
      </c>
      <c r="E65" s="155" t="s">
        <v>162</v>
      </c>
      <c r="F65" s="155">
        <v>3</v>
      </c>
      <c r="G65" s="161">
        <v>0</v>
      </c>
      <c r="I65" s="110" t="s">
        <v>154</v>
      </c>
      <c r="S65" s="8"/>
      <c r="T65" s="9"/>
      <c r="U65" s="9"/>
      <c r="V65" s="9"/>
      <c r="W65" s="9"/>
      <c r="X65" s="19"/>
      <c r="Y65" s="20"/>
    </row>
    <row r="66" spans="1:25" x14ac:dyDescent="0.3">
      <c r="A66" s="154"/>
      <c r="D66" s="155"/>
      <c r="E66" s="155"/>
      <c r="F66" s="155" t="s">
        <v>14</v>
      </c>
      <c r="G66" s="161" t="s">
        <v>15</v>
      </c>
      <c r="S66" s="8"/>
      <c r="T66" s="9"/>
      <c r="U66" s="9"/>
      <c r="V66" s="9"/>
      <c r="W66" s="9"/>
      <c r="X66" s="19"/>
      <c r="Y66" s="20"/>
    </row>
    <row r="67" spans="1:25" x14ac:dyDescent="0.3">
      <c r="A67" s="154"/>
      <c r="S67" s="8"/>
      <c r="T67" s="9"/>
      <c r="U67" s="9"/>
      <c r="V67" s="9"/>
      <c r="W67" s="9"/>
      <c r="X67" s="19"/>
      <c r="Y67" s="20"/>
    </row>
    <row r="68" spans="1:25" ht="15" thickBot="1" x14ac:dyDescent="0.35">
      <c r="B68" s="47" t="s">
        <v>62</v>
      </c>
      <c r="C68" s="47" t="s">
        <v>27</v>
      </c>
      <c r="D68" s="47" t="s">
        <v>28</v>
      </c>
      <c r="E68" s="47" t="s">
        <v>29</v>
      </c>
      <c r="F68" s="47" t="s">
        <v>30</v>
      </c>
      <c r="G68" s="110" t="s">
        <v>31</v>
      </c>
      <c r="H68" s="110" t="s">
        <v>32</v>
      </c>
      <c r="I68" s="110" t="s">
        <v>118</v>
      </c>
      <c r="S68" s="8"/>
      <c r="T68" s="9"/>
      <c r="U68" s="9"/>
      <c r="V68" s="9"/>
      <c r="W68" s="9"/>
      <c r="X68" s="19"/>
      <c r="Y68" s="20"/>
    </row>
    <row r="69" spans="1:25" x14ac:dyDescent="0.3">
      <c r="A69" s="47" t="s">
        <v>90</v>
      </c>
      <c r="B69" s="30" t="s">
        <v>16</v>
      </c>
      <c r="C69" s="109">
        <v>3</v>
      </c>
      <c r="D69" s="109">
        <v>2</v>
      </c>
      <c r="E69" s="109">
        <v>1</v>
      </c>
      <c r="F69" s="109">
        <v>0</v>
      </c>
      <c r="G69" s="33">
        <v>5</v>
      </c>
      <c r="H69" s="33">
        <v>3</v>
      </c>
      <c r="I69" s="33">
        <v>7</v>
      </c>
      <c r="J69" s="139"/>
      <c r="S69" s="8"/>
      <c r="T69" s="9"/>
      <c r="U69" s="9"/>
      <c r="V69" s="9"/>
      <c r="W69" s="9"/>
      <c r="X69" s="19"/>
      <c r="Y69" s="20"/>
    </row>
    <row r="70" spans="1:25" x14ac:dyDescent="0.3">
      <c r="B70" s="36" t="s">
        <v>161</v>
      </c>
      <c r="C70" s="17"/>
      <c r="D70" s="17"/>
      <c r="E70" s="17"/>
      <c r="F70" s="17"/>
      <c r="G70" s="38"/>
      <c r="H70" s="38"/>
      <c r="I70" s="38"/>
      <c r="J70" s="139"/>
      <c r="S70" s="8"/>
      <c r="T70" s="9"/>
      <c r="U70" s="9"/>
      <c r="V70" s="9"/>
      <c r="W70" s="9"/>
      <c r="X70" s="19"/>
      <c r="Y70" s="20"/>
    </row>
    <row r="71" spans="1:25" x14ac:dyDescent="0.3">
      <c r="B71" s="51" t="s">
        <v>162</v>
      </c>
      <c r="C71" s="9"/>
      <c r="D71" s="9"/>
      <c r="E71" s="9"/>
      <c r="F71" s="9"/>
      <c r="G71" s="12"/>
      <c r="H71" s="12"/>
      <c r="I71" s="12"/>
      <c r="J71" s="140"/>
      <c r="S71" s="8"/>
      <c r="T71" s="9"/>
      <c r="U71" s="9"/>
      <c r="V71" s="9"/>
      <c r="W71" s="9"/>
      <c r="X71" s="19"/>
      <c r="Y71" s="20"/>
    </row>
    <row r="72" spans="1:25" ht="15" thickBot="1" x14ac:dyDescent="0.35">
      <c r="B72" s="50" t="s">
        <v>86</v>
      </c>
      <c r="C72" s="23"/>
      <c r="D72" s="23"/>
      <c r="E72" s="23"/>
      <c r="F72" s="23"/>
      <c r="G72" s="28"/>
      <c r="H72" s="28"/>
      <c r="I72" s="28"/>
      <c r="J72" s="140"/>
      <c r="S72" s="8"/>
      <c r="T72" s="9"/>
      <c r="U72" s="9"/>
      <c r="V72" s="9"/>
      <c r="W72" s="9"/>
      <c r="X72" s="19"/>
      <c r="Y72" s="20"/>
    </row>
    <row r="73" spans="1:25" ht="15" thickBot="1" x14ac:dyDescent="0.35">
      <c r="B73" s="9"/>
      <c r="C73" s="9"/>
      <c r="D73" s="9"/>
      <c r="E73" s="9"/>
      <c r="F73" s="9"/>
      <c r="G73" s="12"/>
      <c r="H73" s="12"/>
      <c r="I73" s="12"/>
      <c r="J73" s="12"/>
      <c r="K73" s="158"/>
      <c r="S73" s="8"/>
      <c r="T73" s="9"/>
      <c r="U73" s="9"/>
      <c r="V73" s="9"/>
      <c r="W73" s="9"/>
      <c r="X73" s="19"/>
      <c r="Y73" s="20"/>
    </row>
    <row r="74" spans="1:25" ht="15" thickTop="1" x14ac:dyDescent="0.3">
      <c r="A74" s="2"/>
      <c r="B74" s="2"/>
      <c r="C74" s="2"/>
      <c r="D74" s="2"/>
      <c r="E74" s="2"/>
      <c r="F74" s="2"/>
      <c r="G74" s="3"/>
      <c r="H74" s="3"/>
      <c r="I74" s="3"/>
      <c r="J74" s="3"/>
      <c r="S74" s="8"/>
      <c r="T74" s="9"/>
      <c r="U74" s="9"/>
      <c r="V74" s="9"/>
      <c r="W74" s="9"/>
      <c r="X74" s="19"/>
      <c r="Y74" s="20"/>
    </row>
    <row r="75" spans="1:25" ht="21" x14ac:dyDescent="0.4">
      <c r="F75" s="152" t="s">
        <v>51</v>
      </c>
      <c r="S75" s="8"/>
      <c r="T75" s="9"/>
      <c r="U75" s="9"/>
      <c r="V75" s="9"/>
      <c r="W75" s="9"/>
      <c r="X75" s="19"/>
      <c r="Y75" s="20"/>
    </row>
    <row r="76" spans="1:25" x14ac:dyDescent="0.3">
      <c r="F76" s="153"/>
      <c r="S76" s="8"/>
      <c r="T76" s="9"/>
      <c r="U76" s="9"/>
      <c r="V76" s="9"/>
      <c r="W76" s="9"/>
      <c r="X76" s="19"/>
      <c r="Y76" s="20"/>
    </row>
    <row r="77" spans="1:25" x14ac:dyDescent="0.3">
      <c r="C77" s="154">
        <v>37411</v>
      </c>
      <c r="D77" s="155" t="s">
        <v>10</v>
      </c>
      <c r="E77" s="155" t="s">
        <v>35</v>
      </c>
      <c r="F77" s="155">
        <v>2</v>
      </c>
      <c r="G77" s="161">
        <v>0</v>
      </c>
      <c r="I77" s="110" t="s">
        <v>157</v>
      </c>
      <c r="S77" s="8" t="s">
        <v>10</v>
      </c>
      <c r="T77" s="9" t="s">
        <v>35</v>
      </c>
      <c r="U77" s="9">
        <v>2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ht="15" thickBot="1" x14ac:dyDescent="0.35">
      <c r="C78" s="21"/>
      <c r="D78" s="89"/>
      <c r="E78" s="89"/>
      <c r="F78" s="89" t="s">
        <v>19</v>
      </c>
      <c r="G78" s="90" t="s">
        <v>15</v>
      </c>
      <c r="H78" s="28"/>
      <c r="I78" s="28"/>
      <c r="S78" s="8" t="s">
        <v>78</v>
      </c>
      <c r="T78" s="9" t="s">
        <v>36</v>
      </c>
      <c r="U78" s="9">
        <v>3</v>
      </c>
      <c r="V78" s="9">
        <v>2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C79" s="154">
        <v>37412</v>
      </c>
      <c r="D79" s="155" t="s">
        <v>78</v>
      </c>
      <c r="E79" s="155" t="s">
        <v>36</v>
      </c>
      <c r="F79" s="155">
        <v>3</v>
      </c>
      <c r="G79" s="161">
        <v>2</v>
      </c>
      <c r="I79" s="110" t="s">
        <v>160</v>
      </c>
      <c r="S79" s="8" t="s">
        <v>10</v>
      </c>
      <c r="T79" s="9" t="s">
        <v>78</v>
      </c>
      <c r="U79" s="9">
        <v>1</v>
      </c>
      <c r="V79" s="9">
        <v>1</v>
      </c>
      <c r="W79" s="9"/>
      <c r="X79" s="19">
        <f t="shared" si="12"/>
        <v>1</v>
      </c>
      <c r="Y79" s="20">
        <f t="shared" si="13"/>
        <v>1</v>
      </c>
    </row>
    <row r="80" spans="1:25" ht="15" thickBot="1" x14ac:dyDescent="0.35">
      <c r="C80" s="21"/>
      <c r="D80" s="89"/>
      <c r="E80" s="89"/>
      <c r="F80" s="89" t="s">
        <v>50</v>
      </c>
      <c r="G80" s="90" t="s">
        <v>9</v>
      </c>
      <c r="H80" s="28"/>
      <c r="I80" s="28"/>
      <c r="S80" s="8" t="s">
        <v>36</v>
      </c>
      <c r="T80" s="9" t="s">
        <v>35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C81" s="154">
        <v>37417</v>
      </c>
      <c r="D81" s="155" t="s">
        <v>10</v>
      </c>
      <c r="E81" s="155" t="s">
        <v>78</v>
      </c>
      <c r="F81" s="155">
        <v>1</v>
      </c>
      <c r="G81" s="161">
        <v>1</v>
      </c>
      <c r="I81" s="110" t="s">
        <v>156</v>
      </c>
      <c r="S81" s="8" t="s">
        <v>36</v>
      </c>
      <c r="T81" s="9" t="s">
        <v>10</v>
      </c>
      <c r="U81" s="9">
        <v>0</v>
      </c>
      <c r="V81" s="9">
        <v>1</v>
      </c>
      <c r="W81" s="9"/>
      <c r="X81" s="19">
        <f t="shared" si="12"/>
        <v>2</v>
      </c>
      <c r="Y81" s="20">
        <f t="shared" si="13"/>
        <v>3</v>
      </c>
    </row>
    <row r="82" spans="1:25" ht="15" thickBot="1" x14ac:dyDescent="0.35">
      <c r="C82" s="21"/>
      <c r="D82" s="89"/>
      <c r="E82" s="89"/>
      <c r="F82" s="89" t="s">
        <v>8</v>
      </c>
      <c r="G82" s="90" t="s">
        <v>9</v>
      </c>
      <c r="H82" s="28"/>
      <c r="I82" s="28"/>
      <c r="S82" s="8" t="s">
        <v>35</v>
      </c>
      <c r="T82" s="9" t="s">
        <v>78</v>
      </c>
      <c r="U82" s="9">
        <v>3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x14ac:dyDescent="0.3">
      <c r="C83" s="154">
        <v>37417</v>
      </c>
      <c r="D83" s="155" t="s">
        <v>36</v>
      </c>
      <c r="E83" s="155" t="s">
        <v>35</v>
      </c>
      <c r="F83" s="155">
        <v>4</v>
      </c>
      <c r="G83" s="161">
        <v>0</v>
      </c>
      <c r="I83" s="110" t="s">
        <v>164</v>
      </c>
      <c r="S83" s="8"/>
      <c r="T83" s="9"/>
      <c r="U83" s="9"/>
      <c r="V83" s="9"/>
      <c r="W83" s="9"/>
      <c r="X83" s="19"/>
      <c r="Y83" s="20"/>
    </row>
    <row r="84" spans="1:25" ht="15" thickBot="1" x14ac:dyDescent="0.35">
      <c r="C84" s="21"/>
      <c r="D84" s="89"/>
      <c r="E84" s="89"/>
      <c r="F84" s="89" t="s">
        <v>19</v>
      </c>
      <c r="G84" s="90" t="s">
        <v>15</v>
      </c>
      <c r="H84" s="28"/>
      <c r="I84" s="28"/>
      <c r="S84" s="8"/>
      <c r="T84" s="9"/>
      <c r="U84" s="9"/>
      <c r="V84" s="9"/>
      <c r="W84" s="9"/>
      <c r="X84" s="19"/>
      <c r="Y84" s="20"/>
    </row>
    <row r="85" spans="1:25" x14ac:dyDescent="0.3">
      <c r="C85" s="154">
        <v>37421</v>
      </c>
      <c r="D85" s="155" t="s">
        <v>36</v>
      </c>
      <c r="E85" s="155" t="s">
        <v>10</v>
      </c>
      <c r="F85" s="155">
        <v>0</v>
      </c>
      <c r="G85" s="161">
        <v>1</v>
      </c>
      <c r="I85" s="110" t="s">
        <v>158</v>
      </c>
      <c r="S85" s="8"/>
      <c r="T85" s="9"/>
      <c r="U85" s="9"/>
      <c r="V85" s="9"/>
      <c r="W85" s="9"/>
      <c r="X85" s="19"/>
      <c r="Y85" s="20"/>
    </row>
    <row r="86" spans="1:25" ht="15" thickBot="1" x14ac:dyDescent="0.35">
      <c r="C86" s="21"/>
      <c r="D86" s="89"/>
      <c r="E86" s="89"/>
      <c r="F86" s="89" t="s">
        <v>8</v>
      </c>
      <c r="G86" s="90" t="s">
        <v>15</v>
      </c>
      <c r="H86" s="28"/>
      <c r="I86" s="28"/>
      <c r="S86" s="8"/>
      <c r="T86" s="9"/>
      <c r="U86" s="9"/>
      <c r="V86" s="9"/>
      <c r="W86" s="9"/>
      <c r="X86" s="19"/>
      <c r="Y86" s="20"/>
    </row>
    <row r="87" spans="1:25" x14ac:dyDescent="0.3">
      <c r="B87" s="99"/>
      <c r="C87" s="154">
        <v>37421</v>
      </c>
      <c r="D87" s="159" t="s">
        <v>35</v>
      </c>
      <c r="E87" s="159" t="s">
        <v>78</v>
      </c>
      <c r="F87" s="155">
        <v>3</v>
      </c>
      <c r="G87" s="161">
        <v>1</v>
      </c>
      <c r="I87" s="110" t="s">
        <v>166</v>
      </c>
      <c r="S87" s="8"/>
      <c r="T87" s="9"/>
      <c r="U87" s="9"/>
      <c r="V87" s="9"/>
      <c r="W87" s="9"/>
      <c r="X87" s="9"/>
      <c r="Y87" s="10"/>
    </row>
    <row r="88" spans="1:25" x14ac:dyDescent="0.3">
      <c r="A88" s="154"/>
      <c r="B88" s="99"/>
      <c r="C88" s="99"/>
      <c r="D88" s="159"/>
      <c r="E88" s="159"/>
      <c r="F88" s="155" t="s">
        <v>14</v>
      </c>
      <c r="G88" s="161" t="s">
        <v>15</v>
      </c>
      <c r="S88" s="8"/>
      <c r="T88" s="9"/>
      <c r="U88" s="9"/>
      <c r="V88" s="9"/>
      <c r="W88" s="9"/>
      <c r="X88" s="19"/>
      <c r="Y88" s="20"/>
    </row>
    <row r="89" spans="1:25" x14ac:dyDescent="0.3">
      <c r="A89" s="154"/>
      <c r="B89" s="99"/>
      <c r="C89" s="99"/>
      <c r="D89" s="99"/>
      <c r="E89" s="99"/>
      <c r="S89" s="8"/>
      <c r="T89" s="9"/>
      <c r="U89" s="9"/>
      <c r="V89" s="9"/>
      <c r="W89" s="9"/>
      <c r="X89" s="19"/>
      <c r="Y89" s="20"/>
    </row>
    <row r="90" spans="1:25" ht="15" thickBot="1" x14ac:dyDescent="0.35">
      <c r="B90" s="47" t="s">
        <v>62</v>
      </c>
      <c r="C90" s="47" t="s">
        <v>27</v>
      </c>
      <c r="D90" s="47" t="s">
        <v>28</v>
      </c>
      <c r="E90" s="47" t="s">
        <v>29</v>
      </c>
      <c r="F90" s="47" t="s">
        <v>30</v>
      </c>
      <c r="G90" s="110" t="s">
        <v>31</v>
      </c>
      <c r="H90" s="110" t="s">
        <v>32</v>
      </c>
      <c r="I90" s="110" t="s">
        <v>118</v>
      </c>
      <c r="S90" s="8"/>
      <c r="T90" s="9"/>
      <c r="U90" s="9"/>
      <c r="V90" s="9"/>
      <c r="W90" s="9"/>
      <c r="X90" s="19"/>
      <c r="Y90" s="20"/>
    </row>
    <row r="91" spans="1:25" x14ac:dyDescent="0.3">
      <c r="A91" s="47" t="s">
        <v>90</v>
      </c>
      <c r="B91" s="30" t="s">
        <v>10</v>
      </c>
      <c r="C91" s="109">
        <v>3</v>
      </c>
      <c r="D91" s="109">
        <v>2</v>
      </c>
      <c r="E91" s="109">
        <v>0</v>
      </c>
      <c r="F91" s="109">
        <v>1</v>
      </c>
      <c r="G91" s="33">
        <v>6</v>
      </c>
      <c r="H91" s="33">
        <v>2</v>
      </c>
      <c r="I91" s="33">
        <v>6</v>
      </c>
      <c r="J91" s="139"/>
      <c r="S91" s="8"/>
      <c r="T91" s="9"/>
      <c r="U91" s="9"/>
      <c r="V91" s="9"/>
      <c r="W91" s="9"/>
      <c r="X91" s="19"/>
      <c r="Y91" s="20"/>
    </row>
    <row r="92" spans="1:25" x14ac:dyDescent="0.3">
      <c r="B92" s="36" t="s">
        <v>35</v>
      </c>
      <c r="C92" s="17"/>
      <c r="D92" s="17"/>
      <c r="E92" s="17"/>
      <c r="F92" s="17"/>
      <c r="G92" s="38"/>
      <c r="H92" s="38"/>
      <c r="I92" s="38"/>
      <c r="J92" s="139"/>
      <c r="S92" s="8"/>
      <c r="T92" s="9"/>
      <c r="U92" s="9"/>
      <c r="V92" s="9"/>
      <c r="W92" s="9"/>
      <c r="X92" s="9"/>
      <c r="Y92" s="10"/>
    </row>
    <row r="93" spans="1:25" x14ac:dyDescent="0.3">
      <c r="B93" s="51" t="s">
        <v>78</v>
      </c>
      <c r="C93" s="9"/>
      <c r="D93" s="9"/>
      <c r="E93" s="9"/>
      <c r="F93" s="9"/>
      <c r="G93" s="12"/>
      <c r="H93" s="12"/>
      <c r="I93" s="12"/>
      <c r="J93" s="140"/>
      <c r="S93" s="8"/>
      <c r="T93" s="9"/>
      <c r="U93" s="9"/>
      <c r="V93" s="9"/>
      <c r="W93" s="9"/>
      <c r="X93" s="9"/>
      <c r="Y93" s="10"/>
    </row>
    <row r="94" spans="1:25" ht="15" thickBot="1" x14ac:dyDescent="0.35">
      <c r="B94" s="50" t="s">
        <v>36</v>
      </c>
      <c r="C94" s="23"/>
      <c r="D94" s="23"/>
      <c r="E94" s="23"/>
      <c r="F94" s="23"/>
      <c r="G94" s="28"/>
      <c r="H94" s="28"/>
      <c r="I94" s="28"/>
      <c r="J94" s="140"/>
      <c r="S94" s="8"/>
      <c r="T94" s="9"/>
      <c r="U94" s="9"/>
      <c r="V94" s="9"/>
      <c r="W94" s="9"/>
      <c r="X94" s="9"/>
      <c r="Y94" s="10"/>
    </row>
    <row r="95" spans="1:25" ht="15" thickBot="1" x14ac:dyDescent="0.35">
      <c r="K95" s="158"/>
      <c r="S95" s="8"/>
      <c r="T95" s="9"/>
      <c r="U95" s="9"/>
      <c r="V95" s="9"/>
      <c r="W95" s="9"/>
      <c r="X95" s="19"/>
      <c r="Y95" s="20"/>
    </row>
    <row r="96" spans="1:25" ht="15" thickTop="1" x14ac:dyDescent="0.3">
      <c r="A96" s="2"/>
      <c r="B96" s="2"/>
      <c r="C96" s="2"/>
      <c r="D96" s="2"/>
      <c r="E96" s="2"/>
      <c r="F96" s="2"/>
      <c r="G96" s="3"/>
      <c r="H96" s="3"/>
      <c r="I96" s="3"/>
      <c r="J96" s="3"/>
      <c r="S96" s="8"/>
      <c r="T96" s="9"/>
      <c r="U96" s="9"/>
      <c r="V96" s="9"/>
      <c r="W96" s="9"/>
      <c r="X96" s="19"/>
      <c r="Y96" s="20"/>
    </row>
    <row r="97" spans="1:25" ht="21" x14ac:dyDescent="0.4">
      <c r="F97" s="152" t="s">
        <v>55</v>
      </c>
      <c r="S97" s="8"/>
      <c r="T97" s="9"/>
      <c r="U97" s="9"/>
      <c r="V97" s="9"/>
      <c r="W97" s="9"/>
      <c r="X97" s="19"/>
      <c r="Y97" s="20"/>
    </row>
    <row r="98" spans="1:25" x14ac:dyDescent="0.3">
      <c r="F98" s="153"/>
      <c r="S98" s="8"/>
      <c r="T98" s="9"/>
      <c r="U98" s="9"/>
      <c r="V98" s="9"/>
      <c r="W98" s="9"/>
      <c r="X98" s="19"/>
      <c r="Y98" s="20"/>
    </row>
    <row r="99" spans="1:25" x14ac:dyDescent="0.3">
      <c r="C99" s="154">
        <v>37408</v>
      </c>
      <c r="D99" s="155" t="s">
        <v>85</v>
      </c>
      <c r="E99" s="155" t="s">
        <v>84</v>
      </c>
      <c r="F99" s="155">
        <v>1</v>
      </c>
      <c r="G99" s="161">
        <v>1</v>
      </c>
      <c r="I99" s="110" t="s">
        <v>168</v>
      </c>
      <c r="S99" s="8" t="s">
        <v>85</v>
      </c>
      <c r="T99" s="9" t="s">
        <v>84</v>
      </c>
      <c r="U99" s="9">
        <v>1</v>
      </c>
      <c r="V99" s="9">
        <v>1</v>
      </c>
      <c r="W99" s="9"/>
      <c r="X99" s="19">
        <f t="shared" ref="X99:X104" si="14">(IF(U99&gt;V99,3,IF(U99=V99,1,2)))</f>
        <v>1</v>
      </c>
      <c r="Y99" s="20">
        <f t="shared" ref="Y99:Y104" si="15">(IF(V99&gt;U99,3,IF(U99=V99,1,2)))</f>
        <v>1</v>
      </c>
    </row>
    <row r="100" spans="1:25" ht="15" thickBot="1" x14ac:dyDescent="0.35">
      <c r="C100" s="21"/>
      <c r="D100" s="89"/>
      <c r="E100" s="89"/>
      <c r="F100" s="89" t="s">
        <v>8</v>
      </c>
      <c r="G100" s="90" t="s">
        <v>9</v>
      </c>
      <c r="H100" s="28"/>
      <c r="I100" s="28"/>
      <c r="S100" s="8" t="s">
        <v>13</v>
      </c>
      <c r="T100" s="9" t="s">
        <v>117</v>
      </c>
      <c r="U100" s="9">
        <v>8</v>
      </c>
      <c r="V100" s="9">
        <v>0</v>
      </c>
      <c r="W100" s="9"/>
      <c r="X100" s="19">
        <f t="shared" si="14"/>
        <v>3</v>
      </c>
      <c r="Y100" s="20">
        <f t="shared" si="15"/>
        <v>2</v>
      </c>
    </row>
    <row r="101" spans="1:25" x14ac:dyDescent="0.3">
      <c r="C101" s="16">
        <v>37408</v>
      </c>
      <c r="D101" s="83" t="s">
        <v>13</v>
      </c>
      <c r="E101" s="83" t="s">
        <v>117</v>
      </c>
      <c r="F101" s="83">
        <v>8</v>
      </c>
      <c r="G101" s="84">
        <v>0</v>
      </c>
      <c r="H101" s="12"/>
      <c r="I101" s="12" t="s">
        <v>169</v>
      </c>
      <c r="S101" s="8" t="s">
        <v>13</v>
      </c>
      <c r="T101" s="9" t="s">
        <v>85</v>
      </c>
      <c r="U101" s="9">
        <v>1</v>
      </c>
      <c r="V101" s="9">
        <v>1</v>
      </c>
      <c r="W101" s="9"/>
      <c r="X101" s="19">
        <f t="shared" si="14"/>
        <v>1</v>
      </c>
      <c r="Y101" s="20">
        <f t="shared" si="15"/>
        <v>1</v>
      </c>
    </row>
    <row r="102" spans="1:25" s="35" customFormat="1" ht="15" thickBot="1" x14ac:dyDescent="0.35">
      <c r="A102" s="47"/>
      <c r="B102" s="47"/>
      <c r="C102" s="21"/>
      <c r="D102" s="89"/>
      <c r="E102" s="89"/>
      <c r="F102" s="89" t="s">
        <v>133</v>
      </c>
      <c r="G102" s="90" t="s">
        <v>15</v>
      </c>
      <c r="H102" s="28"/>
      <c r="I102" s="28"/>
      <c r="J102" s="110"/>
      <c r="K102"/>
      <c r="S102" s="8" t="s">
        <v>84</v>
      </c>
      <c r="T102" s="9" t="s">
        <v>117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s="35" customFormat="1" x14ac:dyDescent="0.3">
      <c r="A103" s="47"/>
      <c r="B103" s="47"/>
      <c r="C103" s="154">
        <v>37412</v>
      </c>
      <c r="D103" s="155" t="s">
        <v>13</v>
      </c>
      <c r="E103" s="155" t="s">
        <v>85</v>
      </c>
      <c r="F103" s="155">
        <v>1</v>
      </c>
      <c r="G103" s="161">
        <v>1</v>
      </c>
      <c r="H103" s="110"/>
      <c r="I103" s="110" t="s">
        <v>170</v>
      </c>
      <c r="J103" s="110"/>
      <c r="K103"/>
      <c r="S103" s="8" t="s">
        <v>84</v>
      </c>
      <c r="T103" s="9" t="s">
        <v>13</v>
      </c>
      <c r="U103" s="9">
        <v>0</v>
      </c>
      <c r="V103" s="9">
        <v>2</v>
      </c>
      <c r="W103" s="9"/>
      <c r="X103" s="19">
        <f t="shared" si="14"/>
        <v>2</v>
      </c>
      <c r="Y103" s="20">
        <f t="shared" si="15"/>
        <v>3</v>
      </c>
    </row>
    <row r="104" spans="1:25" s="35" customFormat="1" ht="15" thickBot="1" x14ac:dyDescent="0.35">
      <c r="A104" s="47"/>
      <c r="B104" s="47"/>
      <c r="C104" s="21"/>
      <c r="D104" s="89"/>
      <c r="E104" s="89"/>
      <c r="F104" s="89" t="s">
        <v>19</v>
      </c>
      <c r="G104" s="90" t="s">
        <v>15</v>
      </c>
      <c r="H104" s="28"/>
      <c r="I104" s="28"/>
      <c r="J104" s="110"/>
      <c r="K104"/>
      <c r="S104" s="8" t="s">
        <v>117</v>
      </c>
      <c r="T104" s="9" t="s">
        <v>85</v>
      </c>
      <c r="U104" s="9">
        <v>0</v>
      </c>
      <c r="V104" s="9">
        <v>3</v>
      </c>
      <c r="W104" s="9"/>
      <c r="X104" s="19">
        <f t="shared" si="14"/>
        <v>2</v>
      </c>
      <c r="Y104" s="20">
        <f t="shared" si="15"/>
        <v>3</v>
      </c>
    </row>
    <row r="105" spans="1:25" x14ac:dyDescent="0.3">
      <c r="C105" s="154">
        <v>37413</v>
      </c>
      <c r="D105" s="155" t="s">
        <v>84</v>
      </c>
      <c r="E105" s="155" t="s">
        <v>117</v>
      </c>
      <c r="F105" s="155">
        <v>1</v>
      </c>
      <c r="G105" s="161">
        <v>0</v>
      </c>
      <c r="I105" s="110" t="s">
        <v>171</v>
      </c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C106" s="21"/>
      <c r="D106" s="89"/>
      <c r="E106" s="89"/>
      <c r="F106" s="89" t="s">
        <v>8</v>
      </c>
      <c r="G106" s="90" t="s">
        <v>15</v>
      </c>
      <c r="H106" s="28"/>
      <c r="I106" s="28"/>
      <c r="S106" s="8"/>
      <c r="T106" s="9"/>
      <c r="U106" s="9"/>
      <c r="V106" s="9"/>
      <c r="W106" s="9"/>
      <c r="X106" s="19"/>
      <c r="Y106" s="20"/>
    </row>
    <row r="107" spans="1:25" x14ac:dyDescent="0.3">
      <c r="C107" s="141">
        <v>37418</v>
      </c>
      <c r="D107" s="142" t="s">
        <v>84</v>
      </c>
      <c r="E107" s="142" t="s">
        <v>13</v>
      </c>
      <c r="F107" s="142">
        <v>0</v>
      </c>
      <c r="G107" s="143">
        <v>2</v>
      </c>
      <c r="H107" s="144"/>
      <c r="I107" s="144" t="s">
        <v>172</v>
      </c>
      <c r="S107" s="8"/>
      <c r="T107" s="9"/>
      <c r="U107" s="9"/>
      <c r="V107" s="9"/>
      <c r="W107" s="9"/>
      <c r="X107" s="19"/>
      <c r="Y107" s="20"/>
    </row>
    <row r="108" spans="1:25" ht="15" thickBot="1" x14ac:dyDescent="0.35">
      <c r="C108" s="21"/>
      <c r="D108" s="89"/>
      <c r="E108" s="89"/>
      <c r="F108" s="89" t="s">
        <v>8</v>
      </c>
      <c r="G108" s="90" t="s">
        <v>15</v>
      </c>
      <c r="H108" s="28"/>
      <c r="I108" s="28"/>
      <c r="S108" s="8"/>
      <c r="T108" s="9"/>
      <c r="U108" s="9"/>
      <c r="V108" s="9"/>
      <c r="W108" s="9"/>
      <c r="X108" s="19"/>
      <c r="Y108" s="20"/>
    </row>
    <row r="109" spans="1:25" x14ac:dyDescent="0.3">
      <c r="B109" s="99"/>
      <c r="C109" s="154">
        <v>37418</v>
      </c>
      <c r="D109" s="159" t="s">
        <v>117</v>
      </c>
      <c r="E109" s="159" t="s">
        <v>85</v>
      </c>
      <c r="F109" s="155">
        <v>0</v>
      </c>
      <c r="G109" s="161">
        <v>3</v>
      </c>
      <c r="I109" s="110" t="s">
        <v>173</v>
      </c>
      <c r="S109" s="8"/>
      <c r="T109" s="9"/>
      <c r="U109" s="9"/>
      <c r="V109" s="9"/>
      <c r="W109" s="9"/>
      <c r="X109" s="19"/>
      <c r="Y109" s="20"/>
    </row>
    <row r="110" spans="1:25" x14ac:dyDescent="0.3">
      <c r="A110" s="154"/>
      <c r="B110" s="99"/>
      <c r="C110" s="99"/>
      <c r="D110" s="159"/>
      <c r="E110" s="159"/>
      <c r="F110" s="155" t="s">
        <v>8</v>
      </c>
      <c r="G110" s="161" t="s">
        <v>9</v>
      </c>
      <c r="S110" s="8"/>
      <c r="T110" s="9"/>
      <c r="U110" s="9"/>
      <c r="V110" s="9"/>
      <c r="W110" s="9"/>
      <c r="X110" s="19"/>
      <c r="Y110" s="20"/>
    </row>
    <row r="111" spans="1:25" x14ac:dyDescent="0.3">
      <c r="A111" s="154"/>
      <c r="B111" s="99"/>
      <c r="C111" s="99"/>
      <c r="D111" s="99"/>
      <c r="E111" s="99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B112" s="47" t="s">
        <v>62</v>
      </c>
      <c r="C112" s="47" t="s">
        <v>27</v>
      </c>
      <c r="D112" s="47" t="s">
        <v>28</v>
      </c>
      <c r="E112" s="47" t="s">
        <v>29</v>
      </c>
      <c r="F112" s="47" t="s">
        <v>30</v>
      </c>
      <c r="G112" s="110" t="s">
        <v>31</v>
      </c>
      <c r="H112" s="110" t="s">
        <v>32</v>
      </c>
      <c r="I112" s="110" t="s">
        <v>118</v>
      </c>
      <c r="S112" s="8"/>
      <c r="T112" s="9"/>
      <c r="U112" s="9"/>
      <c r="V112" s="9"/>
      <c r="W112" s="9"/>
      <c r="X112" s="9"/>
      <c r="Y112" s="10"/>
    </row>
    <row r="113" spans="1:25" x14ac:dyDescent="0.3">
      <c r="A113" s="47" t="s">
        <v>90</v>
      </c>
      <c r="B113" s="30" t="s">
        <v>85</v>
      </c>
      <c r="C113" s="109">
        <v>3</v>
      </c>
      <c r="D113" s="109">
        <v>1</v>
      </c>
      <c r="E113" s="109">
        <v>1</v>
      </c>
      <c r="F113" s="109">
        <v>1</v>
      </c>
      <c r="G113" s="33">
        <v>3</v>
      </c>
      <c r="H113" s="33">
        <v>3</v>
      </c>
      <c r="I113" s="33">
        <v>4</v>
      </c>
      <c r="J113" s="139"/>
      <c r="S113" s="8"/>
      <c r="T113" s="9"/>
      <c r="U113" s="9"/>
      <c r="V113" s="9"/>
      <c r="W113" s="9"/>
      <c r="X113" s="9"/>
      <c r="Y113" s="10"/>
    </row>
    <row r="114" spans="1:25" s="35" customFormat="1" x14ac:dyDescent="0.3">
      <c r="A114" s="47"/>
      <c r="B114" s="36" t="s">
        <v>84</v>
      </c>
      <c r="C114" s="17"/>
      <c r="D114" s="17"/>
      <c r="E114" s="17"/>
      <c r="F114" s="17"/>
      <c r="G114" s="38"/>
      <c r="H114" s="38"/>
      <c r="I114" s="38"/>
      <c r="J114" s="139"/>
      <c r="K114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47"/>
      <c r="B115" s="51" t="s">
        <v>13</v>
      </c>
      <c r="C115" s="9"/>
      <c r="D115" s="9"/>
      <c r="E115" s="9"/>
      <c r="F115" s="9"/>
      <c r="G115" s="12"/>
      <c r="H115" s="12"/>
      <c r="I115" s="12"/>
      <c r="J115" s="140"/>
      <c r="K115"/>
      <c r="S115" s="8"/>
      <c r="T115" s="9"/>
      <c r="U115" s="9"/>
      <c r="V115" s="9"/>
      <c r="W115" s="9"/>
      <c r="X115" s="19"/>
      <c r="Y115" s="20"/>
    </row>
    <row r="116" spans="1:25" s="35" customFormat="1" ht="15" thickBot="1" x14ac:dyDescent="0.35">
      <c r="A116" s="47"/>
      <c r="B116" s="50" t="s">
        <v>117</v>
      </c>
      <c r="C116" s="23"/>
      <c r="D116" s="23"/>
      <c r="E116" s="23"/>
      <c r="F116" s="23"/>
      <c r="G116" s="28"/>
      <c r="H116" s="28"/>
      <c r="I116" s="28"/>
      <c r="J116" s="140"/>
      <c r="K116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53"/>
      <c r="B117" s="53"/>
      <c r="C117" s="53"/>
      <c r="D117" s="53"/>
      <c r="E117" s="53"/>
      <c r="F117" s="53"/>
      <c r="G117" s="54"/>
      <c r="H117" s="54"/>
      <c r="I117" s="54"/>
      <c r="J117" s="54"/>
      <c r="K117" s="158"/>
      <c r="S117" s="8"/>
      <c r="T117" s="9"/>
      <c r="U117" s="9"/>
      <c r="V117" s="9"/>
      <c r="W117" s="9"/>
      <c r="X117" s="19"/>
      <c r="Y117" s="20"/>
    </row>
    <row r="118" spans="1:25" ht="15" thickTop="1" x14ac:dyDescent="0.3">
      <c r="A118" s="2"/>
      <c r="B118" s="2"/>
      <c r="C118" s="2"/>
      <c r="D118" s="2"/>
      <c r="E118" s="2"/>
      <c r="F118" s="2"/>
      <c r="G118" s="3"/>
      <c r="H118" s="3"/>
      <c r="I118" s="3"/>
      <c r="J118" s="3"/>
      <c r="S118" s="8"/>
      <c r="T118" s="9"/>
      <c r="U118" s="9"/>
      <c r="V118" s="9"/>
      <c r="W118" s="9"/>
      <c r="X118" s="19"/>
      <c r="Y118" s="20"/>
    </row>
    <row r="119" spans="1:25" ht="21" x14ac:dyDescent="0.4">
      <c r="F119" s="152" t="s">
        <v>58</v>
      </c>
      <c r="S119" s="8"/>
      <c r="T119" s="9"/>
      <c r="U119" s="9"/>
      <c r="V119" s="9"/>
      <c r="W119" s="9"/>
      <c r="X119" s="19"/>
      <c r="Y119" s="20"/>
    </row>
    <row r="120" spans="1:25" x14ac:dyDescent="0.3">
      <c r="F120" s="153"/>
      <c r="S120" s="8"/>
      <c r="T120" s="9"/>
      <c r="U120" s="9"/>
      <c r="V120" s="9"/>
      <c r="W120" s="9"/>
      <c r="X120" s="19"/>
      <c r="Y120" s="20"/>
    </row>
    <row r="121" spans="1:25" x14ac:dyDescent="0.3">
      <c r="C121" s="154">
        <v>37409</v>
      </c>
      <c r="D121" s="155" t="s">
        <v>24</v>
      </c>
      <c r="E121" s="155" t="s">
        <v>92</v>
      </c>
      <c r="F121" s="155">
        <v>1</v>
      </c>
      <c r="G121" s="161">
        <v>1</v>
      </c>
      <c r="I121" s="110" t="s">
        <v>171</v>
      </c>
      <c r="S121" s="8" t="s">
        <v>24</v>
      </c>
      <c r="T121" s="9" t="s">
        <v>92</v>
      </c>
      <c r="U121" s="9">
        <v>1</v>
      </c>
      <c r="V121" s="9">
        <v>1</v>
      </c>
      <c r="W121" s="9"/>
      <c r="X121" s="19">
        <f t="shared" ref="X121:X126" si="16">(IF(U121&gt;V121,3,IF(U121=V121,1,2)))</f>
        <v>1</v>
      </c>
      <c r="Y121" s="20">
        <f t="shared" ref="Y121:Y126" si="17">(IF(V121&gt;U121,3,IF(U121=V121,1,2)))</f>
        <v>1</v>
      </c>
    </row>
    <row r="122" spans="1:25" ht="15" thickBot="1" x14ac:dyDescent="0.35">
      <c r="C122" s="21"/>
      <c r="D122" s="89"/>
      <c r="E122" s="89"/>
      <c r="F122" s="89" t="s">
        <v>19</v>
      </c>
      <c r="G122" s="90" t="s">
        <v>15</v>
      </c>
      <c r="H122" s="28"/>
      <c r="I122" s="28"/>
      <c r="S122" s="8" t="s">
        <v>7</v>
      </c>
      <c r="T122" s="9" t="s">
        <v>115</v>
      </c>
      <c r="U122" s="9">
        <v>1</v>
      </c>
      <c r="V122" s="9">
        <v>0</v>
      </c>
      <c r="W122" s="9"/>
      <c r="X122" s="19">
        <f t="shared" si="16"/>
        <v>3</v>
      </c>
      <c r="Y122" s="20">
        <f t="shared" si="17"/>
        <v>2</v>
      </c>
    </row>
    <row r="123" spans="1:25" s="35" customFormat="1" x14ac:dyDescent="0.3">
      <c r="A123" s="47"/>
      <c r="B123" s="47"/>
      <c r="C123" s="154">
        <v>37409</v>
      </c>
      <c r="D123" s="155" t="s">
        <v>7</v>
      </c>
      <c r="E123" s="155" t="s">
        <v>115</v>
      </c>
      <c r="F123" s="155">
        <v>1</v>
      </c>
      <c r="G123" s="161">
        <v>0</v>
      </c>
      <c r="H123" s="110"/>
      <c r="I123" s="110" t="s">
        <v>170</v>
      </c>
      <c r="J123" s="110"/>
      <c r="K123"/>
      <c r="S123" s="8" t="s">
        <v>92</v>
      </c>
      <c r="T123" s="9" t="s">
        <v>115</v>
      </c>
      <c r="U123" s="9">
        <v>2</v>
      </c>
      <c r="V123" s="9">
        <v>1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47"/>
      <c r="B124" s="47"/>
      <c r="C124" s="21"/>
      <c r="D124" s="89"/>
      <c r="E124" s="89"/>
      <c r="F124" s="89" t="s">
        <v>8</v>
      </c>
      <c r="G124" s="90" t="s">
        <v>15</v>
      </c>
      <c r="H124" s="28"/>
      <c r="I124" s="28"/>
      <c r="J124" s="110"/>
      <c r="K124"/>
      <c r="S124" s="8" t="s">
        <v>7</v>
      </c>
      <c r="T124" s="9" t="s">
        <v>24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47"/>
      <c r="B125" s="47"/>
      <c r="C125" s="16">
        <v>37414</v>
      </c>
      <c r="D125" s="83" t="s">
        <v>92</v>
      </c>
      <c r="E125" s="83" t="s">
        <v>115</v>
      </c>
      <c r="F125" s="83">
        <v>2</v>
      </c>
      <c r="G125" s="84">
        <v>1</v>
      </c>
      <c r="H125" s="12"/>
      <c r="I125" s="12" t="s">
        <v>174</v>
      </c>
      <c r="J125" s="110"/>
      <c r="K125"/>
      <c r="S125" s="8" t="s">
        <v>92</v>
      </c>
      <c r="T125" s="9" t="s">
        <v>7</v>
      </c>
      <c r="U125" s="9">
        <v>1</v>
      </c>
      <c r="V125" s="9">
        <v>1</v>
      </c>
      <c r="W125" s="9"/>
      <c r="X125" s="19">
        <f t="shared" si="16"/>
        <v>1</v>
      </c>
      <c r="Y125" s="20">
        <f t="shared" si="17"/>
        <v>1</v>
      </c>
    </row>
    <row r="126" spans="1:25" ht="15" thickBot="1" x14ac:dyDescent="0.35">
      <c r="C126" s="21"/>
      <c r="D126" s="89"/>
      <c r="E126" s="89"/>
      <c r="F126" s="89" t="s">
        <v>19</v>
      </c>
      <c r="G126" s="90" t="s">
        <v>9</v>
      </c>
      <c r="H126" s="28"/>
      <c r="I126" s="28"/>
      <c r="S126" s="8" t="s">
        <v>115</v>
      </c>
      <c r="T126" s="9" t="s">
        <v>24</v>
      </c>
      <c r="U126" s="9">
        <v>0</v>
      </c>
      <c r="V126" s="9">
        <v>0</v>
      </c>
      <c r="W126" s="9"/>
      <c r="X126" s="19">
        <f t="shared" si="16"/>
        <v>1</v>
      </c>
      <c r="Y126" s="20">
        <f t="shared" si="17"/>
        <v>1</v>
      </c>
    </row>
    <row r="127" spans="1:25" x14ac:dyDescent="0.3">
      <c r="C127" s="16">
        <v>37414</v>
      </c>
      <c r="D127" s="83" t="s">
        <v>7</v>
      </c>
      <c r="E127" s="83" t="s">
        <v>24</v>
      </c>
      <c r="F127" s="83">
        <v>0</v>
      </c>
      <c r="G127" s="84">
        <v>1</v>
      </c>
      <c r="H127" s="12"/>
      <c r="I127" s="12" t="s">
        <v>169</v>
      </c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C128" s="21"/>
      <c r="D128" s="89"/>
      <c r="E128" s="89"/>
      <c r="F128" s="89" t="s">
        <v>8</v>
      </c>
      <c r="G128" s="90" t="s">
        <v>9</v>
      </c>
      <c r="H128" s="28"/>
      <c r="I128" s="28"/>
      <c r="S128" s="8"/>
      <c r="T128" s="9"/>
      <c r="U128" s="9"/>
      <c r="V128" s="9"/>
      <c r="W128" s="9"/>
      <c r="X128" s="19"/>
      <c r="Y128" s="20"/>
    </row>
    <row r="129" spans="1:25" x14ac:dyDescent="0.3">
      <c r="C129" s="154">
        <v>37419</v>
      </c>
      <c r="D129" s="155" t="s">
        <v>92</v>
      </c>
      <c r="E129" s="155" t="s">
        <v>7</v>
      </c>
      <c r="F129" s="155">
        <v>1</v>
      </c>
      <c r="G129" s="161">
        <v>1</v>
      </c>
      <c r="I129" s="110" t="s">
        <v>175</v>
      </c>
      <c r="S129" s="8"/>
      <c r="T129" s="9"/>
      <c r="U129" s="9"/>
      <c r="V129" s="9"/>
      <c r="W129" s="9"/>
      <c r="X129" s="19"/>
      <c r="Y129" s="20"/>
    </row>
    <row r="130" spans="1:25" ht="15" thickBot="1" x14ac:dyDescent="0.35">
      <c r="C130" s="21"/>
      <c r="D130" s="89"/>
      <c r="E130" s="89"/>
      <c r="F130" s="89" t="s">
        <v>8</v>
      </c>
      <c r="G130" s="90" t="s">
        <v>15</v>
      </c>
      <c r="H130" s="28"/>
      <c r="I130" s="28"/>
      <c r="S130" s="8"/>
      <c r="T130" s="9"/>
      <c r="U130" s="9"/>
      <c r="V130" s="9"/>
      <c r="W130" s="9"/>
      <c r="X130" s="19"/>
      <c r="Y130" s="20"/>
    </row>
    <row r="131" spans="1:25" x14ac:dyDescent="0.3">
      <c r="B131" s="99"/>
      <c r="C131" s="154">
        <v>37419</v>
      </c>
      <c r="D131" s="159" t="s">
        <v>115</v>
      </c>
      <c r="E131" s="159" t="s">
        <v>24</v>
      </c>
      <c r="F131" s="155">
        <v>0</v>
      </c>
      <c r="G131" s="161">
        <v>0</v>
      </c>
      <c r="I131" s="110" t="s">
        <v>176</v>
      </c>
      <c r="S131" s="8"/>
      <c r="T131" s="9"/>
      <c r="U131" s="9"/>
      <c r="V131" s="9"/>
      <c r="W131" s="9"/>
      <c r="X131" s="19"/>
      <c r="Y131" s="20"/>
    </row>
    <row r="132" spans="1:25" x14ac:dyDescent="0.3">
      <c r="A132" s="154"/>
      <c r="B132" s="99"/>
      <c r="C132" s="99"/>
      <c r="D132" s="99"/>
      <c r="E132" s="99"/>
      <c r="S132" s="120"/>
      <c r="T132" s="57"/>
      <c r="U132" s="57"/>
      <c r="V132" s="57"/>
      <c r="W132" s="57"/>
      <c r="X132" s="57"/>
      <c r="Y132" s="58"/>
    </row>
    <row r="133" spans="1:25" s="35" customFormat="1" ht="15" thickBot="1" x14ac:dyDescent="0.35">
      <c r="A133" s="47"/>
      <c r="B133" s="47" t="s">
        <v>62</v>
      </c>
      <c r="C133" s="47" t="s">
        <v>27</v>
      </c>
      <c r="D133" s="47" t="s">
        <v>28</v>
      </c>
      <c r="E133" s="47" t="s">
        <v>29</v>
      </c>
      <c r="F133" s="47" t="s">
        <v>30</v>
      </c>
      <c r="G133" s="110" t="s">
        <v>31</v>
      </c>
      <c r="H133" s="110" t="s">
        <v>32</v>
      </c>
      <c r="I133" s="110" t="s">
        <v>118</v>
      </c>
      <c r="J133" s="110"/>
      <c r="K133"/>
      <c r="S133" s="8"/>
      <c r="T133" s="9"/>
      <c r="U133" s="9"/>
      <c r="V133" s="9"/>
      <c r="W133" s="9"/>
      <c r="X133" s="19"/>
      <c r="Y133" s="20"/>
    </row>
    <row r="134" spans="1:25" s="35" customFormat="1" x14ac:dyDescent="0.3">
      <c r="A134" s="47" t="s">
        <v>90</v>
      </c>
      <c r="B134" s="30" t="s">
        <v>24</v>
      </c>
      <c r="C134" s="109">
        <v>3</v>
      </c>
      <c r="D134" s="109">
        <v>2</v>
      </c>
      <c r="E134" s="109">
        <v>0</v>
      </c>
      <c r="F134" s="109">
        <v>1</v>
      </c>
      <c r="G134" s="33">
        <v>4</v>
      </c>
      <c r="H134" s="33">
        <v>3</v>
      </c>
      <c r="I134" s="33">
        <v>6</v>
      </c>
      <c r="J134" s="139"/>
      <c r="K134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47"/>
      <c r="B135" s="36" t="s">
        <v>92</v>
      </c>
      <c r="C135" s="17"/>
      <c r="D135" s="17"/>
      <c r="E135" s="17"/>
      <c r="F135" s="17"/>
      <c r="G135" s="38"/>
      <c r="H135" s="38"/>
      <c r="I135" s="38"/>
      <c r="J135" s="139"/>
      <c r="K135"/>
      <c r="S135" s="8"/>
      <c r="T135" s="9"/>
      <c r="U135" s="9"/>
      <c r="V135" s="9"/>
      <c r="W135" s="9"/>
      <c r="X135" s="19"/>
      <c r="Y135" s="20"/>
    </row>
    <row r="136" spans="1:25" x14ac:dyDescent="0.3">
      <c r="B136" s="51" t="s">
        <v>7</v>
      </c>
      <c r="C136" s="9"/>
      <c r="D136" s="9"/>
      <c r="E136" s="9"/>
      <c r="F136" s="9"/>
      <c r="G136" s="12"/>
      <c r="H136" s="12"/>
      <c r="I136" s="12"/>
      <c r="J136" s="140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B137" s="50" t="s">
        <v>115</v>
      </c>
      <c r="C137" s="23"/>
      <c r="D137" s="23"/>
      <c r="E137" s="23"/>
      <c r="F137" s="23"/>
      <c r="G137" s="28"/>
      <c r="H137" s="28"/>
      <c r="I137" s="28"/>
      <c r="J137" s="140"/>
      <c r="S137" s="8"/>
      <c r="T137" s="9"/>
      <c r="U137" s="9"/>
      <c r="V137" s="9"/>
      <c r="W137" s="9"/>
      <c r="X137" s="19"/>
      <c r="Y137" s="20"/>
    </row>
    <row r="138" spans="1:25" s="35" customFormat="1" ht="15" thickBot="1" x14ac:dyDescent="0.35">
      <c r="A138" s="53"/>
      <c r="B138" s="53"/>
      <c r="C138" s="53"/>
      <c r="D138" s="53"/>
      <c r="E138" s="53"/>
      <c r="F138" s="53"/>
      <c r="G138" s="54"/>
      <c r="H138" s="54"/>
      <c r="I138" s="54"/>
      <c r="J138" s="54"/>
      <c r="K138" s="158"/>
      <c r="S138" s="120"/>
      <c r="T138" s="57"/>
      <c r="U138" s="57"/>
      <c r="V138" s="57"/>
      <c r="W138" s="57"/>
      <c r="X138" s="57"/>
      <c r="Y138" s="58"/>
    </row>
    <row r="139" spans="1:25" s="35" customFormat="1" ht="15" thickTop="1" x14ac:dyDescent="0.3">
      <c r="A139" s="9"/>
      <c r="B139" s="9"/>
      <c r="C139" s="9"/>
      <c r="D139" s="9"/>
      <c r="E139" s="9"/>
      <c r="F139" s="9"/>
      <c r="G139" s="12"/>
      <c r="H139" s="12"/>
      <c r="I139" s="12"/>
      <c r="J139" s="12"/>
      <c r="K139" s="55"/>
      <c r="S139" s="120"/>
      <c r="T139" s="57"/>
      <c r="U139" s="57"/>
      <c r="V139" s="57"/>
      <c r="W139" s="57"/>
      <c r="X139" s="57"/>
      <c r="Y139" s="58"/>
    </row>
    <row r="140" spans="1:25" ht="21" x14ac:dyDescent="0.4">
      <c r="F140" s="152" t="s">
        <v>144</v>
      </c>
      <c r="S140" s="8"/>
      <c r="T140" s="9"/>
      <c r="U140" s="9"/>
      <c r="V140" s="9"/>
      <c r="W140" s="9"/>
      <c r="X140" s="19"/>
      <c r="Y140" s="20"/>
    </row>
    <row r="141" spans="1:25" x14ac:dyDescent="0.3">
      <c r="F141" s="153"/>
      <c r="S141" s="8"/>
      <c r="T141" s="9"/>
      <c r="U141" s="9"/>
      <c r="V141" s="9"/>
      <c r="W141" s="9"/>
      <c r="X141" s="19"/>
      <c r="Y141" s="20"/>
    </row>
    <row r="142" spans="1:25" x14ac:dyDescent="0.3">
      <c r="C142" s="154">
        <v>37410</v>
      </c>
      <c r="D142" s="155" t="s">
        <v>137</v>
      </c>
      <c r="E142" s="155" t="s">
        <v>18</v>
      </c>
      <c r="F142" s="155">
        <v>0</v>
      </c>
      <c r="G142" s="161">
        <v>1</v>
      </c>
      <c r="I142" s="110" t="s">
        <v>168</v>
      </c>
      <c r="S142" s="8" t="s">
        <v>137</v>
      </c>
      <c r="T142" s="9" t="s">
        <v>18</v>
      </c>
      <c r="U142" s="9">
        <v>0</v>
      </c>
      <c r="V142" s="9">
        <v>1</v>
      </c>
      <c r="W142" s="9"/>
      <c r="X142" s="19">
        <f t="shared" ref="X142:X147" si="18">(IF(U142&gt;V142,3,IF(U142=V142,1,2)))</f>
        <v>2</v>
      </c>
      <c r="Y142" s="20">
        <f t="shared" ref="Y142:Y147" si="19">(IF(V142&gt;U142,3,IF(U142=V142,1,2)))</f>
        <v>3</v>
      </c>
    </row>
    <row r="143" spans="1:25" ht="15" thickBot="1" x14ac:dyDescent="0.35">
      <c r="C143" s="21"/>
      <c r="D143" s="89"/>
      <c r="E143" s="89"/>
      <c r="F143" s="89" t="s">
        <v>8</v>
      </c>
      <c r="G143" s="90" t="s">
        <v>15</v>
      </c>
      <c r="H143" s="28"/>
      <c r="I143" s="28"/>
      <c r="S143" s="8" t="s">
        <v>5</v>
      </c>
      <c r="T143" s="9" t="s">
        <v>165</v>
      </c>
      <c r="U143" s="9">
        <v>2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s="35" customFormat="1" x14ac:dyDescent="0.3">
      <c r="A144" s="47"/>
      <c r="B144" s="47"/>
      <c r="C144" s="154">
        <v>37410</v>
      </c>
      <c r="D144" s="155" t="s">
        <v>5</v>
      </c>
      <c r="E144" s="155" t="s">
        <v>165</v>
      </c>
      <c r="F144" s="155">
        <v>2</v>
      </c>
      <c r="G144" s="161">
        <v>0</v>
      </c>
      <c r="H144" s="110"/>
      <c r="I144" s="110" t="s">
        <v>169</v>
      </c>
      <c r="J144" s="110"/>
      <c r="K144"/>
      <c r="S144" s="8" t="s">
        <v>5</v>
      </c>
      <c r="T144" s="9" t="s">
        <v>137</v>
      </c>
      <c r="U144" s="9">
        <v>1</v>
      </c>
      <c r="V144" s="9">
        <v>2</v>
      </c>
      <c r="W144" s="9"/>
      <c r="X144" s="19">
        <f t="shared" si="18"/>
        <v>2</v>
      </c>
      <c r="Y144" s="20">
        <f t="shared" si="19"/>
        <v>3</v>
      </c>
    </row>
    <row r="145" spans="1:25" s="35" customFormat="1" ht="15" thickBot="1" x14ac:dyDescent="0.35">
      <c r="A145" s="47"/>
      <c r="B145" s="47"/>
      <c r="C145" s="21"/>
      <c r="D145" s="89"/>
      <c r="E145" s="89"/>
      <c r="F145" s="89" t="s">
        <v>14</v>
      </c>
      <c r="G145" s="90" t="s">
        <v>15</v>
      </c>
      <c r="H145" s="28"/>
      <c r="I145" s="28"/>
      <c r="J145" s="110"/>
      <c r="K145"/>
      <c r="S145" s="8" t="s">
        <v>18</v>
      </c>
      <c r="T145" s="9" t="s">
        <v>165</v>
      </c>
      <c r="U145" s="9">
        <v>2</v>
      </c>
      <c r="V145" s="9">
        <v>1</v>
      </c>
      <c r="W145" s="9"/>
      <c r="X145" s="19">
        <f t="shared" si="18"/>
        <v>3</v>
      </c>
      <c r="Y145" s="20">
        <f t="shared" si="19"/>
        <v>2</v>
      </c>
    </row>
    <row r="146" spans="1:25" s="35" customFormat="1" x14ac:dyDescent="0.3">
      <c r="A146" s="47"/>
      <c r="B146" s="47"/>
      <c r="C146" s="16">
        <v>37415</v>
      </c>
      <c r="D146" s="83" t="s">
        <v>5</v>
      </c>
      <c r="E146" s="83" t="s">
        <v>137</v>
      </c>
      <c r="F146" s="83">
        <v>1</v>
      </c>
      <c r="G146" s="84">
        <v>2</v>
      </c>
      <c r="H146" s="12"/>
      <c r="I146" s="12" t="s">
        <v>170</v>
      </c>
      <c r="J146" s="110"/>
      <c r="K146"/>
      <c r="S146" s="8" t="s">
        <v>18</v>
      </c>
      <c r="T146" s="9" t="s">
        <v>5</v>
      </c>
      <c r="U146" s="9">
        <v>1</v>
      </c>
      <c r="V146" s="9">
        <v>1</v>
      </c>
      <c r="W146" s="9"/>
      <c r="X146" s="19">
        <f t="shared" si="18"/>
        <v>1</v>
      </c>
      <c r="Y146" s="20">
        <f t="shared" si="19"/>
        <v>1</v>
      </c>
    </row>
    <row r="147" spans="1:25" ht="15" thickBot="1" x14ac:dyDescent="0.35">
      <c r="C147" s="21"/>
      <c r="D147" s="89"/>
      <c r="E147" s="89"/>
      <c r="F147" s="89" t="s">
        <v>8</v>
      </c>
      <c r="G147" s="90" t="s">
        <v>15</v>
      </c>
      <c r="H147" s="28"/>
      <c r="I147" s="28"/>
      <c r="S147" s="8" t="s">
        <v>165</v>
      </c>
      <c r="T147" s="9" t="s">
        <v>137</v>
      </c>
      <c r="U147" s="9">
        <v>1</v>
      </c>
      <c r="V147" s="9">
        <v>0</v>
      </c>
      <c r="W147" s="9"/>
      <c r="X147" s="19">
        <f t="shared" si="18"/>
        <v>3</v>
      </c>
      <c r="Y147" s="20">
        <f t="shared" si="19"/>
        <v>2</v>
      </c>
    </row>
    <row r="148" spans="1:25" x14ac:dyDescent="0.3">
      <c r="C148" s="16">
        <v>37416</v>
      </c>
      <c r="D148" s="83" t="s">
        <v>18</v>
      </c>
      <c r="E148" s="83" t="s">
        <v>165</v>
      </c>
      <c r="F148" s="83">
        <v>2</v>
      </c>
      <c r="G148" s="84">
        <v>1</v>
      </c>
      <c r="H148" s="12"/>
      <c r="I148" s="12" t="s">
        <v>175</v>
      </c>
      <c r="S148" s="8"/>
      <c r="T148" s="9"/>
      <c r="U148" s="9"/>
      <c r="V148" s="9"/>
      <c r="W148" s="9"/>
      <c r="X148" s="19"/>
      <c r="Y148" s="20"/>
    </row>
    <row r="149" spans="1:25" ht="15" thickBot="1" x14ac:dyDescent="0.35">
      <c r="C149" s="21"/>
      <c r="D149" s="89"/>
      <c r="E149" s="89"/>
      <c r="F149" s="89" t="s">
        <v>19</v>
      </c>
      <c r="G149" s="90" t="s">
        <v>9</v>
      </c>
      <c r="H149" s="28"/>
      <c r="I149" s="28"/>
      <c r="S149" s="8"/>
      <c r="T149" s="9"/>
      <c r="U149" s="9"/>
      <c r="V149" s="9"/>
      <c r="W149" s="9"/>
      <c r="X149" s="19"/>
      <c r="Y149" s="20"/>
    </row>
    <row r="150" spans="1:25" x14ac:dyDescent="0.3">
      <c r="C150" s="154">
        <v>37420</v>
      </c>
      <c r="D150" s="155" t="s">
        <v>18</v>
      </c>
      <c r="E150" s="155" t="s">
        <v>5</v>
      </c>
      <c r="F150" s="155">
        <v>1</v>
      </c>
      <c r="G150" s="161">
        <v>1</v>
      </c>
      <c r="I150" s="110" t="s">
        <v>177</v>
      </c>
      <c r="S150" s="8"/>
      <c r="T150" s="9"/>
      <c r="U150" s="9"/>
      <c r="V150" s="9"/>
      <c r="W150" s="9"/>
      <c r="X150" s="19"/>
      <c r="Y150" s="20"/>
    </row>
    <row r="151" spans="1:25" ht="15" thickBot="1" x14ac:dyDescent="0.35">
      <c r="C151" s="21"/>
      <c r="D151" s="89"/>
      <c r="E151" s="89"/>
      <c r="F151" s="89" t="s">
        <v>19</v>
      </c>
      <c r="G151" s="90" t="s">
        <v>15</v>
      </c>
      <c r="H151" s="28"/>
      <c r="I151" s="28"/>
      <c r="S151" s="8"/>
      <c r="T151" s="9"/>
      <c r="U151" s="9"/>
      <c r="V151" s="9"/>
      <c r="W151" s="9"/>
      <c r="X151" s="19"/>
      <c r="Y151" s="20"/>
    </row>
    <row r="152" spans="1:25" x14ac:dyDescent="0.3">
      <c r="B152" s="99"/>
      <c r="C152" s="154">
        <v>37420</v>
      </c>
      <c r="D152" s="159" t="s">
        <v>165</v>
      </c>
      <c r="E152" s="159" t="s">
        <v>137</v>
      </c>
      <c r="F152" s="155">
        <v>1</v>
      </c>
      <c r="G152" s="161">
        <v>0</v>
      </c>
      <c r="I152" s="110" t="s">
        <v>173</v>
      </c>
      <c r="S152" s="8"/>
      <c r="T152" s="9"/>
      <c r="U152" s="9"/>
      <c r="V152" s="9"/>
      <c r="W152" s="9"/>
      <c r="X152" s="19"/>
      <c r="Y152" s="20"/>
    </row>
    <row r="153" spans="1:25" x14ac:dyDescent="0.3">
      <c r="B153" s="99"/>
      <c r="C153" s="154"/>
      <c r="D153" s="159"/>
      <c r="E153" s="159"/>
      <c r="F153" s="155" t="s">
        <v>8</v>
      </c>
      <c r="G153" s="161" t="s">
        <v>15</v>
      </c>
      <c r="S153" s="8"/>
      <c r="T153" s="9"/>
      <c r="U153" s="9"/>
      <c r="V153" s="9"/>
      <c r="W153" s="9"/>
      <c r="X153" s="19"/>
      <c r="Y153" s="20"/>
    </row>
    <row r="154" spans="1:25" x14ac:dyDescent="0.3">
      <c r="A154" s="154"/>
      <c r="B154" s="99"/>
      <c r="C154" s="99"/>
      <c r="D154" s="99"/>
      <c r="E154" s="99"/>
      <c r="S154" s="120"/>
      <c r="T154" s="57"/>
      <c r="U154" s="57"/>
      <c r="V154" s="57"/>
      <c r="W154" s="57"/>
      <c r="X154" s="57"/>
      <c r="Y154" s="58"/>
    </row>
    <row r="155" spans="1:25" s="35" customFormat="1" ht="15" thickBot="1" x14ac:dyDescent="0.35">
      <c r="A155" s="47"/>
      <c r="B155" s="47" t="s">
        <v>62</v>
      </c>
      <c r="C155" s="47" t="s">
        <v>27</v>
      </c>
      <c r="D155" s="47" t="s">
        <v>28</v>
      </c>
      <c r="E155" s="47" t="s">
        <v>29</v>
      </c>
      <c r="F155" s="47" t="s">
        <v>30</v>
      </c>
      <c r="G155" s="110" t="s">
        <v>31</v>
      </c>
      <c r="H155" s="110" t="s">
        <v>32</v>
      </c>
      <c r="I155" s="110" t="s">
        <v>118</v>
      </c>
      <c r="J155" s="110"/>
      <c r="K155"/>
      <c r="S155" s="8"/>
      <c r="T155" s="9"/>
      <c r="U155" s="9"/>
      <c r="V155" s="9"/>
      <c r="W155" s="9"/>
      <c r="X155" s="19"/>
      <c r="Y155" s="20"/>
    </row>
    <row r="156" spans="1:25" s="35" customFormat="1" x14ac:dyDescent="0.3">
      <c r="A156" s="47" t="s">
        <v>90</v>
      </c>
      <c r="B156" s="30" t="s">
        <v>137</v>
      </c>
      <c r="C156" s="109">
        <v>3</v>
      </c>
      <c r="D156" s="109">
        <v>2</v>
      </c>
      <c r="E156" s="109">
        <v>0</v>
      </c>
      <c r="F156" s="109">
        <v>1</v>
      </c>
      <c r="G156" s="33">
        <v>4</v>
      </c>
      <c r="H156" s="33">
        <v>3</v>
      </c>
      <c r="I156" s="33">
        <v>6</v>
      </c>
      <c r="J156" s="139"/>
      <c r="K156"/>
      <c r="S156" s="8"/>
      <c r="T156" s="9"/>
      <c r="U156" s="9"/>
      <c r="V156" s="9"/>
      <c r="W156" s="9"/>
      <c r="X156" s="19"/>
      <c r="Y156" s="20"/>
    </row>
    <row r="157" spans="1:25" s="35" customFormat="1" x14ac:dyDescent="0.3">
      <c r="A157" s="47"/>
      <c r="B157" s="36" t="s">
        <v>18</v>
      </c>
      <c r="C157" s="17"/>
      <c r="D157" s="17"/>
      <c r="E157" s="17"/>
      <c r="F157" s="17"/>
      <c r="G157" s="38"/>
      <c r="H157" s="38"/>
      <c r="I157" s="38"/>
      <c r="J157" s="139"/>
      <c r="K157"/>
      <c r="S157" s="8"/>
      <c r="T157" s="9"/>
      <c r="U157" s="9"/>
      <c r="V157" s="9"/>
      <c r="W157" s="9"/>
      <c r="X157" s="19"/>
      <c r="Y157" s="20"/>
    </row>
    <row r="158" spans="1:25" x14ac:dyDescent="0.3">
      <c r="B158" s="51" t="s">
        <v>5</v>
      </c>
      <c r="C158" s="9"/>
      <c r="D158" s="9"/>
      <c r="E158" s="9"/>
      <c r="F158" s="9"/>
      <c r="G158" s="12"/>
      <c r="H158" s="12"/>
      <c r="I158" s="12"/>
      <c r="J158" s="140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B159" s="50" t="s">
        <v>165</v>
      </c>
      <c r="C159" s="23"/>
      <c r="D159" s="23"/>
      <c r="E159" s="23"/>
      <c r="F159" s="23"/>
      <c r="G159" s="28"/>
      <c r="H159" s="28"/>
      <c r="I159" s="28"/>
      <c r="J159" s="140"/>
      <c r="S159" s="8"/>
      <c r="T159" s="9"/>
      <c r="U159" s="9"/>
      <c r="V159" s="9"/>
      <c r="W159" s="9"/>
      <c r="X159" s="19"/>
      <c r="Y159" s="20"/>
    </row>
    <row r="160" spans="1:25" s="35" customFormat="1" ht="15" thickBot="1" x14ac:dyDescent="0.35">
      <c r="A160" s="53"/>
      <c r="B160" s="53"/>
      <c r="C160" s="53"/>
      <c r="D160" s="53"/>
      <c r="E160" s="53"/>
      <c r="F160" s="53"/>
      <c r="G160" s="54"/>
      <c r="H160" s="54"/>
      <c r="I160" s="54"/>
      <c r="J160" s="54"/>
      <c r="K160" s="158"/>
      <c r="S160" s="120"/>
      <c r="T160" s="57"/>
      <c r="U160" s="57"/>
      <c r="V160" s="57"/>
      <c r="W160" s="57"/>
      <c r="X160" s="57"/>
      <c r="Y160" s="58"/>
    </row>
    <row r="161" spans="1:25" s="35" customFormat="1" ht="15" thickTop="1" x14ac:dyDescent="0.3">
      <c r="A161" s="9"/>
      <c r="B161" s="9"/>
      <c r="C161" s="9"/>
      <c r="D161" s="9"/>
      <c r="E161" s="9"/>
      <c r="F161" s="9"/>
      <c r="G161" s="12"/>
      <c r="H161" s="12"/>
      <c r="I161" s="12"/>
      <c r="J161" s="12"/>
      <c r="K161" s="55"/>
      <c r="S161" s="120"/>
      <c r="T161" s="57"/>
      <c r="U161" s="57"/>
      <c r="V161" s="57"/>
      <c r="W161" s="57"/>
      <c r="X161" s="57"/>
      <c r="Y161" s="58"/>
    </row>
    <row r="162" spans="1:25" ht="21" x14ac:dyDescent="0.4">
      <c r="F162" s="152" t="s">
        <v>145</v>
      </c>
      <c r="S162" s="8"/>
      <c r="T162" s="9"/>
      <c r="U162" s="9"/>
      <c r="V162" s="9"/>
      <c r="W162" s="9"/>
      <c r="X162" s="19"/>
      <c r="Y162" s="20"/>
    </row>
    <row r="163" spans="1:25" x14ac:dyDescent="0.3">
      <c r="F163" s="153"/>
      <c r="S163" s="8"/>
      <c r="T163" s="9"/>
      <c r="U163" s="9"/>
      <c r="V163" s="9"/>
      <c r="W163" s="9"/>
      <c r="X163" s="19"/>
      <c r="Y163" s="20"/>
    </row>
    <row r="164" spans="1:25" x14ac:dyDescent="0.3">
      <c r="C164" s="154">
        <v>37411</v>
      </c>
      <c r="D164" s="155" t="s">
        <v>143</v>
      </c>
      <c r="E164" s="155" t="s">
        <v>20</v>
      </c>
      <c r="F164" s="155">
        <v>2</v>
      </c>
      <c r="G164" s="161">
        <v>2</v>
      </c>
      <c r="I164" s="110" t="s">
        <v>171</v>
      </c>
      <c r="S164" s="8" t="s">
        <v>143</v>
      </c>
      <c r="T164" s="9" t="s">
        <v>20</v>
      </c>
      <c r="U164" s="9">
        <v>2</v>
      </c>
      <c r="V164" s="9">
        <v>2</v>
      </c>
      <c r="W164" s="9"/>
      <c r="X164" s="19">
        <f t="shared" ref="X164:X169" si="20">(IF(U164&gt;V164,3,IF(U164=V164,1,2)))</f>
        <v>1</v>
      </c>
      <c r="Y164" s="20">
        <f t="shared" ref="Y164:Y169" si="21">(IF(V164&gt;U164,3,IF(U164=V164,1,2)))</f>
        <v>1</v>
      </c>
    </row>
    <row r="165" spans="1:25" ht="15" thickBot="1" x14ac:dyDescent="0.35">
      <c r="C165" s="21"/>
      <c r="D165" s="89"/>
      <c r="E165" s="89"/>
      <c r="F165" s="89" t="s">
        <v>8</v>
      </c>
      <c r="G165" s="90" t="s">
        <v>15</v>
      </c>
      <c r="H165" s="28"/>
      <c r="I165" s="28"/>
      <c r="S165" s="8" t="s">
        <v>120</v>
      </c>
      <c r="T165" s="9" t="s">
        <v>142</v>
      </c>
      <c r="U165" s="9">
        <v>2</v>
      </c>
      <c r="V165" s="9">
        <v>0</v>
      </c>
      <c r="W165" s="9"/>
      <c r="X165" s="19">
        <f t="shared" si="20"/>
        <v>3</v>
      </c>
      <c r="Y165" s="20">
        <f t="shared" si="21"/>
        <v>2</v>
      </c>
    </row>
    <row r="166" spans="1:25" s="35" customFormat="1" x14ac:dyDescent="0.3">
      <c r="A166" s="47"/>
      <c r="B166" s="47"/>
      <c r="C166" s="154">
        <v>37412</v>
      </c>
      <c r="D166" s="155" t="s">
        <v>120</v>
      </c>
      <c r="E166" s="155" t="s">
        <v>142</v>
      </c>
      <c r="F166" s="155">
        <v>2</v>
      </c>
      <c r="G166" s="161">
        <v>0</v>
      </c>
      <c r="H166" s="110"/>
      <c r="I166" s="110" t="s">
        <v>174</v>
      </c>
      <c r="J166" s="110"/>
      <c r="K166"/>
      <c r="S166" s="8" t="s">
        <v>143</v>
      </c>
      <c r="T166" s="9" t="s">
        <v>120</v>
      </c>
      <c r="U166" s="9">
        <v>1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s="35" customFormat="1" ht="15" thickBot="1" x14ac:dyDescent="0.35">
      <c r="A167" s="47"/>
      <c r="B167" s="47"/>
      <c r="C167" s="21"/>
      <c r="D167" s="89"/>
      <c r="E167" s="89"/>
      <c r="F167" s="89" t="s">
        <v>8</v>
      </c>
      <c r="G167" s="90" t="s">
        <v>15</v>
      </c>
      <c r="H167" s="28"/>
      <c r="I167" s="28"/>
      <c r="J167" s="110"/>
      <c r="K167"/>
      <c r="S167" s="8" t="s">
        <v>142</v>
      </c>
      <c r="T167" s="9" t="s">
        <v>20</v>
      </c>
      <c r="U167" s="9">
        <v>1</v>
      </c>
      <c r="V167" s="9">
        <v>1</v>
      </c>
      <c r="W167" s="9"/>
      <c r="X167" s="19">
        <f t="shared" si="20"/>
        <v>1</v>
      </c>
      <c r="Y167" s="20">
        <f t="shared" si="21"/>
        <v>1</v>
      </c>
    </row>
    <row r="168" spans="1:25" s="35" customFormat="1" x14ac:dyDescent="0.3">
      <c r="A168" s="47"/>
      <c r="B168" s="47"/>
      <c r="C168" s="16">
        <v>37416</v>
      </c>
      <c r="D168" s="83" t="s">
        <v>143</v>
      </c>
      <c r="E168" s="83" t="s">
        <v>120</v>
      </c>
      <c r="F168" s="83">
        <v>1</v>
      </c>
      <c r="G168" s="84">
        <v>0</v>
      </c>
      <c r="H168" s="12"/>
      <c r="I168" s="12" t="s">
        <v>173</v>
      </c>
      <c r="J168" s="110"/>
      <c r="K168"/>
      <c r="S168" s="8" t="s">
        <v>142</v>
      </c>
      <c r="T168" s="9" t="s">
        <v>143</v>
      </c>
      <c r="U168" s="9">
        <v>0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ht="15" thickBot="1" x14ac:dyDescent="0.35">
      <c r="C169" s="21"/>
      <c r="D169" s="89"/>
      <c r="E169" s="89"/>
      <c r="F169" s="89" t="s">
        <v>8</v>
      </c>
      <c r="G169" s="90" t="s">
        <v>15</v>
      </c>
      <c r="H169" s="28"/>
      <c r="I169" s="28"/>
      <c r="S169" s="8" t="s">
        <v>20</v>
      </c>
      <c r="T169" s="9" t="s">
        <v>120</v>
      </c>
      <c r="U169" s="9">
        <v>3</v>
      </c>
      <c r="V169" s="9">
        <v>2</v>
      </c>
      <c r="W169" s="9"/>
      <c r="X169" s="19">
        <f t="shared" si="20"/>
        <v>3</v>
      </c>
      <c r="Y169" s="20">
        <f t="shared" si="21"/>
        <v>2</v>
      </c>
    </row>
    <row r="170" spans="1:25" x14ac:dyDescent="0.3">
      <c r="C170" s="16">
        <v>37417</v>
      </c>
      <c r="D170" s="83" t="s">
        <v>142</v>
      </c>
      <c r="E170" s="83" t="s">
        <v>20</v>
      </c>
      <c r="F170" s="83">
        <v>1</v>
      </c>
      <c r="G170" s="84">
        <v>1</v>
      </c>
      <c r="H170" s="12"/>
      <c r="I170" s="12" t="s">
        <v>177</v>
      </c>
      <c r="S170" s="8"/>
      <c r="T170" s="9"/>
      <c r="U170" s="9"/>
      <c r="V170" s="9"/>
      <c r="W170" s="9"/>
      <c r="X170" s="19"/>
      <c r="Y170" s="20"/>
    </row>
    <row r="171" spans="1:25" ht="15" thickBot="1" x14ac:dyDescent="0.35">
      <c r="C171" s="21"/>
      <c r="D171" s="89"/>
      <c r="E171" s="89"/>
      <c r="F171" s="89" t="s">
        <v>19</v>
      </c>
      <c r="G171" s="90" t="s">
        <v>9</v>
      </c>
      <c r="H171" s="28"/>
      <c r="I171" s="28"/>
      <c r="S171" s="8"/>
      <c r="T171" s="9"/>
      <c r="U171" s="9"/>
      <c r="V171" s="9"/>
      <c r="W171" s="9"/>
      <c r="X171" s="19"/>
      <c r="Y171" s="20"/>
    </row>
    <row r="172" spans="1:25" x14ac:dyDescent="0.3">
      <c r="C172" s="154">
        <v>37421</v>
      </c>
      <c r="D172" s="155" t="s">
        <v>142</v>
      </c>
      <c r="E172" s="155" t="s">
        <v>143</v>
      </c>
      <c r="F172" s="155">
        <v>0</v>
      </c>
      <c r="G172" s="161">
        <v>2</v>
      </c>
      <c r="I172" s="110" t="s">
        <v>176</v>
      </c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C173" s="21"/>
      <c r="D173" s="89"/>
      <c r="E173" s="89"/>
      <c r="F173" s="89" t="s">
        <v>8</v>
      </c>
      <c r="G173" s="90" t="s">
        <v>15</v>
      </c>
      <c r="H173" s="28"/>
      <c r="I173" s="28"/>
      <c r="S173" s="8"/>
      <c r="T173" s="9"/>
      <c r="U173" s="9"/>
      <c r="V173" s="9"/>
      <c r="W173" s="9"/>
      <c r="X173" s="19"/>
      <c r="Y173" s="20"/>
    </row>
    <row r="174" spans="1:25" x14ac:dyDescent="0.3">
      <c r="B174" s="99"/>
      <c r="C174" s="154">
        <v>37421</v>
      </c>
      <c r="D174" s="159" t="s">
        <v>20</v>
      </c>
      <c r="E174" s="159" t="s">
        <v>120</v>
      </c>
      <c r="F174" s="155">
        <v>3</v>
      </c>
      <c r="G174" s="161">
        <v>2</v>
      </c>
      <c r="I174" s="110" t="s">
        <v>172</v>
      </c>
      <c r="S174" s="8"/>
      <c r="T174" s="9"/>
      <c r="U174" s="9"/>
      <c r="V174" s="9"/>
      <c r="W174" s="9"/>
      <c r="X174" s="19"/>
      <c r="Y174" s="20"/>
    </row>
    <row r="175" spans="1:25" x14ac:dyDescent="0.3">
      <c r="B175" s="99"/>
      <c r="C175" s="154"/>
      <c r="D175" s="159"/>
      <c r="E175" s="159"/>
      <c r="F175" s="155" t="s">
        <v>19</v>
      </c>
      <c r="G175" s="161" t="s">
        <v>15</v>
      </c>
      <c r="S175" s="8"/>
      <c r="T175" s="9"/>
      <c r="U175" s="9"/>
      <c r="V175" s="9"/>
      <c r="W175" s="9"/>
      <c r="X175" s="19"/>
      <c r="Y175" s="20"/>
    </row>
    <row r="176" spans="1:25" x14ac:dyDescent="0.3">
      <c r="A176" s="154"/>
      <c r="B176" s="99"/>
      <c r="C176" s="99"/>
      <c r="D176" s="99"/>
      <c r="E176" s="99"/>
      <c r="S176" s="120"/>
      <c r="T176" s="57"/>
      <c r="U176" s="57"/>
      <c r="V176" s="57"/>
      <c r="W176" s="57"/>
      <c r="X176" s="57"/>
      <c r="Y176" s="58"/>
    </row>
    <row r="177" spans="1:25" s="35" customFormat="1" ht="15" thickBot="1" x14ac:dyDescent="0.35">
      <c r="A177" s="47"/>
      <c r="B177" s="47" t="s">
        <v>62</v>
      </c>
      <c r="C177" s="47" t="s">
        <v>27</v>
      </c>
      <c r="D177" s="47" t="s">
        <v>28</v>
      </c>
      <c r="E177" s="47" t="s">
        <v>29</v>
      </c>
      <c r="F177" s="47" t="s">
        <v>30</v>
      </c>
      <c r="G177" s="110" t="s">
        <v>31</v>
      </c>
      <c r="H177" s="110" t="s">
        <v>32</v>
      </c>
      <c r="I177" s="110" t="s">
        <v>118</v>
      </c>
      <c r="J177" s="110"/>
      <c r="K177"/>
      <c r="S177" s="8"/>
      <c r="T177" s="9"/>
      <c r="U177" s="9"/>
      <c r="V177" s="9"/>
      <c r="W177" s="9"/>
      <c r="X177" s="19"/>
      <c r="Y177" s="20"/>
    </row>
    <row r="178" spans="1:25" s="35" customFormat="1" x14ac:dyDescent="0.3">
      <c r="A178" s="47" t="s">
        <v>90</v>
      </c>
      <c r="B178" s="30" t="s">
        <v>143</v>
      </c>
      <c r="C178" s="109">
        <v>3</v>
      </c>
      <c r="D178" s="109">
        <v>2</v>
      </c>
      <c r="E178" s="109">
        <v>0</v>
      </c>
      <c r="F178" s="109">
        <v>1</v>
      </c>
      <c r="G178" s="33">
        <v>4</v>
      </c>
      <c r="H178" s="33">
        <v>3</v>
      </c>
      <c r="I178" s="33">
        <v>6</v>
      </c>
      <c r="J178" s="139"/>
      <c r="K178"/>
      <c r="S178" s="8"/>
      <c r="T178" s="9"/>
      <c r="U178" s="9"/>
      <c r="V178" s="9"/>
      <c r="W178" s="9"/>
      <c r="X178" s="19"/>
      <c r="Y178" s="20"/>
    </row>
    <row r="179" spans="1:25" s="35" customFormat="1" x14ac:dyDescent="0.3">
      <c r="A179" s="47"/>
      <c r="B179" s="36" t="s">
        <v>20</v>
      </c>
      <c r="C179" s="17"/>
      <c r="D179" s="17"/>
      <c r="E179" s="17"/>
      <c r="F179" s="17"/>
      <c r="G179" s="38"/>
      <c r="H179" s="38"/>
      <c r="I179" s="38"/>
      <c r="J179" s="139"/>
      <c r="K179"/>
      <c r="S179" s="8"/>
      <c r="T179" s="9"/>
      <c r="U179" s="9"/>
      <c r="V179" s="9"/>
      <c r="W179" s="9"/>
      <c r="X179" s="19"/>
      <c r="Y179" s="20"/>
    </row>
    <row r="180" spans="1:25" x14ac:dyDescent="0.3">
      <c r="B180" s="51" t="s">
        <v>120</v>
      </c>
      <c r="C180" s="9"/>
      <c r="D180" s="9"/>
      <c r="E180" s="9"/>
      <c r="F180" s="9"/>
      <c r="G180" s="12"/>
      <c r="H180" s="12"/>
      <c r="I180" s="12"/>
      <c r="J180" s="140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B181" s="50" t="s">
        <v>142</v>
      </c>
      <c r="C181" s="23"/>
      <c r="D181" s="23"/>
      <c r="E181" s="23"/>
      <c r="F181" s="23"/>
      <c r="G181" s="28"/>
      <c r="H181" s="28"/>
      <c r="I181" s="28"/>
      <c r="J181" s="140"/>
      <c r="S181" s="8"/>
      <c r="T181" s="9"/>
      <c r="U181" s="9"/>
      <c r="V181" s="9"/>
      <c r="W181" s="9"/>
      <c r="X181" s="19"/>
      <c r="Y181" s="20"/>
    </row>
    <row r="182" spans="1:25" s="35" customFormat="1" ht="15" thickBot="1" x14ac:dyDescent="0.35">
      <c r="A182" s="53"/>
      <c r="B182" s="53"/>
      <c r="C182" s="53"/>
      <c r="D182" s="53"/>
      <c r="E182" s="53"/>
      <c r="F182" s="53"/>
      <c r="G182" s="54"/>
      <c r="H182" s="54"/>
      <c r="I182" s="54"/>
      <c r="J182" s="54"/>
      <c r="K182" s="158"/>
      <c r="S182" s="120"/>
      <c r="T182" s="57"/>
      <c r="U182" s="57"/>
      <c r="V182" s="57"/>
      <c r="W182" s="57"/>
      <c r="X182" s="57"/>
      <c r="Y182" s="58"/>
    </row>
    <row r="183" spans="1:25" s="35" customFormat="1" ht="15" thickTop="1" x14ac:dyDescent="0.3">
      <c r="A183" s="9"/>
      <c r="B183" s="9"/>
      <c r="C183" s="9"/>
      <c r="D183" s="9"/>
      <c r="E183" s="9"/>
      <c r="F183" s="9"/>
      <c r="G183" s="12"/>
      <c r="H183" s="12"/>
      <c r="I183" s="12"/>
      <c r="J183" s="12"/>
      <c r="K183"/>
      <c r="L183" s="99"/>
      <c r="S183" s="8"/>
      <c r="T183" s="9"/>
      <c r="U183" s="9"/>
      <c r="V183" s="9"/>
      <c r="W183" s="9"/>
      <c r="X183" s="19"/>
      <c r="Y183" s="20"/>
    </row>
    <row r="184" spans="1:25" s="35" customFormat="1" ht="21" x14ac:dyDescent="0.4">
      <c r="A184" s="9"/>
      <c r="B184" s="9"/>
      <c r="C184" s="9"/>
      <c r="D184" s="9"/>
      <c r="E184" s="9"/>
      <c r="F184" s="14" t="s">
        <v>63</v>
      </c>
      <c r="G184" s="12"/>
      <c r="H184" s="12"/>
      <c r="I184" s="12"/>
      <c r="J184" s="12"/>
      <c r="K184"/>
      <c r="L184" s="99"/>
      <c r="S184" s="46"/>
      <c r="T184" s="17"/>
      <c r="U184" s="17"/>
      <c r="V184" s="17"/>
      <c r="W184" s="17"/>
      <c r="X184" s="19"/>
      <c r="Y184" s="20"/>
    </row>
    <row r="185" spans="1:25" x14ac:dyDescent="0.3">
      <c r="A185" s="9"/>
      <c r="B185" s="9"/>
      <c r="C185" s="83"/>
      <c r="D185" s="83"/>
      <c r="E185" s="83"/>
      <c r="F185" s="83"/>
      <c r="G185" s="84"/>
      <c r="H185" s="84"/>
      <c r="I185" s="84"/>
      <c r="J185" s="12"/>
      <c r="L185" s="47"/>
      <c r="S185" s="8"/>
      <c r="T185" s="9"/>
      <c r="U185" s="9"/>
      <c r="V185" s="9"/>
      <c r="W185" s="9"/>
      <c r="X185" s="19"/>
      <c r="Y185" s="20"/>
    </row>
    <row r="186" spans="1:25" x14ac:dyDescent="0.3">
      <c r="A186" s="9"/>
      <c r="B186" s="9"/>
      <c r="C186" s="81">
        <v>37422</v>
      </c>
      <c r="D186" s="37" t="s">
        <v>13</v>
      </c>
      <c r="E186" s="37" t="s">
        <v>25</v>
      </c>
      <c r="F186" s="37">
        <v>1</v>
      </c>
      <c r="G186" s="74">
        <v>0</v>
      </c>
      <c r="H186" s="84"/>
      <c r="I186" s="84" t="s">
        <v>167</v>
      </c>
      <c r="J186" s="12"/>
      <c r="L186" s="47"/>
      <c r="S186" s="8" t="s">
        <v>13</v>
      </c>
      <c r="T186" s="9" t="s">
        <v>25</v>
      </c>
      <c r="U186" s="9">
        <v>1</v>
      </c>
      <c r="V186" s="9">
        <v>0</v>
      </c>
      <c r="W186" s="9"/>
      <c r="X186" s="19">
        <f t="shared" ref="X186:X193" si="22">(IF(U186&gt;V186,3,IF(U186=V186,1,2)))</f>
        <v>3</v>
      </c>
      <c r="Y186" s="20">
        <f t="shared" ref="Y186:Y193" si="23">(IF(V186&gt;U186,3,IF(U186=V186,1,2)))</f>
        <v>2</v>
      </c>
    </row>
    <row r="187" spans="1:25" ht="15" thickBot="1" x14ac:dyDescent="0.35">
      <c r="A187" s="9"/>
      <c r="B187" s="9"/>
      <c r="C187" s="87"/>
      <c r="D187" s="42"/>
      <c r="E187" s="42"/>
      <c r="F187" s="42" t="s">
        <v>8</v>
      </c>
      <c r="G187" s="79" t="s">
        <v>15</v>
      </c>
      <c r="H187" s="90"/>
      <c r="I187" s="90"/>
      <c r="J187" s="12"/>
      <c r="L187" s="47"/>
      <c r="S187" s="46" t="s">
        <v>21</v>
      </c>
      <c r="T187" s="17" t="s">
        <v>24</v>
      </c>
      <c r="U187" s="17">
        <v>0</v>
      </c>
      <c r="V187" s="17">
        <v>3</v>
      </c>
      <c r="W187" s="17"/>
      <c r="X187" s="19">
        <f t="shared" si="22"/>
        <v>2</v>
      </c>
      <c r="Y187" s="20">
        <f t="shared" si="23"/>
        <v>3</v>
      </c>
    </row>
    <row r="188" spans="1:25" s="35" customFormat="1" x14ac:dyDescent="0.3">
      <c r="A188" s="9"/>
      <c r="B188" s="9"/>
      <c r="C188" s="81">
        <v>37422</v>
      </c>
      <c r="D188" s="37" t="s">
        <v>21</v>
      </c>
      <c r="E188" s="37" t="s">
        <v>24</v>
      </c>
      <c r="F188" s="37">
        <v>0</v>
      </c>
      <c r="G188" s="74">
        <v>3</v>
      </c>
      <c r="H188" s="84"/>
      <c r="I188" s="84" t="s">
        <v>168</v>
      </c>
      <c r="J188" s="12"/>
      <c r="K188"/>
      <c r="L188" s="99"/>
      <c r="S188" s="8" t="s">
        <v>92</v>
      </c>
      <c r="T188" s="9" t="s">
        <v>153</v>
      </c>
      <c r="U188" s="9">
        <v>1</v>
      </c>
      <c r="V188" s="9">
        <v>2</v>
      </c>
      <c r="W188" s="9"/>
      <c r="X188" s="19">
        <f t="shared" si="22"/>
        <v>2</v>
      </c>
      <c r="Y188" s="20">
        <f t="shared" si="23"/>
        <v>3</v>
      </c>
    </row>
    <row r="189" spans="1:25" ht="15" thickBot="1" x14ac:dyDescent="0.35">
      <c r="A189" s="9"/>
      <c r="B189" s="9"/>
      <c r="C189" s="87"/>
      <c r="D189" s="42"/>
      <c r="E189" s="42"/>
      <c r="F189" s="42" t="s">
        <v>8</v>
      </c>
      <c r="G189" s="79" t="s">
        <v>147</v>
      </c>
      <c r="H189" s="90"/>
      <c r="I189" s="90"/>
      <c r="J189" s="12"/>
      <c r="L189" s="47"/>
      <c r="S189" s="8" t="s">
        <v>22</v>
      </c>
      <c r="T189" s="9" t="s">
        <v>85</v>
      </c>
      <c r="U189" s="9">
        <v>4</v>
      </c>
      <c r="V189" s="9">
        <v>3</v>
      </c>
      <c r="W189" s="9" t="s">
        <v>68</v>
      </c>
      <c r="X189" s="19">
        <f t="shared" si="22"/>
        <v>3</v>
      </c>
      <c r="Y189" s="20">
        <f t="shared" si="23"/>
        <v>2</v>
      </c>
    </row>
    <row r="190" spans="1:25" x14ac:dyDescent="0.3">
      <c r="B190" s="149"/>
      <c r="C190" s="162">
        <v>37423</v>
      </c>
      <c r="D190" s="159" t="s">
        <v>92</v>
      </c>
      <c r="E190" s="159" t="s">
        <v>153</v>
      </c>
      <c r="F190" s="159">
        <v>1</v>
      </c>
      <c r="G190" s="163">
        <v>2</v>
      </c>
      <c r="H190" s="161" t="s">
        <v>146</v>
      </c>
      <c r="I190" s="161" t="s">
        <v>177</v>
      </c>
      <c r="L190" s="47"/>
      <c r="S190" s="8" t="s">
        <v>18</v>
      </c>
      <c r="T190" s="9" t="s">
        <v>78</v>
      </c>
      <c r="U190" s="9">
        <v>0</v>
      </c>
      <c r="V190" s="9">
        <v>2</v>
      </c>
      <c r="W190" s="9"/>
      <c r="X190" s="9">
        <f t="shared" si="22"/>
        <v>2</v>
      </c>
      <c r="Y190" s="10">
        <f t="shared" si="23"/>
        <v>3</v>
      </c>
    </row>
    <row r="191" spans="1:25" x14ac:dyDescent="0.3">
      <c r="B191" s="149"/>
      <c r="C191" s="162"/>
      <c r="D191" s="159"/>
      <c r="E191" s="159"/>
      <c r="F191" s="159">
        <v>1</v>
      </c>
      <c r="G191" s="163">
        <v>1</v>
      </c>
      <c r="H191" s="161"/>
      <c r="I191" s="161"/>
      <c r="L191" s="47"/>
      <c r="S191" s="8" t="s">
        <v>16</v>
      </c>
      <c r="T191" s="9" t="s">
        <v>20</v>
      </c>
      <c r="U191" s="9">
        <v>2</v>
      </c>
      <c r="V191" s="9">
        <v>0</v>
      </c>
      <c r="W191" s="9"/>
      <c r="X191" s="9">
        <f t="shared" si="22"/>
        <v>3</v>
      </c>
      <c r="Y191" s="10">
        <f t="shared" si="23"/>
        <v>2</v>
      </c>
    </row>
    <row r="192" spans="1:25" ht="15" thickBot="1" x14ac:dyDescent="0.35">
      <c r="B192" s="149"/>
      <c r="C192" s="87"/>
      <c r="D192" s="42"/>
      <c r="E192" s="42"/>
      <c r="F192" s="42" t="s">
        <v>19</v>
      </c>
      <c r="G192" s="79" t="s">
        <v>9</v>
      </c>
      <c r="H192" s="90"/>
      <c r="I192" s="90"/>
      <c r="L192" s="47"/>
      <c r="S192" s="46" t="s">
        <v>143</v>
      </c>
      <c r="T192" s="17" t="s">
        <v>161</v>
      </c>
      <c r="U192" s="17">
        <v>0</v>
      </c>
      <c r="V192" s="17">
        <v>1</v>
      </c>
      <c r="W192" s="17"/>
      <c r="X192" s="17">
        <f t="shared" si="22"/>
        <v>2</v>
      </c>
      <c r="Y192" s="124">
        <f t="shared" si="23"/>
        <v>3</v>
      </c>
    </row>
    <row r="193" spans="1:25" x14ac:dyDescent="0.3">
      <c r="A193" s="154"/>
      <c r="C193" s="162">
        <v>37423</v>
      </c>
      <c r="D193" s="159" t="s">
        <v>22</v>
      </c>
      <c r="E193" s="159" t="s">
        <v>85</v>
      </c>
      <c r="F193" s="159">
        <v>3</v>
      </c>
      <c r="G193" s="163">
        <v>2</v>
      </c>
      <c r="H193" s="161" t="s">
        <v>68</v>
      </c>
      <c r="I193" s="161" t="s">
        <v>160</v>
      </c>
      <c r="L193" s="47"/>
      <c r="S193" s="8" t="s">
        <v>10</v>
      </c>
      <c r="T193" s="9" t="s">
        <v>5</v>
      </c>
      <c r="U193" s="9">
        <v>2</v>
      </c>
      <c r="V193" s="9">
        <v>1</v>
      </c>
      <c r="W193" s="9" t="s">
        <v>146</v>
      </c>
      <c r="X193" s="19">
        <f t="shared" si="22"/>
        <v>3</v>
      </c>
      <c r="Y193" s="20">
        <f t="shared" si="23"/>
        <v>2</v>
      </c>
    </row>
    <row r="194" spans="1:25" x14ac:dyDescent="0.3">
      <c r="A194" s="154"/>
      <c r="C194" s="162"/>
      <c r="D194" s="159"/>
      <c r="E194" s="159"/>
      <c r="F194" s="159">
        <v>1</v>
      </c>
      <c r="G194" s="163">
        <v>1</v>
      </c>
      <c r="H194" s="161" t="s">
        <v>65</v>
      </c>
      <c r="I194" s="161"/>
      <c r="L194" s="47"/>
      <c r="S194" s="8"/>
      <c r="T194" s="9"/>
      <c r="U194" s="9"/>
      <c r="V194" s="9"/>
      <c r="W194" s="9"/>
      <c r="X194" s="19"/>
      <c r="Y194" s="20"/>
    </row>
    <row r="195" spans="1:25" x14ac:dyDescent="0.3">
      <c r="A195" s="154"/>
      <c r="C195" s="162"/>
      <c r="D195" s="159"/>
      <c r="E195" s="159"/>
      <c r="F195" s="159">
        <v>1</v>
      </c>
      <c r="G195" s="163">
        <v>1</v>
      </c>
      <c r="H195" s="161"/>
      <c r="I195" s="161"/>
      <c r="L195" s="47"/>
      <c r="S195" s="8"/>
      <c r="T195" s="9"/>
      <c r="U195" s="9"/>
      <c r="V195" s="9"/>
      <c r="W195" s="9"/>
      <c r="X195" s="19"/>
      <c r="Y195" s="20"/>
    </row>
    <row r="196" spans="1:25" s="35" customFormat="1" ht="15" thickBot="1" x14ac:dyDescent="0.35">
      <c r="A196" s="154"/>
      <c r="B196" s="47"/>
      <c r="C196" s="87"/>
      <c r="D196" s="42"/>
      <c r="E196" s="42"/>
      <c r="F196" s="42" t="s">
        <v>19</v>
      </c>
      <c r="G196" s="79" t="s">
        <v>15</v>
      </c>
      <c r="H196" s="90"/>
      <c r="I196" s="90"/>
      <c r="J196" s="110"/>
      <c r="K196"/>
      <c r="L196" s="99"/>
      <c r="S196" s="46"/>
      <c r="T196" s="17"/>
      <c r="U196" s="17"/>
      <c r="V196" s="17"/>
      <c r="W196" s="17"/>
      <c r="X196" s="19"/>
      <c r="Y196" s="20"/>
    </row>
    <row r="197" spans="1:25" s="35" customFormat="1" x14ac:dyDescent="0.3">
      <c r="A197" s="154"/>
      <c r="B197" s="47"/>
      <c r="C197" s="162">
        <v>37424</v>
      </c>
      <c r="D197" s="159" t="s">
        <v>18</v>
      </c>
      <c r="E197" s="159" t="s">
        <v>78</v>
      </c>
      <c r="F197" s="159">
        <v>0</v>
      </c>
      <c r="G197" s="163">
        <v>2</v>
      </c>
      <c r="H197" s="161"/>
      <c r="I197" s="161" t="s">
        <v>164</v>
      </c>
      <c r="J197" s="110"/>
      <c r="K197"/>
      <c r="L197" s="99"/>
      <c r="S197" s="8"/>
      <c r="T197" s="9"/>
      <c r="U197" s="9"/>
      <c r="V197" s="9"/>
      <c r="W197" s="9"/>
      <c r="X197" s="9"/>
      <c r="Y197" s="10"/>
    </row>
    <row r="198" spans="1:25" s="35" customFormat="1" ht="15" thickBot="1" x14ac:dyDescent="0.35">
      <c r="A198" s="154"/>
      <c r="B198" s="47"/>
      <c r="C198" s="87"/>
      <c r="D198" s="42"/>
      <c r="E198" s="42"/>
      <c r="F198" s="42" t="s">
        <v>8</v>
      </c>
      <c r="G198" s="79" t="s">
        <v>9</v>
      </c>
      <c r="H198" s="90"/>
      <c r="I198" s="90"/>
      <c r="J198" s="110"/>
      <c r="K198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154"/>
      <c r="B199" s="47"/>
      <c r="C199" s="162">
        <v>37424</v>
      </c>
      <c r="D199" s="159" t="s">
        <v>16</v>
      </c>
      <c r="E199" s="159" t="s">
        <v>20</v>
      </c>
      <c r="F199" s="159">
        <v>2</v>
      </c>
      <c r="G199" s="163">
        <v>0</v>
      </c>
      <c r="H199" s="161"/>
      <c r="I199" s="161" t="s">
        <v>174</v>
      </c>
      <c r="J199" s="110"/>
      <c r="K199"/>
      <c r="S199" s="8"/>
      <c r="T199" s="9"/>
      <c r="U199" s="9"/>
      <c r="V199" s="9"/>
      <c r="W199" s="9"/>
      <c r="X199" s="19"/>
      <c r="Y199" s="20"/>
    </row>
    <row r="200" spans="1:25" ht="15" thickBot="1" x14ac:dyDescent="0.35">
      <c r="A200" s="154"/>
      <c r="C200" s="87"/>
      <c r="D200" s="42"/>
      <c r="E200" s="42"/>
      <c r="F200" s="42" t="s">
        <v>8</v>
      </c>
      <c r="G200" s="79" t="s">
        <v>15</v>
      </c>
      <c r="H200" s="90"/>
      <c r="I200" s="90"/>
      <c r="L200" s="47"/>
      <c r="S200" s="46"/>
      <c r="T200" s="17"/>
      <c r="U200" s="17"/>
      <c r="V200" s="17"/>
      <c r="W200" s="17"/>
      <c r="X200" s="17"/>
      <c r="Y200" s="124"/>
    </row>
    <row r="201" spans="1:25" x14ac:dyDescent="0.3">
      <c r="A201" s="154"/>
      <c r="C201" s="162">
        <v>37425</v>
      </c>
      <c r="D201" s="159" t="s">
        <v>143</v>
      </c>
      <c r="E201" s="159" t="s">
        <v>161</v>
      </c>
      <c r="F201" s="159">
        <v>0</v>
      </c>
      <c r="G201" s="163">
        <v>1</v>
      </c>
      <c r="H201" s="161"/>
      <c r="I201" s="161" t="s">
        <v>178</v>
      </c>
      <c r="L201" s="47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54"/>
      <c r="B202" s="47"/>
      <c r="C202" s="87"/>
      <c r="D202" s="42"/>
      <c r="E202" s="42"/>
      <c r="F202" s="42" t="s">
        <v>8</v>
      </c>
      <c r="G202" s="79" t="s">
        <v>9</v>
      </c>
      <c r="H202" s="90"/>
      <c r="I202" s="90"/>
      <c r="J202" s="110"/>
      <c r="K202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54"/>
      <c r="B203" s="47"/>
      <c r="C203" s="162">
        <v>37425</v>
      </c>
      <c r="D203" s="159" t="s">
        <v>10</v>
      </c>
      <c r="E203" s="159" t="s">
        <v>5</v>
      </c>
      <c r="F203" s="159">
        <v>2</v>
      </c>
      <c r="G203" s="163">
        <v>1</v>
      </c>
      <c r="H203" s="161" t="s">
        <v>146</v>
      </c>
      <c r="I203" s="161" t="s">
        <v>166</v>
      </c>
      <c r="J203" s="110"/>
      <c r="K203"/>
      <c r="L203" s="99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54"/>
      <c r="B204" s="47"/>
      <c r="C204" s="155"/>
      <c r="D204" s="155"/>
      <c r="E204" s="155"/>
      <c r="F204" s="149">
        <v>1</v>
      </c>
      <c r="G204" s="150">
        <v>1</v>
      </c>
      <c r="H204" s="161"/>
      <c r="I204" s="161"/>
      <c r="J204" s="110"/>
      <c r="K204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54"/>
      <c r="B205" s="47"/>
      <c r="C205" s="155"/>
      <c r="D205" s="155"/>
      <c r="E205" s="155"/>
      <c r="F205" s="155" t="s">
        <v>8</v>
      </c>
      <c r="G205" s="161" t="s">
        <v>9</v>
      </c>
      <c r="H205" s="161"/>
      <c r="I205" s="161"/>
      <c r="J205" s="110"/>
      <c r="K205"/>
      <c r="L205" s="99"/>
      <c r="S205" s="8"/>
      <c r="T205" s="9"/>
      <c r="U205" s="9"/>
      <c r="V205" s="9"/>
      <c r="W205" s="9"/>
      <c r="X205" s="9"/>
      <c r="Y205" s="10"/>
    </row>
    <row r="206" spans="1:25" s="35" customFormat="1" x14ac:dyDescent="0.3">
      <c r="A206" s="154"/>
      <c r="B206" s="47"/>
      <c r="C206" s="47"/>
      <c r="D206" s="47"/>
      <c r="E206" s="47"/>
      <c r="F206" s="47"/>
      <c r="G206" s="110"/>
      <c r="H206" s="110"/>
      <c r="I206" s="110"/>
      <c r="J206" s="110"/>
      <c r="K206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54"/>
      <c r="B207" s="9"/>
      <c r="C207" s="9"/>
      <c r="D207" s="9"/>
      <c r="E207" s="9"/>
      <c r="F207" s="9"/>
      <c r="G207" s="12"/>
      <c r="H207" s="12"/>
      <c r="I207" s="12"/>
      <c r="J207" s="12"/>
      <c r="K207"/>
      <c r="L207" s="99"/>
      <c r="S207" s="8"/>
      <c r="T207" s="9"/>
      <c r="U207" s="9"/>
      <c r="V207" s="9"/>
      <c r="W207" s="9"/>
      <c r="X207" s="9"/>
      <c r="Y207" s="10"/>
    </row>
    <row r="208" spans="1:25" s="35" customFormat="1" ht="21" x14ac:dyDescent="0.4">
      <c r="A208" s="154"/>
      <c r="B208" s="9"/>
      <c r="C208" s="9"/>
      <c r="D208" s="9"/>
      <c r="E208" s="9"/>
      <c r="F208" s="14" t="s">
        <v>67</v>
      </c>
      <c r="G208" s="12"/>
      <c r="H208" s="12"/>
      <c r="I208" s="12"/>
      <c r="J208" s="12"/>
      <c r="K208"/>
      <c r="S208" s="8"/>
      <c r="T208" s="9"/>
      <c r="U208" s="9"/>
      <c r="V208" s="9"/>
      <c r="W208" s="9"/>
      <c r="X208" s="9"/>
      <c r="Y208" s="10"/>
    </row>
    <row r="209" spans="1:25" s="35" customFormat="1" x14ac:dyDescent="0.3">
      <c r="A209" s="154"/>
      <c r="B209" s="9"/>
      <c r="C209" s="9"/>
      <c r="D209" s="83"/>
      <c r="E209" s="83"/>
      <c r="F209" s="83"/>
      <c r="G209" s="84"/>
      <c r="H209" s="84"/>
      <c r="I209" s="12"/>
      <c r="J209" s="12"/>
      <c r="K209"/>
      <c r="L209" s="99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154"/>
      <c r="B210" s="9"/>
      <c r="C210" s="154">
        <v>37428</v>
      </c>
      <c r="D210" s="83" t="s">
        <v>24</v>
      </c>
      <c r="E210" s="37" t="s">
        <v>16</v>
      </c>
      <c r="F210" s="37">
        <v>1</v>
      </c>
      <c r="G210" s="74">
        <v>2</v>
      </c>
      <c r="H210" s="74"/>
      <c r="I210" s="12" t="s">
        <v>172</v>
      </c>
      <c r="J210" s="12"/>
      <c r="K210"/>
      <c r="L210" s="99"/>
      <c r="S210" s="8" t="s">
        <v>24</v>
      </c>
      <c r="T210" s="9" t="s">
        <v>16</v>
      </c>
      <c r="U210" s="9">
        <v>1</v>
      </c>
      <c r="V210" s="9">
        <v>2</v>
      </c>
      <c r="W210" s="9"/>
      <c r="X210" s="19">
        <f t="shared" ref="X210:X213" si="24">(IF(U210&gt;V210,3,IF(U210=V210,1,2)))</f>
        <v>2</v>
      </c>
      <c r="Y210" s="20">
        <f t="shared" ref="Y210:Y213" si="25">(IF(V210&gt;U210,3,IF(U210=V210,1,2)))</f>
        <v>3</v>
      </c>
    </row>
    <row r="211" spans="1:25" s="35" customFormat="1" ht="15" thickBot="1" x14ac:dyDescent="0.35">
      <c r="A211" s="154"/>
      <c r="B211" s="9"/>
      <c r="C211" s="21"/>
      <c r="D211" s="42"/>
      <c r="E211" s="42"/>
      <c r="F211" s="42" t="s">
        <v>19</v>
      </c>
      <c r="G211" s="79" t="s">
        <v>9</v>
      </c>
      <c r="H211" s="79"/>
      <c r="I211" s="28"/>
      <c r="J211" s="12"/>
      <c r="K211"/>
      <c r="L211" s="99"/>
      <c r="S211" s="8" t="s">
        <v>13</v>
      </c>
      <c r="T211" s="9" t="s">
        <v>78</v>
      </c>
      <c r="U211" s="9">
        <v>1</v>
      </c>
      <c r="V211" s="9">
        <v>0</v>
      </c>
      <c r="W211" s="9"/>
      <c r="X211" s="19">
        <f t="shared" si="24"/>
        <v>3</v>
      </c>
      <c r="Y211" s="20">
        <f t="shared" si="25"/>
        <v>2</v>
      </c>
    </row>
    <row r="212" spans="1:25" s="35" customFormat="1" x14ac:dyDescent="0.3">
      <c r="A212" s="154"/>
      <c r="B212" s="9"/>
      <c r="C212" s="154">
        <v>37428</v>
      </c>
      <c r="D212" s="37" t="s">
        <v>13</v>
      </c>
      <c r="E212" s="37" t="s">
        <v>78</v>
      </c>
      <c r="F212" s="37">
        <v>1</v>
      </c>
      <c r="G212" s="74">
        <v>0</v>
      </c>
      <c r="H212" s="74"/>
      <c r="I212" s="12" t="s">
        <v>155</v>
      </c>
      <c r="J212" s="12"/>
      <c r="K212"/>
      <c r="S212" s="8" t="s">
        <v>22</v>
      </c>
      <c r="T212" s="9" t="s">
        <v>10</v>
      </c>
      <c r="U212" s="9">
        <v>3</v>
      </c>
      <c r="V212" s="9">
        <v>5</v>
      </c>
      <c r="W212" s="9" t="s">
        <v>68</v>
      </c>
      <c r="X212" s="19">
        <f t="shared" si="24"/>
        <v>2</v>
      </c>
      <c r="Y212" s="20">
        <f t="shared" si="25"/>
        <v>3</v>
      </c>
    </row>
    <row r="213" spans="1:25" s="35" customFormat="1" ht="15" thickBot="1" x14ac:dyDescent="0.35">
      <c r="A213" s="154"/>
      <c r="B213" s="9"/>
      <c r="C213" s="21"/>
      <c r="D213" s="42"/>
      <c r="E213" s="42"/>
      <c r="F213" s="42" t="s">
        <v>19</v>
      </c>
      <c r="G213" s="79" t="s">
        <v>15</v>
      </c>
      <c r="H213" s="79"/>
      <c r="I213" s="28"/>
      <c r="J213" s="12"/>
      <c r="K213"/>
      <c r="L213" s="99"/>
      <c r="S213" s="8" t="s">
        <v>153</v>
      </c>
      <c r="T213" s="9" t="s">
        <v>161</v>
      </c>
      <c r="U213" s="9">
        <v>0</v>
      </c>
      <c r="V213" s="9">
        <v>1</v>
      </c>
      <c r="W213" s="9" t="s">
        <v>146</v>
      </c>
      <c r="X213" s="19">
        <f t="shared" si="24"/>
        <v>2</v>
      </c>
      <c r="Y213" s="20">
        <f t="shared" si="25"/>
        <v>3</v>
      </c>
    </row>
    <row r="214" spans="1:25" s="35" customFormat="1" x14ac:dyDescent="0.3">
      <c r="A214" s="154"/>
      <c r="B214" s="9"/>
      <c r="C214" s="154">
        <v>37429</v>
      </c>
      <c r="D214" s="37" t="s">
        <v>22</v>
      </c>
      <c r="E214" s="37" t="s">
        <v>10</v>
      </c>
      <c r="F214" s="37">
        <v>3</v>
      </c>
      <c r="G214" s="74">
        <v>5</v>
      </c>
      <c r="H214" s="74" t="s">
        <v>68</v>
      </c>
      <c r="I214" s="12" t="s">
        <v>163</v>
      </c>
      <c r="J214" s="12"/>
      <c r="K214"/>
      <c r="S214" s="8"/>
      <c r="T214" s="9"/>
      <c r="U214" s="9"/>
      <c r="V214" s="9"/>
      <c r="W214" s="9"/>
      <c r="X214" s="19"/>
      <c r="Y214" s="20"/>
    </row>
    <row r="215" spans="1:25" s="35" customFormat="1" x14ac:dyDescent="0.3">
      <c r="A215" s="154"/>
      <c r="B215" s="9"/>
      <c r="C215" s="154"/>
      <c r="D215" s="37"/>
      <c r="E215" s="37"/>
      <c r="F215" s="37">
        <v>0</v>
      </c>
      <c r="G215" s="74">
        <v>0</v>
      </c>
      <c r="H215" s="74" t="s">
        <v>65</v>
      </c>
      <c r="I215" s="12"/>
      <c r="J215" s="12"/>
      <c r="K215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54"/>
      <c r="B216" s="9"/>
      <c r="C216" s="154"/>
      <c r="D216" s="37"/>
      <c r="E216" s="37"/>
      <c r="F216" s="37">
        <v>0</v>
      </c>
      <c r="G216" s="74">
        <v>0</v>
      </c>
      <c r="H216" s="74"/>
      <c r="I216" s="12"/>
      <c r="J216" s="12"/>
      <c r="K216"/>
      <c r="S216" s="8"/>
      <c r="T216" s="9"/>
      <c r="U216" s="9"/>
      <c r="V216" s="9"/>
      <c r="W216" s="9"/>
      <c r="X216" s="19"/>
      <c r="Y216" s="20"/>
    </row>
    <row r="217" spans="1:25" s="35" customFormat="1" ht="15" thickBot="1" x14ac:dyDescent="0.35">
      <c r="A217" s="154"/>
      <c r="B217" s="9"/>
      <c r="C217" s="21"/>
      <c r="D217" s="42"/>
      <c r="E217" s="42"/>
      <c r="F217" s="42" t="s">
        <v>8</v>
      </c>
      <c r="G217" s="79" t="s">
        <v>15</v>
      </c>
      <c r="H217" s="79"/>
      <c r="I217" s="28"/>
      <c r="J217" s="12"/>
      <c r="K217"/>
      <c r="S217" s="8"/>
      <c r="T217" s="9"/>
      <c r="U217" s="9"/>
      <c r="V217" s="9"/>
      <c r="W217" s="9"/>
      <c r="X217" s="19"/>
      <c r="Y217" s="20"/>
    </row>
    <row r="218" spans="1:25" s="35" customFormat="1" x14ac:dyDescent="0.3">
      <c r="A218" s="154"/>
      <c r="B218" s="9"/>
      <c r="C218" s="16">
        <v>37429</v>
      </c>
      <c r="D218" s="37" t="s">
        <v>153</v>
      </c>
      <c r="E218" s="37" t="s">
        <v>161</v>
      </c>
      <c r="F218" s="37">
        <v>0</v>
      </c>
      <c r="G218" s="74">
        <v>1</v>
      </c>
      <c r="H218" s="74" t="s">
        <v>146</v>
      </c>
      <c r="I218" s="12" t="s">
        <v>176</v>
      </c>
      <c r="J218" s="12"/>
      <c r="K218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54"/>
      <c r="B219" s="9"/>
      <c r="C219" s="9"/>
      <c r="D219" s="37"/>
      <c r="E219" s="37"/>
      <c r="F219" s="37">
        <v>0</v>
      </c>
      <c r="G219" s="74">
        <v>0</v>
      </c>
      <c r="H219" s="74"/>
      <c r="I219" s="12"/>
      <c r="J219" s="12"/>
      <c r="K219"/>
      <c r="L219" s="99"/>
      <c r="S219" s="8"/>
      <c r="T219" s="9"/>
      <c r="U219" s="9"/>
      <c r="V219" s="9"/>
      <c r="W219" s="9"/>
      <c r="X219" s="9"/>
      <c r="Y219" s="10"/>
    </row>
    <row r="220" spans="1:25" s="35" customFormat="1" x14ac:dyDescent="0.3">
      <c r="A220" s="154"/>
      <c r="B220" s="9"/>
      <c r="C220" s="9"/>
      <c r="D220" s="37"/>
      <c r="E220" s="37"/>
      <c r="F220" s="37" t="s">
        <v>8</v>
      </c>
      <c r="G220" s="74" t="s">
        <v>15</v>
      </c>
      <c r="H220" s="74"/>
      <c r="I220" s="12"/>
      <c r="J220" s="12"/>
      <c r="K220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54"/>
      <c r="B221" s="9"/>
      <c r="C221" s="9"/>
      <c r="D221" s="17"/>
      <c r="E221" s="17"/>
      <c r="F221" s="100"/>
      <c r="G221" s="164"/>
      <c r="H221" s="38"/>
      <c r="I221" s="12"/>
      <c r="J221" s="12"/>
      <c r="K221"/>
      <c r="L221" s="99"/>
      <c r="S221" s="8"/>
      <c r="T221" s="9"/>
      <c r="U221" s="9"/>
      <c r="V221" s="9"/>
      <c r="W221" s="9"/>
      <c r="X221" s="9"/>
      <c r="Y221" s="10"/>
    </row>
    <row r="222" spans="1:25" s="35" customFormat="1" x14ac:dyDescent="0.3">
      <c r="A222" s="99"/>
      <c r="B222" s="17"/>
      <c r="C222" s="17"/>
      <c r="D222" s="17"/>
      <c r="E222" s="17"/>
      <c r="F222" s="100"/>
      <c r="G222" s="164"/>
      <c r="H222" s="38"/>
      <c r="I222" s="38"/>
      <c r="J222" s="38"/>
      <c r="K222"/>
      <c r="L222" s="99"/>
      <c r="S222" s="8"/>
      <c r="T222" s="47"/>
      <c r="U222" s="47"/>
      <c r="V222" s="47"/>
      <c r="W222" s="47"/>
      <c r="X222" s="47"/>
      <c r="Y222" s="10"/>
    </row>
    <row r="223" spans="1:25" s="35" customFormat="1" ht="21" x14ac:dyDescent="0.4">
      <c r="A223" s="99"/>
      <c r="B223" s="17"/>
      <c r="C223" s="17"/>
      <c r="D223" s="17"/>
      <c r="E223" s="17"/>
      <c r="F223" s="126" t="s">
        <v>69</v>
      </c>
      <c r="G223" s="38"/>
      <c r="H223" s="38"/>
      <c r="I223" s="38"/>
      <c r="J223" s="38"/>
      <c r="K223"/>
      <c r="S223" s="8"/>
      <c r="T223" s="47"/>
      <c r="U223" s="47"/>
      <c r="V223" s="47"/>
      <c r="W223" s="47"/>
      <c r="X223" s="47"/>
      <c r="Y223" s="10"/>
    </row>
    <row r="224" spans="1:25" s="35" customFormat="1" x14ac:dyDescent="0.3">
      <c r="A224" s="154"/>
      <c r="B224" s="153"/>
      <c r="C224" s="47"/>
      <c r="D224" s="155"/>
      <c r="E224" s="155"/>
      <c r="F224" s="155"/>
      <c r="G224" s="161"/>
      <c r="H224" s="110"/>
      <c r="I224" s="110"/>
      <c r="J224" s="110"/>
      <c r="K224"/>
      <c r="L224" s="99"/>
      <c r="S224" s="8"/>
      <c r="T224" s="47"/>
      <c r="U224" s="47"/>
      <c r="V224" s="47"/>
      <c r="W224" s="47"/>
      <c r="X224" s="47"/>
      <c r="Y224" s="10"/>
    </row>
    <row r="225" spans="1:25" x14ac:dyDescent="0.3">
      <c r="A225" s="35"/>
      <c r="B225" s="35"/>
      <c r="C225" s="165">
        <v>37432</v>
      </c>
      <c r="D225" s="159" t="s">
        <v>13</v>
      </c>
      <c r="E225" s="159" t="s">
        <v>10</v>
      </c>
      <c r="F225" s="159">
        <v>1</v>
      </c>
      <c r="G225" s="159">
        <v>0</v>
      </c>
      <c r="H225" s="99"/>
      <c r="I225" s="160" t="s">
        <v>154</v>
      </c>
      <c r="J225" s="160"/>
      <c r="K225" s="35"/>
      <c r="S225" s="8" t="s">
        <v>13</v>
      </c>
      <c r="T225" s="47" t="s">
        <v>10</v>
      </c>
      <c r="U225" s="47">
        <v>1</v>
      </c>
      <c r="V225" s="47">
        <v>0</v>
      </c>
      <c r="X225" s="19">
        <f t="shared" ref="X225:X226" si="26">(IF(U225&gt;V225,3,IF(U225=V225,1,2)))</f>
        <v>3</v>
      </c>
      <c r="Y225" s="20">
        <f t="shared" ref="Y225:Y226" si="27">(IF(V225&gt;U225,3,IF(U225=V225,1,2)))</f>
        <v>2</v>
      </c>
    </row>
    <row r="226" spans="1:25" ht="15" thickBot="1" x14ac:dyDescent="0.35">
      <c r="A226" s="35"/>
      <c r="B226" s="35"/>
      <c r="C226" s="129"/>
      <c r="D226" s="42"/>
      <c r="E226" s="42"/>
      <c r="F226" s="42" t="s">
        <v>8</v>
      </c>
      <c r="G226" s="42" t="s">
        <v>15</v>
      </c>
      <c r="H226" s="22"/>
      <c r="I226" s="43"/>
      <c r="J226" s="160"/>
      <c r="K226" s="35"/>
      <c r="S226" s="8" t="s">
        <v>16</v>
      </c>
      <c r="T226" s="47" t="s">
        <v>161</v>
      </c>
      <c r="U226" s="47">
        <v>1</v>
      </c>
      <c r="V226" s="47">
        <v>0</v>
      </c>
      <c r="X226" s="19">
        <f t="shared" si="26"/>
        <v>3</v>
      </c>
      <c r="Y226" s="20">
        <f t="shared" si="27"/>
        <v>2</v>
      </c>
    </row>
    <row r="227" spans="1:25" x14ac:dyDescent="0.3">
      <c r="A227" s="35"/>
      <c r="B227" s="35"/>
      <c r="C227" s="165">
        <v>37433</v>
      </c>
      <c r="D227" s="37" t="s">
        <v>16</v>
      </c>
      <c r="E227" s="37" t="s">
        <v>161</v>
      </c>
      <c r="F227" s="37">
        <v>1</v>
      </c>
      <c r="G227" s="37">
        <v>0</v>
      </c>
      <c r="H227" s="17"/>
      <c r="I227" s="38" t="s">
        <v>171</v>
      </c>
      <c r="J227" s="38"/>
      <c r="K227" s="35"/>
      <c r="S227" s="8"/>
      <c r="Y227" s="10"/>
    </row>
    <row r="228" spans="1:25" x14ac:dyDescent="0.3">
      <c r="A228" s="154"/>
      <c r="B228" s="9"/>
      <c r="C228" s="9"/>
      <c r="D228" s="83"/>
      <c r="E228" s="83"/>
      <c r="F228" s="83" t="s">
        <v>8</v>
      </c>
      <c r="G228" s="84" t="s">
        <v>15</v>
      </c>
      <c r="H228" s="12"/>
      <c r="I228" s="12"/>
      <c r="J228" s="12"/>
      <c r="S228" s="8"/>
      <c r="Y228" s="10"/>
    </row>
    <row r="229" spans="1:25" x14ac:dyDescent="0.3">
      <c r="A229" s="154"/>
      <c r="B229" s="9"/>
      <c r="C229" s="9"/>
      <c r="D229" s="9"/>
      <c r="E229" s="9"/>
      <c r="F229" s="9"/>
      <c r="G229" s="12"/>
      <c r="H229" s="12"/>
      <c r="I229" s="12"/>
      <c r="J229" s="12"/>
      <c r="S229" s="8"/>
      <c r="Y229" s="10"/>
    </row>
    <row r="230" spans="1:25" ht="15" thickBot="1" x14ac:dyDescent="0.35">
      <c r="A230" s="154"/>
      <c r="B230" s="9"/>
      <c r="C230" s="9"/>
      <c r="D230" s="9"/>
      <c r="E230" s="9"/>
      <c r="F230" s="9"/>
      <c r="G230" s="12"/>
      <c r="H230" s="12"/>
      <c r="I230" s="12"/>
      <c r="J230" s="12"/>
      <c r="S230" s="8"/>
      <c r="Y230" s="10"/>
    </row>
    <row r="231" spans="1:25" ht="21" x14ac:dyDescent="0.4">
      <c r="A231" s="154"/>
      <c r="C231" s="196" t="s">
        <v>179</v>
      </c>
      <c r="D231" s="198"/>
      <c r="E231" s="198"/>
      <c r="F231" s="198"/>
      <c r="G231" s="198"/>
      <c r="H231" s="198"/>
      <c r="I231" s="199"/>
      <c r="K231" s="47"/>
      <c r="S231" s="8"/>
      <c r="Y231" s="10"/>
    </row>
    <row r="232" spans="1:25" x14ac:dyDescent="0.3">
      <c r="A232" s="165"/>
      <c r="B232" s="99"/>
      <c r="C232" s="36"/>
      <c r="D232" s="17"/>
      <c r="E232" s="37" t="s">
        <v>10</v>
      </c>
      <c r="F232" s="134" t="s">
        <v>106</v>
      </c>
      <c r="G232" s="17" t="s">
        <v>161</v>
      </c>
      <c r="H232" s="38"/>
      <c r="I232" s="39"/>
      <c r="J232" s="160"/>
      <c r="K232" s="99"/>
      <c r="S232" s="8" t="s">
        <v>10</v>
      </c>
      <c r="T232" s="47" t="s">
        <v>161</v>
      </c>
      <c r="U232" s="47">
        <v>2</v>
      </c>
      <c r="V232" s="47">
        <v>3</v>
      </c>
      <c r="X232" s="19">
        <f t="shared" ref="X232" si="28">(IF(U232&gt;V232,3,IF(U232=V232,1,2)))</f>
        <v>2</v>
      </c>
      <c r="Y232" s="20">
        <f t="shared" ref="Y232" si="29">(IF(V232&gt;U232,3,IF(U232=V232,1,2)))</f>
        <v>3</v>
      </c>
    </row>
    <row r="233" spans="1:25" x14ac:dyDescent="0.3">
      <c r="A233" s="154"/>
      <c r="C233" s="51"/>
      <c r="D233" s="9"/>
      <c r="E233" s="83">
        <v>2</v>
      </c>
      <c r="F233" s="83"/>
      <c r="G233" s="9">
        <v>3</v>
      </c>
      <c r="H233" s="12"/>
      <c r="I233" s="104"/>
      <c r="K233" s="47"/>
      <c r="S233" s="8"/>
      <c r="Y233" s="10"/>
    </row>
    <row r="234" spans="1:25" ht="15" thickBot="1" x14ac:dyDescent="0.35">
      <c r="A234" s="154"/>
      <c r="C234" s="50"/>
      <c r="D234" s="23"/>
      <c r="E234" s="23" t="s">
        <v>19</v>
      </c>
      <c r="F234" s="23"/>
      <c r="G234" s="23" t="s">
        <v>147</v>
      </c>
      <c r="H234" s="28"/>
      <c r="I234" s="105"/>
      <c r="K234" s="47"/>
      <c r="S234" s="8"/>
      <c r="Y234" s="10"/>
    </row>
    <row r="235" spans="1:25" x14ac:dyDescent="0.3">
      <c r="A235" s="154"/>
      <c r="D235" s="9"/>
      <c r="E235" s="9"/>
      <c r="F235" s="9"/>
      <c r="G235" s="9"/>
      <c r="H235" s="12"/>
      <c r="I235" s="12"/>
      <c r="K235" s="47"/>
      <c r="S235" s="8"/>
      <c r="Y235" s="10"/>
    </row>
    <row r="236" spans="1:25" x14ac:dyDescent="0.3">
      <c r="A236" s="154"/>
      <c r="D236" s="9"/>
      <c r="E236" s="9"/>
      <c r="F236" s="9"/>
      <c r="G236" s="9"/>
      <c r="H236" s="12"/>
      <c r="I236" s="12"/>
      <c r="K236" s="47"/>
      <c r="S236" s="8"/>
      <c r="Y236" s="10"/>
    </row>
    <row r="237" spans="1:25" x14ac:dyDescent="0.3">
      <c r="A237" s="154"/>
      <c r="D237" s="9"/>
      <c r="E237" s="9"/>
      <c r="F237" s="9"/>
      <c r="G237" s="9"/>
      <c r="H237" s="12"/>
      <c r="I237" s="12"/>
      <c r="K237" s="47"/>
      <c r="S237" s="8"/>
      <c r="Y237" s="10"/>
    </row>
    <row r="238" spans="1:25" ht="15" thickBot="1" x14ac:dyDescent="0.35">
      <c r="A238" s="154"/>
      <c r="D238" s="9"/>
      <c r="E238" s="9"/>
      <c r="F238" s="9"/>
      <c r="G238" s="9"/>
      <c r="H238" s="12"/>
      <c r="I238" s="12"/>
      <c r="K238" s="47"/>
      <c r="S238" s="8"/>
      <c r="Y238" s="10"/>
    </row>
    <row r="239" spans="1:25" ht="21" x14ac:dyDescent="0.4">
      <c r="A239" s="154"/>
      <c r="C239" s="193" t="s">
        <v>180</v>
      </c>
      <c r="D239" s="203"/>
      <c r="E239" s="203"/>
      <c r="F239" s="203"/>
      <c r="G239" s="203"/>
      <c r="H239" s="203"/>
      <c r="I239" s="204"/>
      <c r="K239" s="47"/>
      <c r="S239" s="8"/>
      <c r="Y239" s="10"/>
    </row>
    <row r="240" spans="1:25" x14ac:dyDescent="0.3">
      <c r="A240" s="165"/>
      <c r="B240" s="99"/>
      <c r="C240" s="36"/>
      <c r="D240" s="17"/>
      <c r="E240" s="37" t="s">
        <v>13</v>
      </c>
      <c r="F240" s="130" t="s">
        <v>106</v>
      </c>
      <c r="G240" s="74" t="s">
        <v>16</v>
      </c>
      <c r="H240" s="38"/>
      <c r="I240" s="39"/>
      <c r="J240" s="160"/>
      <c r="K240" s="99"/>
      <c r="S240" s="8" t="s">
        <v>13</v>
      </c>
      <c r="T240" s="47" t="s">
        <v>16</v>
      </c>
      <c r="U240" s="47">
        <v>0</v>
      </c>
      <c r="V240" s="47">
        <v>2</v>
      </c>
      <c r="X240" s="19">
        <f t="shared" ref="X240" si="30">(IF(U240&gt;V240,3,IF(U240=V240,1,2)))</f>
        <v>2</v>
      </c>
      <c r="Y240" s="20">
        <f t="shared" ref="Y240" si="31">(IF(V240&gt;U240,3,IF(U240=V240,1,2)))</f>
        <v>3</v>
      </c>
    </row>
    <row r="241" spans="1:26" x14ac:dyDescent="0.3">
      <c r="A241" s="165"/>
      <c r="B241" s="99"/>
      <c r="C241" s="36"/>
      <c r="D241" s="17"/>
      <c r="E241" s="37">
        <v>0</v>
      </c>
      <c r="F241" s="130"/>
      <c r="G241" s="74">
        <v>2</v>
      </c>
      <c r="H241" s="38"/>
      <c r="I241" s="39"/>
      <c r="J241" s="160"/>
      <c r="K241" s="99"/>
      <c r="S241" s="8"/>
      <c r="T241" s="9"/>
      <c r="U241" s="9"/>
      <c r="V241" s="9"/>
      <c r="W241" s="9"/>
      <c r="X241" s="9"/>
      <c r="Y241" s="10"/>
    </row>
    <row r="242" spans="1:26" ht="15" thickBot="1" x14ac:dyDescent="0.35">
      <c r="A242" s="154"/>
      <c r="C242" s="41"/>
      <c r="D242" s="22"/>
      <c r="E242" s="22" t="s">
        <v>8</v>
      </c>
      <c r="F242" s="22"/>
      <c r="G242" s="43" t="s">
        <v>15</v>
      </c>
      <c r="H242" s="43"/>
      <c r="I242" s="44"/>
      <c r="K242" s="47"/>
      <c r="S242" s="106"/>
      <c r="T242" s="107"/>
      <c r="U242" s="107"/>
      <c r="V242" s="107"/>
      <c r="W242" s="107"/>
      <c r="X242" s="107"/>
      <c r="Y242" s="108"/>
    </row>
    <row r="243" spans="1:26" x14ac:dyDescent="0.3">
      <c r="A243" s="154"/>
      <c r="K243" s="47"/>
    </row>
    <row r="244" spans="1:26" x14ac:dyDescent="0.3">
      <c r="A244" s="165"/>
      <c r="B244" s="17"/>
      <c r="C244" s="17"/>
      <c r="D244" s="17"/>
      <c r="E244" s="17"/>
      <c r="F244" s="17"/>
      <c r="G244" s="38"/>
      <c r="H244" s="38"/>
      <c r="I244" s="38"/>
      <c r="J244" s="38"/>
      <c r="K244" s="99"/>
    </row>
    <row r="245" spans="1:26" x14ac:dyDescent="0.3">
      <c r="A245" s="99"/>
      <c r="B245" s="99"/>
      <c r="C245" s="99"/>
      <c r="D245" s="99"/>
      <c r="E245" s="99"/>
      <c r="F245" s="99"/>
      <c r="G245" s="160"/>
      <c r="H245" s="160"/>
      <c r="I245" s="160"/>
      <c r="J245" s="160"/>
      <c r="K245" s="35"/>
      <c r="R245" s="55"/>
      <c r="S245" s="9"/>
      <c r="T245" s="9"/>
      <c r="U245" s="9"/>
      <c r="V245" s="9"/>
      <c r="W245" s="9"/>
      <c r="X245" s="9"/>
      <c r="Y245" s="9"/>
      <c r="Z245" s="55"/>
    </row>
    <row r="246" spans="1:26" x14ac:dyDescent="0.3">
      <c r="A246" s="99"/>
      <c r="B246" s="99"/>
      <c r="C246" s="99"/>
      <c r="D246" s="99"/>
      <c r="E246" s="99"/>
      <c r="F246" s="99"/>
      <c r="G246" s="160"/>
      <c r="H246" s="160"/>
      <c r="I246" s="160"/>
      <c r="J246" s="160"/>
      <c r="K246" s="35"/>
      <c r="R246" s="55"/>
      <c r="S246" s="9"/>
      <c r="T246" s="9"/>
      <c r="U246" s="9"/>
      <c r="V246" s="9"/>
      <c r="W246" s="9"/>
      <c r="X246" s="19"/>
      <c r="Y246" s="19"/>
      <c r="Z246" s="55"/>
    </row>
    <row r="247" spans="1:26" ht="15" thickBot="1" x14ac:dyDescent="0.35">
      <c r="A247" s="47" t="s">
        <v>72</v>
      </c>
      <c r="B247" s="47" t="s">
        <v>62</v>
      </c>
      <c r="C247" s="47" t="s">
        <v>27</v>
      </c>
      <c r="D247" s="47" t="s">
        <v>28</v>
      </c>
      <c r="E247" s="47" t="s">
        <v>29</v>
      </c>
      <c r="F247" s="47" t="s">
        <v>30</v>
      </c>
      <c r="G247" s="110" t="s">
        <v>31</v>
      </c>
      <c r="H247" s="110" t="s">
        <v>32</v>
      </c>
      <c r="I247" s="110" t="s">
        <v>118</v>
      </c>
      <c r="K247" s="47"/>
      <c r="R247" s="55"/>
      <c r="S247" s="9"/>
      <c r="T247" s="9"/>
      <c r="U247" s="9"/>
      <c r="V247" s="9"/>
      <c r="W247" s="9"/>
      <c r="X247" s="19"/>
      <c r="Y247" s="19"/>
      <c r="Z247" s="55"/>
    </row>
    <row r="248" spans="1:26" x14ac:dyDescent="0.3">
      <c r="A248" s="99"/>
      <c r="B248" s="30" t="s">
        <v>16</v>
      </c>
      <c r="C248" s="109">
        <f>COUNTIF($S$12:$T$240,"Brasilien")</f>
        <v>7</v>
      </c>
      <c r="D248" s="32">
        <f t="shared" ref="D248:D279" si="32">SUMPRODUCT(($S$12:$T$240=B248)*($X$12:$Y$240=3))</f>
        <v>7</v>
      </c>
      <c r="E248" s="32">
        <f t="shared" ref="E248:E279" si="33">SUMPRODUCT(($S$12:$T$240=B248)*($X$12:$Y$240=1))</f>
        <v>0</v>
      </c>
      <c r="F248" s="32">
        <f t="shared" ref="F248:F279" si="34">SUMPRODUCT(($S$12:$T$240=B248)*($X$12:$Y$240=2))</f>
        <v>0</v>
      </c>
      <c r="G248" s="32">
        <f t="shared" ref="G248:G279" si="35">SUMPRODUCT(($S$12:$S$240=B248)*($U$12:$U$240))+SUMPRODUCT(($T$12:$T$240=B248)*($V$12:$V$240))</f>
        <v>18</v>
      </c>
      <c r="H248" s="32">
        <f t="shared" ref="H248:H279" si="36">SUMPRODUCT(($S$12:$S$240=B248)*($V$12:$V$240))+SUMPRODUCT(($T$12:$T$240=B248)*($U$12:$U$240))</f>
        <v>4</v>
      </c>
      <c r="I248" s="34">
        <f t="shared" ref="I248:I279" si="37">(D248*3)+E248</f>
        <v>21</v>
      </c>
      <c r="J248" s="160"/>
      <c r="K248" s="35"/>
      <c r="M248" s="47"/>
      <c r="N248" s="47"/>
      <c r="R248" s="55"/>
      <c r="S248" s="9"/>
      <c r="T248" s="9"/>
      <c r="U248" s="9"/>
      <c r="V248" s="9"/>
      <c r="W248" s="9"/>
      <c r="X248" s="19"/>
      <c r="Y248" s="19"/>
      <c r="Z248" s="55"/>
    </row>
    <row r="249" spans="1:26" x14ac:dyDescent="0.3">
      <c r="A249" s="99"/>
      <c r="B249" s="36" t="s">
        <v>13</v>
      </c>
      <c r="C249" s="17">
        <f>COUNTIF($S$12:$T$240,"BRD")</f>
        <v>7</v>
      </c>
      <c r="D249" s="37">
        <f t="shared" si="32"/>
        <v>5</v>
      </c>
      <c r="E249" s="37">
        <f t="shared" si="33"/>
        <v>1</v>
      </c>
      <c r="F249" s="37">
        <f t="shared" si="34"/>
        <v>1</v>
      </c>
      <c r="G249" s="37">
        <f t="shared" si="35"/>
        <v>14</v>
      </c>
      <c r="H249" s="37">
        <f t="shared" si="36"/>
        <v>3</v>
      </c>
      <c r="I249" s="39">
        <f t="shared" si="37"/>
        <v>16</v>
      </c>
      <c r="J249" s="160"/>
      <c r="K249" s="35"/>
      <c r="R249" s="55"/>
      <c r="S249" s="9"/>
      <c r="T249" s="9"/>
      <c r="U249" s="9"/>
      <c r="V249" s="9"/>
      <c r="W249" s="9"/>
      <c r="X249" s="19"/>
      <c r="Y249" s="19"/>
      <c r="Z249" s="55"/>
    </row>
    <row r="250" spans="1:26" x14ac:dyDescent="0.3">
      <c r="A250" s="99"/>
      <c r="B250" s="36" t="s">
        <v>10</v>
      </c>
      <c r="C250" s="17">
        <f>COUNTIF($S$12:$T$240,"Südkorea")</f>
        <v>7</v>
      </c>
      <c r="D250" s="37">
        <f t="shared" si="32"/>
        <v>4</v>
      </c>
      <c r="E250" s="37">
        <f t="shared" si="33"/>
        <v>1</v>
      </c>
      <c r="F250" s="37">
        <f t="shared" si="34"/>
        <v>2</v>
      </c>
      <c r="G250" s="37">
        <f t="shared" si="35"/>
        <v>13</v>
      </c>
      <c r="H250" s="37">
        <f t="shared" si="36"/>
        <v>9</v>
      </c>
      <c r="I250" s="39">
        <f t="shared" si="37"/>
        <v>13</v>
      </c>
      <c r="J250" s="160"/>
      <c r="K250" s="35"/>
      <c r="R250" s="55"/>
      <c r="S250" s="9"/>
      <c r="T250" s="9"/>
      <c r="U250" s="9"/>
      <c r="V250" s="9"/>
      <c r="W250" s="9"/>
      <c r="X250" s="9"/>
      <c r="Y250" s="9"/>
      <c r="Z250" s="55"/>
    </row>
    <row r="251" spans="1:26" x14ac:dyDescent="0.3">
      <c r="A251" s="99"/>
      <c r="B251" s="36" t="s">
        <v>161</v>
      </c>
      <c r="C251" s="17">
        <f>COUNTIF($S$12:$T$240,"Türkei")</f>
        <v>7</v>
      </c>
      <c r="D251" s="37">
        <f t="shared" si="32"/>
        <v>4</v>
      </c>
      <c r="E251" s="37">
        <f t="shared" si="33"/>
        <v>1</v>
      </c>
      <c r="F251" s="37">
        <f t="shared" si="34"/>
        <v>2</v>
      </c>
      <c r="G251" s="37">
        <f t="shared" si="35"/>
        <v>10</v>
      </c>
      <c r="H251" s="37">
        <f t="shared" si="36"/>
        <v>6</v>
      </c>
      <c r="I251" s="39">
        <f t="shared" si="37"/>
        <v>13</v>
      </c>
      <c r="J251" s="160"/>
      <c r="K251" s="35"/>
      <c r="R251" s="55"/>
      <c r="S251" s="9"/>
      <c r="T251" s="9"/>
      <c r="U251" s="9"/>
      <c r="V251" s="9"/>
      <c r="W251" s="9"/>
      <c r="X251" s="9"/>
      <c r="Y251" s="9"/>
      <c r="Z251" s="55"/>
    </row>
    <row r="252" spans="1:26" x14ac:dyDescent="0.3">
      <c r="A252" s="99"/>
      <c r="B252" s="36" t="s">
        <v>22</v>
      </c>
      <c r="C252" s="17">
        <f>COUNTIF($S$12:$T$240,"Spanien")</f>
        <v>5</v>
      </c>
      <c r="D252" s="37">
        <f t="shared" si="32"/>
        <v>4</v>
      </c>
      <c r="E252" s="37">
        <f t="shared" si="33"/>
        <v>0</v>
      </c>
      <c r="F252" s="37">
        <f t="shared" si="34"/>
        <v>1</v>
      </c>
      <c r="G252" s="37">
        <f t="shared" si="35"/>
        <v>16</v>
      </c>
      <c r="H252" s="37">
        <f t="shared" si="36"/>
        <v>12</v>
      </c>
      <c r="I252" s="39">
        <f t="shared" si="37"/>
        <v>12</v>
      </c>
      <c r="J252" s="160"/>
      <c r="K252" s="35"/>
      <c r="R252" s="55"/>
      <c r="S252" s="9"/>
      <c r="T252" s="9"/>
      <c r="U252" s="9"/>
      <c r="V252" s="9"/>
      <c r="W252" s="9"/>
      <c r="X252" s="9"/>
      <c r="Y252" s="9"/>
      <c r="Z252" s="55"/>
    </row>
    <row r="253" spans="1:26" x14ac:dyDescent="0.3">
      <c r="A253" s="99"/>
      <c r="B253" s="36" t="s">
        <v>153</v>
      </c>
      <c r="C253" s="17">
        <f>COUNTIF($S$12:$T$240,"Senegal")</f>
        <v>5</v>
      </c>
      <c r="D253" s="37">
        <f t="shared" si="32"/>
        <v>2</v>
      </c>
      <c r="E253" s="37">
        <f t="shared" si="33"/>
        <v>2</v>
      </c>
      <c r="F253" s="37">
        <f t="shared" si="34"/>
        <v>1</v>
      </c>
      <c r="G253" s="37">
        <f t="shared" si="35"/>
        <v>7</v>
      </c>
      <c r="H253" s="37">
        <f t="shared" si="36"/>
        <v>6</v>
      </c>
      <c r="I253" s="39">
        <f t="shared" si="37"/>
        <v>8</v>
      </c>
      <c r="J253" s="160"/>
      <c r="K253" s="35"/>
    </row>
    <row r="254" spans="1:26" x14ac:dyDescent="0.3">
      <c r="A254" s="99"/>
      <c r="B254" s="36" t="s">
        <v>24</v>
      </c>
      <c r="C254" s="17">
        <f>COUNTIF($S$12:$T$240,"England")</f>
        <v>5</v>
      </c>
      <c r="D254" s="37">
        <f t="shared" si="32"/>
        <v>2</v>
      </c>
      <c r="E254" s="37">
        <f t="shared" si="33"/>
        <v>2</v>
      </c>
      <c r="F254" s="37">
        <f t="shared" si="34"/>
        <v>1</v>
      </c>
      <c r="G254" s="37">
        <f t="shared" si="35"/>
        <v>6</v>
      </c>
      <c r="H254" s="37">
        <f t="shared" si="36"/>
        <v>3</v>
      </c>
      <c r="I254" s="39">
        <f t="shared" si="37"/>
        <v>8</v>
      </c>
      <c r="J254" s="160"/>
      <c r="K254" s="35"/>
    </row>
    <row r="255" spans="1:26" x14ac:dyDescent="0.3">
      <c r="A255" s="99"/>
      <c r="B255" s="36" t="s">
        <v>78</v>
      </c>
      <c r="C255" s="17">
        <f>COUNTIF($S$12:$T$240,"USA")</f>
        <v>5</v>
      </c>
      <c r="D255" s="37">
        <f t="shared" si="32"/>
        <v>2</v>
      </c>
      <c r="E255" s="37">
        <f t="shared" si="33"/>
        <v>1</v>
      </c>
      <c r="F255" s="37">
        <f t="shared" si="34"/>
        <v>2</v>
      </c>
      <c r="G255" s="37">
        <f t="shared" si="35"/>
        <v>7</v>
      </c>
      <c r="H255" s="37">
        <f t="shared" si="36"/>
        <v>7</v>
      </c>
      <c r="I255" s="39">
        <f t="shared" si="37"/>
        <v>7</v>
      </c>
      <c r="J255" s="160"/>
      <c r="K255" s="35"/>
    </row>
    <row r="256" spans="1:26" x14ac:dyDescent="0.3">
      <c r="A256" s="99"/>
      <c r="B256" s="51" t="s">
        <v>143</v>
      </c>
      <c r="C256" s="17">
        <f>COUNTIF($S$12:$T$240,"Japan")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5</v>
      </c>
      <c r="H256" s="37">
        <f t="shared" si="36"/>
        <v>3</v>
      </c>
      <c r="I256" s="39">
        <f t="shared" si="37"/>
        <v>7</v>
      </c>
    </row>
    <row r="257" spans="1:11" x14ac:dyDescent="0.3">
      <c r="A257" s="99"/>
      <c r="B257" s="36" t="s">
        <v>21</v>
      </c>
      <c r="C257" s="17">
        <f>COUNTIF($S$12:$T$240,"Dänemark")</f>
        <v>4</v>
      </c>
      <c r="D257" s="37">
        <f t="shared" si="32"/>
        <v>2</v>
      </c>
      <c r="E257" s="37">
        <f t="shared" si="33"/>
        <v>1</v>
      </c>
      <c r="F257" s="37">
        <f t="shared" si="34"/>
        <v>1</v>
      </c>
      <c r="G257" s="37">
        <f t="shared" si="35"/>
        <v>5</v>
      </c>
      <c r="H257" s="37">
        <f t="shared" si="36"/>
        <v>5</v>
      </c>
      <c r="I257" s="39">
        <f t="shared" si="37"/>
        <v>7</v>
      </c>
      <c r="J257" s="160"/>
      <c r="K257" s="35"/>
    </row>
    <row r="258" spans="1:11" x14ac:dyDescent="0.3">
      <c r="A258" s="99"/>
      <c r="B258" s="51" t="s">
        <v>18</v>
      </c>
      <c r="C258" s="17">
        <f>COUNTIF($S$12:$T$240,"Mexiko")</f>
        <v>4</v>
      </c>
      <c r="D258" s="37">
        <f t="shared" si="32"/>
        <v>2</v>
      </c>
      <c r="E258" s="37">
        <f t="shared" si="33"/>
        <v>1</v>
      </c>
      <c r="F258" s="37">
        <f t="shared" si="34"/>
        <v>1</v>
      </c>
      <c r="G258" s="37">
        <f t="shared" si="35"/>
        <v>4</v>
      </c>
      <c r="H258" s="37">
        <f t="shared" si="36"/>
        <v>4</v>
      </c>
      <c r="I258" s="39">
        <f t="shared" si="37"/>
        <v>7</v>
      </c>
    </row>
    <row r="259" spans="1:11" x14ac:dyDescent="0.3">
      <c r="A259" s="99"/>
      <c r="B259" s="36" t="s">
        <v>85</v>
      </c>
      <c r="C259" s="17">
        <f>COUNTIF($S$12:$T$240,"Irland")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6</v>
      </c>
      <c r="I259" s="39">
        <f t="shared" si="37"/>
        <v>5</v>
      </c>
      <c r="J259" s="160"/>
      <c r="K259" s="35"/>
    </row>
    <row r="260" spans="1:11" x14ac:dyDescent="0.3">
      <c r="A260" s="99"/>
      <c r="B260" s="51" t="s">
        <v>20</v>
      </c>
      <c r="C260" s="17">
        <f>COUNTIF($S$12:$T$240,"Belgien")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6</v>
      </c>
      <c r="H260" s="37">
        <f t="shared" si="36"/>
        <v>7</v>
      </c>
      <c r="I260" s="39">
        <f t="shared" si="37"/>
        <v>5</v>
      </c>
    </row>
    <row r="261" spans="1:11" x14ac:dyDescent="0.3">
      <c r="A261" s="99"/>
      <c r="B261" s="36" t="s">
        <v>92</v>
      </c>
      <c r="C261" s="17">
        <f>COUNTIF($S$12:$T$240,"Schweden")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5</v>
      </c>
      <c r="H261" s="37">
        <f t="shared" si="36"/>
        <v>5</v>
      </c>
      <c r="I261" s="39">
        <f t="shared" si="37"/>
        <v>5</v>
      </c>
      <c r="J261" s="160"/>
      <c r="K261" s="35"/>
    </row>
    <row r="262" spans="1:11" x14ac:dyDescent="0.3">
      <c r="A262" s="99"/>
      <c r="B262" s="36" t="s">
        <v>25</v>
      </c>
      <c r="C262" s="17">
        <f>COUNTIF($S$12:$T$240,"Paraguay")</f>
        <v>4</v>
      </c>
      <c r="D262" s="37">
        <f t="shared" si="32"/>
        <v>1</v>
      </c>
      <c r="E262" s="37">
        <f t="shared" si="33"/>
        <v>1</v>
      </c>
      <c r="F262" s="37">
        <f t="shared" si="34"/>
        <v>2</v>
      </c>
      <c r="G262" s="37">
        <f t="shared" si="35"/>
        <v>6</v>
      </c>
      <c r="H262" s="37">
        <f t="shared" si="36"/>
        <v>7</v>
      </c>
      <c r="I262" s="39">
        <f t="shared" si="37"/>
        <v>4</v>
      </c>
      <c r="J262" s="160"/>
      <c r="K262" s="35"/>
    </row>
    <row r="263" spans="1:11" x14ac:dyDescent="0.3">
      <c r="A263" s="99"/>
      <c r="B263" s="36" t="s">
        <v>141</v>
      </c>
      <c r="C263" s="17">
        <f>COUNTIF($S$12:$T$240,"Südafrika")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99"/>
    </row>
    <row r="264" spans="1:11" x14ac:dyDescent="0.3">
      <c r="A264" s="99"/>
      <c r="B264" s="51" t="s">
        <v>5</v>
      </c>
      <c r="C264" s="17">
        <f>COUNTIF($S$12:$T$240,"Italien")</f>
        <v>4</v>
      </c>
      <c r="D264" s="37">
        <f t="shared" si="32"/>
        <v>1</v>
      </c>
      <c r="E264" s="37">
        <f t="shared" si="33"/>
        <v>1</v>
      </c>
      <c r="F264" s="37">
        <f t="shared" si="34"/>
        <v>2</v>
      </c>
      <c r="G264" s="37">
        <f t="shared" si="35"/>
        <v>5</v>
      </c>
      <c r="H264" s="37">
        <f t="shared" si="36"/>
        <v>5</v>
      </c>
      <c r="I264" s="39">
        <f t="shared" si="37"/>
        <v>4</v>
      </c>
    </row>
    <row r="265" spans="1:11" x14ac:dyDescent="0.3">
      <c r="A265" s="99"/>
      <c r="B265" s="36" t="s">
        <v>86</v>
      </c>
      <c r="C265" s="17">
        <f>COUNTIF($S$12:$T$240,"Costa Rica")</f>
        <v>3</v>
      </c>
      <c r="D265" s="37">
        <f t="shared" si="32"/>
        <v>1</v>
      </c>
      <c r="E265" s="37">
        <f t="shared" si="33"/>
        <v>1</v>
      </c>
      <c r="F265" s="37">
        <f t="shared" si="34"/>
        <v>1</v>
      </c>
      <c r="G265" s="37">
        <f t="shared" si="35"/>
        <v>5</v>
      </c>
      <c r="H265" s="37">
        <f t="shared" si="36"/>
        <v>6</v>
      </c>
      <c r="I265" s="39">
        <f t="shared" si="37"/>
        <v>4</v>
      </c>
      <c r="J265" s="160"/>
      <c r="K265" s="35"/>
    </row>
    <row r="266" spans="1:11" x14ac:dyDescent="0.3">
      <c r="A266" s="99"/>
      <c r="B266" s="36" t="s">
        <v>7</v>
      </c>
      <c r="C266" s="17">
        <f>COUNTIF($S$12:$T$240,"Argentinien")</f>
        <v>3</v>
      </c>
      <c r="D266" s="37">
        <f t="shared" si="32"/>
        <v>1</v>
      </c>
      <c r="E266" s="37">
        <f t="shared" si="33"/>
        <v>1</v>
      </c>
      <c r="F266" s="37">
        <f t="shared" si="34"/>
        <v>1</v>
      </c>
      <c r="G266" s="37">
        <f t="shared" si="35"/>
        <v>2</v>
      </c>
      <c r="H266" s="37">
        <f t="shared" si="36"/>
        <v>2</v>
      </c>
      <c r="I266" s="39">
        <f t="shared" si="37"/>
        <v>4</v>
      </c>
      <c r="J266" s="160"/>
      <c r="K266" s="35"/>
    </row>
    <row r="267" spans="1:11" x14ac:dyDescent="0.3">
      <c r="A267" s="99"/>
      <c r="B267" s="36" t="s">
        <v>84</v>
      </c>
      <c r="C267" s="17">
        <f>COUNTIF($S$12:$T$240,"Kamerun")</f>
        <v>3</v>
      </c>
      <c r="D267" s="37">
        <f t="shared" si="32"/>
        <v>1</v>
      </c>
      <c r="E267" s="37">
        <f t="shared" si="33"/>
        <v>1</v>
      </c>
      <c r="F267" s="37">
        <f t="shared" si="34"/>
        <v>1</v>
      </c>
      <c r="G267" s="37">
        <f t="shared" si="35"/>
        <v>2</v>
      </c>
      <c r="H267" s="37">
        <f t="shared" si="36"/>
        <v>3</v>
      </c>
      <c r="I267" s="39">
        <f t="shared" si="37"/>
        <v>4</v>
      </c>
      <c r="J267" s="160"/>
      <c r="K267" s="35"/>
    </row>
    <row r="268" spans="1:11" x14ac:dyDescent="0.3">
      <c r="A268" s="99"/>
      <c r="B268" s="36" t="s">
        <v>36</v>
      </c>
      <c r="C268" s="17">
        <f>COUNTIF($S$12:$T$240,"Portugal")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6</v>
      </c>
      <c r="H268" s="37">
        <f t="shared" si="36"/>
        <v>4</v>
      </c>
      <c r="I268" s="39">
        <f t="shared" si="37"/>
        <v>3</v>
      </c>
      <c r="J268" s="160"/>
      <c r="K268" s="35"/>
    </row>
    <row r="269" spans="1:11" x14ac:dyDescent="0.3">
      <c r="A269" s="99"/>
      <c r="B269" s="51" t="s">
        <v>120</v>
      </c>
      <c r="C269" s="17">
        <f>COUNTIF($S$12:$T$240,"Russland")</f>
        <v>3</v>
      </c>
      <c r="D269" s="37">
        <f t="shared" si="32"/>
        <v>1</v>
      </c>
      <c r="E269" s="37">
        <f t="shared" si="33"/>
        <v>0</v>
      </c>
      <c r="F269" s="37">
        <f t="shared" si="34"/>
        <v>2</v>
      </c>
      <c r="G269" s="37">
        <f t="shared" si="35"/>
        <v>4</v>
      </c>
      <c r="H269" s="37">
        <f t="shared" si="36"/>
        <v>4</v>
      </c>
      <c r="I269" s="39">
        <f t="shared" si="37"/>
        <v>3</v>
      </c>
    </row>
    <row r="270" spans="1:11" x14ac:dyDescent="0.3">
      <c r="A270" s="99"/>
      <c r="B270" s="36" t="s">
        <v>35</v>
      </c>
      <c r="C270" s="17">
        <f>COUNTIF($S$12:$T$240,"Polen")</f>
        <v>3</v>
      </c>
      <c r="D270" s="37">
        <f t="shared" si="32"/>
        <v>1</v>
      </c>
      <c r="E270" s="37">
        <f t="shared" si="33"/>
        <v>0</v>
      </c>
      <c r="F270" s="37">
        <f t="shared" si="34"/>
        <v>2</v>
      </c>
      <c r="G270" s="37">
        <f t="shared" si="35"/>
        <v>3</v>
      </c>
      <c r="H270" s="37">
        <f t="shared" si="36"/>
        <v>7</v>
      </c>
      <c r="I270" s="39">
        <f t="shared" si="37"/>
        <v>3</v>
      </c>
      <c r="J270" s="160"/>
      <c r="K270" s="35"/>
    </row>
    <row r="271" spans="1:11" x14ac:dyDescent="0.3">
      <c r="A271" s="99"/>
      <c r="B271" s="51" t="s">
        <v>137</v>
      </c>
      <c r="C271" s="17">
        <f>COUNTIF($S$12:$T$240,"Kroatien")</f>
        <v>3</v>
      </c>
      <c r="D271" s="37">
        <f t="shared" si="32"/>
        <v>1</v>
      </c>
      <c r="E271" s="37">
        <f t="shared" si="33"/>
        <v>0</v>
      </c>
      <c r="F271" s="37">
        <f t="shared" si="34"/>
        <v>2</v>
      </c>
      <c r="G271" s="37">
        <f t="shared" si="35"/>
        <v>2</v>
      </c>
      <c r="H271" s="37">
        <f t="shared" si="36"/>
        <v>3</v>
      </c>
      <c r="I271" s="39">
        <f t="shared" si="37"/>
        <v>3</v>
      </c>
    </row>
    <row r="272" spans="1:11" x14ac:dyDescent="0.3">
      <c r="A272" s="99"/>
      <c r="B272" s="51" t="s">
        <v>165</v>
      </c>
      <c r="C272" s="17">
        <f>COUNTIF($S$12:$T$240,"Ecuador")</f>
        <v>3</v>
      </c>
      <c r="D272" s="37">
        <f t="shared" si="32"/>
        <v>1</v>
      </c>
      <c r="E272" s="37">
        <f t="shared" si="33"/>
        <v>0</v>
      </c>
      <c r="F272" s="37">
        <f t="shared" si="34"/>
        <v>2</v>
      </c>
      <c r="G272" s="37">
        <f t="shared" si="35"/>
        <v>2</v>
      </c>
      <c r="H272" s="37">
        <f t="shared" si="36"/>
        <v>4</v>
      </c>
      <c r="I272" s="39">
        <f t="shared" si="37"/>
        <v>3</v>
      </c>
    </row>
    <row r="273" spans="1:11" x14ac:dyDescent="0.3">
      <c r="A273" s="99"/>
      <c r="B273" s="36" t="s">
        <v>38</v>
      </c>
      <c r="C273" s="17">
        <f>COUNTIF($S$12:$T$240,"Uruguay")</f>
        <v>3</v>
      </c>
      <c r="D273" s="37">
        <f t="shared" si="32"/>
        <v>0</v>
      </c>
      <c r="E273" s="37">
        <f t="shared" si="33"/>
        <v>2</v>
      </c>
      <c r="F273" s="37">
        <f t="shared" si="34"/>
        <v>1</v>
      </c>
      <c r="G273" s="37">
        <f t="shared" si="35"/>
        <v>4</v>
      </c>
      <c r="H273" s="37">
        <f t="shared" si="36"/>
        <v>5</v>
      </c>
      <c r="I273" s="39">
        <f t="shared" si="37"/>
        <v>2</v>
      </c>
      <c r="J273" s="160"/>
      <c r="K273" s="35"/>
    </row>
    <row r="274" spans="1:11" x14ac:dyDescent="0.3">
      <c r="A274" s="99"/>
      <c r="B274" s="36" t="s">
        <v>115</v>
      </c>
      <c r="C274" s="17">
        <f>COUNTIF($S$12:$T$240,"Nigeria")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1</v>
      </c>
      <c r="H274" s="37">
        <f t="shared" si="36"/>
        <v>3</v>
      </c>
      <c r="I274" s="39">
        <f t="shared" si="37"/>
        <v>1</v>
      </c>
      <c r="J274" s="160"/>
      <c r="K274" s="35"/>
    </row>
    <row r="275" spans="1:11" x14ac:dyDescent="0.3">
      <c r="A275" s="99"/>
      <c r="B275" s="51" t="s">
        <v>142</v>
      </c>
      <c r="C275" s="17">
        <f>COUNTIF($S$12:$T$240,"Tunesien")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5</v>
      </c>
      <c r="I275" s="39">
        <f t="shared" si="37"/>
        <v>1</v>
      </c>
    </row>
    <row r="276" spans="1:11" x14ac:dyDescent="0.3">
      <c r="A276" s="99"/>
      <c r="B276" s="36" t="s">
        <v>11</v>
      </c>
      <c r="C276" s="17">
        <f>COUNTIF($S$12:$T$240,"Frankreich")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0</v>
      </c>
      <c r="H276" s="37">
        <f t="shared" si="36"/>
        <v>3</v>
      </c>
      <c r="I276" s="39">
        <f t="shared" si="37"/>
        <v>1</v>
      </c>
      <c r="J276" s="160"/>
      <c r="K276" s="35"/>
    </row>
    <row r="277" spans="1:11" x14ac:dyDescent="0.3">
      <c r="A277" s="99"/>
      <c r="B277" s="36" t="s">
        <v>159</v>
      </c>
      <c r="C277" s="17">
        <f>COUNTIF($S$12:$T$240,"Slowenien")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2</v>
      </c>
      <c r="H277" s="37">
        <f t="shared" si="36"/>
        <v>7</v>
      </c>
      <c r="I277" s="39">
        <f t="shared" si="37"/>
        <v>0</v>
      </c>
      <c r="J277" s="160"/>
      <c r="K277" s="35"/>
    </row>
    <row r="278" spans="1:11" x14ac:dyDescent="0.3">
      <c r="A278" s="99"/>
      <c r="B278" s="36" t="s">
        <v>162</v>
      </c>
      <c r="C278" s="17">
        <f>COUNTIF($S$12:$T$240,"China")</f>
        <v>3</v>
      </c>
      <c r="D278" s="37">
        <f t="shared" si="32"/>
        <v>0</v>
      </c>
      <c r="E278" s="37">
        <f t="shared" si="33"/>
        <v>0</v>
      </c>
      <c r="F278" s="37">
        <f t="shared" si="34"/>
        <v>3</v>
      </c>
      <c r="G278" s="37">
        <f t="shared" si="35"/>
        <v>0</v>
      </c>
      <c r="H278" s="37">
        <f t="shared" si="36"/>
        <v>9</v>
      </c>
      <c r="I278" s="39">
        <f t="shared" si="37"/>
        <v>0</v>
      </c>
      <c r="J278" s="160"/>
      <c r="K278" s="35"/>
    </row>
    <row r="279" spans="1:11" ht="15" thickBot="1" x14ac:dyDescent="0.35">
      <c r="A279" s="99"/>
      <c r="B279" s="41" t="s">
        <v>117</v>
      </c>
      <c r="C279" s="22">
        <f>COUNTIF($S$12:$T$240,"Saudi-Arabien")</f>
        <v>3</v>
      </c>
      <c r="D279" s="42">
        <f t="shared" si="32"/>
        <v>0</v>
      </c>
      <c r="E279" s="42">
        <f t="shared" si="33"/>
        <v>0</v>
      </c>
      <c r="F279" s="42">
        <f t="shared" si="34"/>
        <v>3</v>
      </c>
      <c r="G279" s="42">
        <f t="shared" si="35"/>
        <v>0</v>
      </c>
      <c r="H279" s="42">
        <f t="shared" si="36"/>
        <v>12</v>
      </c>
      <c r="I279" s="44">
        <f t="shared" si="37"/>
        <v>0</v>
      </c>
      <c r="J279" s="160"/>
      <c r="K279" s="35"/>
    </row>
    <row r="281" spans="1:11" x14ac:dyDescent="0.3">
      <c r="A281" s="9"/>
      <c r="B281" s="9"/>
      <c r="C281" s="9"/>
      <c r="D281" s="9"/>
      <c r="E281" s="9"/>
      <c r="F281" s="9"/>
      <c r="G281" s="12"/>
    </row>
    <row r="282" spans="1:11" x14ac:dyDescent="0.3">
      <c r="A282" s="9"/>
      <c r="B282" s="17"/>
      <c r="C282" s="17"/>
      <c r="D282" s="17"/>
      <c r="E282" s="37"/>
      <c r="F282" s="37"/>
      <c r="G282" s="12"/>
    </row>
    <row r="283" spans="1:11" x14ac:dyDescent="0.3">
      <c r="A283" s="9"/>
      <c r="B283" s="9"/>
      <c r="C283" s="17"/>
      <c r="D283" s="37"/>
      <c r="E283" s="37"/>
      <c r="F283" s="37"/>
      <c r="G283" s="12"/>
    </row>
    <row r="284" spans="1:11" x14ac:dyDescent="0.3">
      <c r="A284" s="9"/>
      <c r="B284" s="9"/>
      <c r="C284" s="17"/>
      <c r="D284" s="37"/>
      <c r="E284" s="37"/>
      <c r="F284" s="37"/>
      <c r="G284" s="12"/>
    </row>
    <row r="285" spans="1:11" x14ac:dyDescent="0.3">
      <c r="A285" s="9"/>
      <c r="B285" s="9"/>
      <c r="C285" s="17"/>
      <c r="D285" s="37"/>
      <c r="E285" s="37"/>
      <c r="F285" s="37"/>
      <c r="G285" s="12"/>
    </row>
    <row r="286" spans="1:11" x14ac:dyDescent="0.3">
      <c r="A286" s="9"/>
      <c r="B286" s="9"/>
      <c r="C286" s="17"/>
      <c r="D286" s="37"/>
      <c r="E286" s="37"/>
      <c r="F286" s="37"/>
      <c r="G286" s="12"/>
    </row>
    <row r="287" spans="1:11" x14ac:dyDescent="0.3">
      <c r="A287" s="9"/>
      <c r="B287" s="9"/>
      <c r="C287" s="17"/>
      <c r="D287" s="37"/>
      <c r="E287" s="37"/>
      <c r="F287" s="37"/>
      <c r="G287" s="12"/>
    </row>
    <row r="288" spans="1:11" x14ac:dyDescent="0.3">
      <c r="A288" s="9"/>
      <c r="B288" s="9"/>
      <c r="C288" s="17"/>
      <c r="D288" s="9"/>
      <c r="E288" s="9"/>
      <c r="F288" s="9"/>
      <c r="G288" s="12"/>
    </row>
    <row r="289" spans="1:7" x14ac:dyDescent="0.3">
      <c r="A289" s="9"/>
      <c r="B289" s="9"/>
      <c r="C289" s="17"/>
      <c r="D289" s="9"/>
      <c r="E289" s="9"/>
      <c r="F289" s="9"/>
      <c r="G289" s="12"/>
    </row>
    <row r="290" spans="1:7" x14ac:dyDescent="0.3">
      <c r="A290" s="9"/>
      <c r="B290" s="9"/>
      <c r="C290" s="9"/>
      <c r="D290" s="9"/>
      <c r="E290" s="9"/>
      <c r="F290" s="9"/>
      <c r="G290" s="12"/>
    </row>
    <row r="291" spans="1:7" x14ac:dyDescent="0.3">
      <c r="A291" s="9"/>
      <c r="B291" s="9"/>
      <c r="C291" s="9"/>
      <c r="D291" s="9"/>
      <c r="E291" s="9"/>
      <c r="F291" s="9"/>
      <c r="G291" s="12"/>
    </row>
  </sheetData>
  <mergeCells count="5">
    <mergeCell ref="A2:J2"/>
    <mergeCell ref="A4:J4"/>
    <mergeCell ref="A5:J5"/>
    <mergeCell ref="C231:I231"/>
    <mergeCell ref="C239:I23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6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R28" sqref="R28"/>
    </sheetView>
  </sheetViews>
  <sheetFormatPr baseColWidth="10" defaultRowHeight="14.4" x14ac:dyDescent="0.3"/>
  <cols>
    <col min="1" max="1" width="11.5546875" style="99"/>
    <col min="3" max="3" width="20.77734375" style="99" customWidth="1"/>
    <col min="4" max="4" width="10.77734375" style="99" customWidth="1"/>
    <col min="5" max="7" width="5.77734375" style="47" customWidth="1"/>
    <col min="8" max="9" width="10.77734375" style="47" customWidth="1"/>
    <col min="10" max="10" width="10.77734375" style="99" customWidth="1"/>
    <col min="11" max="13" width="10.77734375" style="47" customWidth="1"/>
    <col min="14" max="16" width="5.77734375" style="9" customWidth="1"/>
    <col min="17" max="19" width="10.77734375" style="47" customWidth="1"/>
    <col min="20" max="24" width="5.77734375" style="159" customWidth="1"/>
    <col min="25" max="36" width="5.77734375" style="76" customWidth="1"/>
    <col min="38" max="42" width="11.5546875" style="35"/>
  </cols>
  <sheetData>
    <row r="1" spans="1:42" x14ac:dyDescent="0.3">
      <c r="A1" s="166" t="s">
        <v>181</v>
      </c>
      <c r="C1" s="167" t="s">
        <v>182</v>
      </c>
      <c r="E1" s="99"/>
    </row>
    <row r="3" spans="1:42" ht="15" thickBot="1" x14ac:dyDescent="0.35">
      <c r="A3" s="168" t="s">
        <v>183</v>
      </c>
      <c r="B3" s="50" t="s">
        <v>184</v>
      </c>
      <c r="C3" s="22" t="s">
        <v>62</v>
      </c>
      <c r="D3" s="22" t="s">
        <v>27</v>
      </c>
      <c r="E3" s="50" t="s">
        <v>28</v>
      </c>
      <c r="F3" s="23" t="s">
        <v>29</v>
      </c>
      <c r="G3" s="169" t="s">
        <v>30</v>
      </c>
      <c r="H3" s="28" t="s">
        <v>31</v>
      </c>
      <c r="I3" s="28" t="s">
        <v>32</v>
      </c>
      <c r="J3" s="170" t="s">
        <v>185</v>
      </c>
      <c r="K3" s="28" t="s">
        <v>33</v>
      </c>
      <c r="L3" s="105" t="s">
        <v>34</v>
      </c>
      <c r="M3" s="171" t="s">
        <v>27</v>
      </c>
      <c r="N3" s="28" t="s">
        <v>28</v>
      </c>
      <c r="O3" s="28" t="s">
        <v>29</v>
      </c>
      <c r="P3" s="105" t="s">
        <v>30</v>
      </c>
      <c r="Q3" s="171" t="s">
        <v>118</v>
      </c>
      <c r="R3" s="28" t="s">
        <v>33</v>
      </c>
      <c r="S3" s="172"/>
      <c r="T3" s="159">
        <v>1986</v>
      </c>
      <c r="U3" s="159">
        <v>1990</v>
      </c>
      <c r="V3" s="159">
        <v>1994</v>
      </c>
      <c r="W3" s="159">
        <v>1998</v>
      </c>
      <c r="X3" s="159">
        <v>2002</v>
      </c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</row>
    <row r="4" spans="1:42" ht="15" thickBot="1" x14ac:dyDescent="0.35">
      <c r="A4" s="173"/>
      <c r="B4" s="174" t="s">
        <v>186</v>
      </c>
      <c r="C4" s="175"/>
      <c r="D4" s="176" t="s">
        <v>187</v>
      </c>
      <c r="E4" s="205" t="s">
        <v>188</v>
      </c>
      <c r="F4" s="206"/>
      <c r="G4" s="207"/>
      <c r="H4" s="208" t="s">
        <v>186</v>
      </c>
      <c r="I4" s="209"/>
      <c r="J4" s="177"/>
      <c r="K4" s="210" t="s">
        <v>189</v>
      </c>
      <c r="L4" s="207"/>
      <c r="M4" s="178" t="s">
        <v>190</v>
      </c>
      <c r="N4" s="205" t="s">
        <v>191</v>
      </c>
      <c r="O4" s="206"/>
      <c r="P4" s="207"/>
      <c r="Q4" s="179" t="s">
        <v>192</v>
      </c>
      <c r="R4" s="148" t="s">
        <v>186</v>
      </c>
      <c r="S4" s="172"/>
      <c r="Y4" s="159"/>
      <c r="Z4" s="159"/>
      <c r="AA4" s="159"/>
      <c r="AB4" s="159"/>
      <c r="AC4" s="159"/>
      <c r="AD4" s="159"/>
    </row>
    <row r="5" spans="1:42" x14ac:dyDescent="0.3">
      <c r="A5" s="173">
        <v>1</v>
      </c>
      <c r="B5" s="180">
        <f>SUM($T5:$X5)</f>
        <v>5</v>
      </c>
      <c r="C5" s="181" t="s">
        <v>16</v>
      </c>
      <c r="D5" s="99">
        <f t="array" aca="1" ref="D5" ca="1">SUM(COUNTIF(INDIRECT(""&amp;$T$3:$X$3&amp;"!$S$12:$T$400"),"Brasilien"))</f>
        <v>30</v>
      </c>
      <c r="E5" s="30">
        <f>SUM('1986'!D219,'1990'!D230)</f>
        <v>7</v>
      </c>
      <c r="F5" s="30">
        <f>SUM('1986'!E219,'1990'!E230)</f>
        <v>0</v>
      </c>
      <c r="G5" s="30">
        <f>SUM('1986'!F219,'1990'!F230)</f>
        <v>2</v>
      </c>
      <c r="H5" s="30">
        <f>SUM('1986'!G219,'1990'!G230,'1994'!G221,'1998'!G248,'2002'!G248)</f>
        <v>67</v>
      </c>
      <c r="I5" s="30">
        <f>SUM('1986'!H219,'1990'!H230,'1994'!H221,'1998'!H248,'2002'!H248)</f>
        <v>28</v>
      </c>
      <c r="J5" s="173">
        <f t="shared" ref="J5:J30" si="0">SUM(H5-I5)</f>
        <v>39</v>
      </c>
      <c r="K5" s="38">
        <f>(E5*2)+F5</f>
        <v>14</v>
      </c>
      <c r="L5" s="39">
        <f t="shared" ref="L5:L68" si="1">(G5*2)+F5</f>
        <v>4</v>
      </c>
      <c r="M5" s="99">
        <f t="array" aca="1" ref="M5" ca="1">SUM(COUNTIF(INDIRECT(""&amp;$V$3:$X$3&amp;"!$S$12:$T$400"),"Brasilien"))</f>
        <v>21</v>
      </c>
      <c r="N5" s="30">
        <f>SUM('1994'!D221,'1998'!D248,'2002'!D248)</f>
        <v>18</v>
      </c>
      <c r="O5" s="30">
        <f>SUM('1994'!E221,'1998'!E248,'2002'!E248)</f>
        <v>1</v>
      </c>
      <c r="P5" s="30">
        <f>SUM('1994'!F221,'1998'!F248,'2002'!F248)</f>
        <v>2</v>
      </c>
      <c r="Q5" s="38">
        <f t="shared" ref="Q5:Q68" si="2">(N5*3)+O5</f>
        <v>55</v>
      </c>
      <c r="R5" s="182">
        <f t="shared" ref="R5:R68" si="3">SUM(K5+Q5)</f>
        <v>69</v>
      </c>
      <c r="S5" s="98"/>
      <c r="T5" s="37">
        <f>COUNTIF('1986'!$AA$1:$AA$100,"Brasilien")</f>
        <v>1</v>
      </c>
      <c r="U5" s="37">
        <f>COUNTIF('1990'!$AA$1:$AA$100,"Brasilien")</f>
        <v>1</v>
      </c>
      <c r="V5" s="37">
        <f>COUNTIF('1994'!$AA$1:$AA$100,"Brasilien")</f>
        <v>1</v>
      </c>
      <c r="W5" s="37">
        <f>COUNTIF('1998'!$AA$1:$AA$100,"Brasilien")</f>
        <v>1</v>
      </c>
      <c r="X5" s="37">
        <f>COUNTIF('2002'!$AA$1:$AA$100,"Brasilien")</f>
        <v>1</v>
      </c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L5" s="99"/>
      <c r="AM5" s="99"/>
      <c r="AN5" s="99"/>
      <c r="AP5" s="99"/>
    </row>
    <row r="6" spans="1:42" x14ac:dyDescent="0.3">
      <c r="A6" s="173">
        <v>2</v>
      </c>
      <c r="B6" s="180">
        <f>SUM($T6:$X6)</f>
        <v>5</v>
      </c>
      <c r="C6" s="173" t="s">
        <v>13</v>
      </c>
      <c r="D6" s="99">
        <f t="array" aca="1" ref="D6" ca="1">SUM(COUNTIF(INDIRECT(""&amp;$T$3:$X$3&amp;"!$S$12:$T$400"),"BRD"))</f>
        <v>31</v>
      </c>
      <c r="E6" s="36">
        <f>SUM('[1]1954'!D134,'[1]1958'!D155,'[1]1962'!D137,'[1]1966'!D135,'[1]1970'!D137,'[1]1974'!D155,'[1]1978'!D159,'[1]1982'!D225,'[1]1986'!D218,'[1]1990'!D226)</f>
        <v>39</v>
      </c>
      <c r="F6" s="17">
        <f>SUM('[1]1954'!E134,'[1]1958'!E155,'[1]1962'!E137,'[1]1966'!E135,'[1]1970'!E137,'[1]1974'!E155,'[1]1978'!E159,'[1]1982'!E225,'[1]1986'!E218,'[1]1990'!E226)</f>
        <v>11</v>
      </c>
      <c r="G6" s="183">
        <f>SUM('[1]1954'!F134,'[1]1958'!F155,'[1]1962'!F137,'[1]1966'!F135,'[1]1970'!F137,'[1]1974'!F155,'[1]1978'!F159,'[1]1982'!F225,'[1]1986'!F218,'[1]1990'!F226)</f>
        <v>12</v>
      </c>
      <c r="H6" s="99">
        <f>SUM('[1]1954'!G134,'[1]1958'!G155,'[1]1962'!G137,'[1]1966'!G135,'[1]1970'!G137,'[1]1974'!G155,'[1]1978'!G159,'[1]1982'!G225,'[1]1986'!G218,'[1]1990'!G226,'[1]1994'!G225,'[1]1998'!G253,'[1]2002'!G249,'[1]2006'!G249,'[1]2010'!G245,'[1]2014'!G250)</f>
        <v>227</v>
      </c>
      <c r="I6" s="99">
        <f>SUM('[1]1954'!H134,'[1]1958'!H155,'[1]1962'!H137,'[1]1966'!H135,'[1]1970'!H137,'[1]1974'!H155,'[1]1978'!H159,'[1]1982'!H225,'[1]1986'!H218,'[1]1990'!H226,'[1]1994'!H225,'[1]1998'!H253,'[1]2002'!H249,'[1]2006'!H249,'[1]2010'!H245,'[1]2014'!H250)</f>
        <v>118</v>
      </c>
      <c r="J6" s="173">
        <f t="shared" si="0"/>
        <v>109</v>
      </c>
      <c r="K6" s="38">
        <f t="shared" ref="K6:K68" si="4">(E6*2)+F6</f>
        <v>89</v>
      </c>
      <c r="L6" s="39">
        <f t="shared" si="1"/>
        <v>35</v>
      </c>
      <c r="M6" s="99">
        <f t="array" aca="1" ref="M6" ca="1">SUM(COUNTIF(INDIRECT(""&amp;$V$3:$X$3&amp;"!$S$12:$T$400"),"BRD"))</f>
        <v>17</v>
      </c>
      <c r="N6" s="36">
        <f>SUM('[1]1994'!D225,'[1]1998'!D253,'[1]2002'!D249,'[1]2006'!D249,'[1]2010'!D245,'[1]2014'!D250)</f>
        <v>28</v>
      </c>
      <c r="O6" s="17">
        <f>SUM('[1]1994'!E225,'[1]1998'!E253,'[1]2002'!E249,'[1]2006'!E249,'[1]2010'!E245,'[1]2014'!E250)</f>
        <v>4</v>
      </c>
      <c r="P6" s="183">
        <f>SUM('[1]1994'!F225,'[1]1998'!F253,'[1]2002'!F249,'[1]2006'!F249,'[1]2010'!F245,'[1]2014'!F250)</f>
        <v>6</v>
      </c>
      <c r="Q6" s="38">
        <f t="shared" si="2"/>
        <v>88</v>
      </c>
      <c r="R6" s="184">
        <f t="shared" si="3"/>
        <v>177</v>
      </c>
      <c r="S6" s="98"/>
      <c r="T6" s="37">
        <f>COUNTIF('1986'!$AA$1:$AA$100,"BRD")</f>
        <v>1</v>
      </c>
      <c r="U6" s="37">
        <f>COUNTIF('1990'!$AA$1:$AA$100,"BRD")</f>
        <v>1</v>
      </c>
      <c r="V6" s="37">
        <f>COUNTIF('1994'!$AA$1:$AA$100,"BRD")</f>
        <v>1</v>
      </c>
      <c r="W6" s="37">
        <f>COUNTIF('1998'!$AA$1:$AA$100,"BRD")</f>
        <v>1</v>
      </c>
      <c r="X6" s="37">
        <f>COUNTIF('2002'!$AA$1:$AA$100,"BRD")</f>
        <v>1</v>
      </c>
      <c r="Y6" s="37"/>
      <c r="Z6" s="37"/>
      <c r="AA6" s="37"/>
      <c r="AB6" s="37"/>
      <c r="AC6" s="37"/>
      <c r="AD6" s="37"/>
    </row>
    <row r="7" spans="1:42" x14ac:dyDescent="0.3">
      <c r="A7" s="173">
        <v>3</v>
      </c>
      <c r="B7" s="180">
        <f t="shared" ref="B5:B36" si="5">SUM($T7:$AE7)</f>
        <v>5</v>
      </c>
      <c r="C7" s="173" t="s">
        <v>5</v>
      </c>
      <c r="D7" s="99">
        <f t="array" aca="1" ref="D7" ca="1">SUM(COUNTIF(INDIRECT(""&amp;$T$3:$X$3&amp;"!$S$12:$T$400"),"Italien"))</f>
        <v>27</v>
      </c>
      <c r="E7" s="36">
        <f>SUM('[1]1934'!D76,'[1]1938'!D85,'[1]1950'!D113,'[1]1954'!D144,'[1]1962'!D138,'[1]1966'!D143,'[1]1970'!D138,'[1]1974'!D163,'[1]1978'!D156,'[1]1982'!D224,'[1]1986'!D226,'[1]1990'!D227)</f>
        <v>31</v>
      </c>
      <c r="F7" s="17">
        <f>SUM('[1]1934'!E76,'[1]1938'!E85,'[1]1950'!E113,'[1]1954'!E144,'[1]1962'!E138,'[1]1966'!E143,'[1]1970'!E138,'[1]1974'!E163,'[1]1978'!E156,'[1]1982'!E224,'[1]1986'!E226,'[1]1990'!E227)</f>
        <v>11</v>
      </c>
      <c r="G7" s="183">
        <f>SUM('[1]1934'!F76,'[1]1938'!F85,'[1]1950'!F113,'[1]1954'!F144,'[1]1962'!F138,'[1]1966'!F143,'[1]1970'!F138,'[1]1974'!F163,'[1]1978'!F156,'[1]1982'!F224,'[1]1986'!F226,'[1]1990'!F227)</f>
        <v>12</v>
      </c>
      <c r="H7" s="99">
        <f>SUM('[1]1934'!G76,'[1]1938'!G85,'[1]1950'!G113,'[1]1954'!G144,'[1]1962'!G138,'[1]1966'!G143,'[1]1970'!G138,'[1]1974'!G163,'[1]1978'!G156,'[1]1982'!G224,'[1]1986'!G226,'[1]1990'!G227,'[1]1994'!G223,'[1]1998'!G252,'[1]2002'!G264,'[1]2006'!G248,'[1]2010'!G268,'[1]2014'!G272)</f>
        <v>141</v>
      </c>
      <c r="I7" s="99">
        <f>SUM('[1]1934'!H76,'[1]1938'!H85,'[1]1950'!H113,'[1]1954'!H144,'[1]1962'!H138,'[1]1966'!H143,'[1]1970'!H138,'[1]1974'!H163,'[1]1978'!H156,'[1]1982'!H224,'[1]1986'!H226,'[1]1990'!H227,'[1]1994'!H223,'[1]1998'!H252,'[1]2002'!H264,'[1]2006'!H248,'[1]2010'!H268,'[1]2014'!H272)</f>
        <v>91</v>
      </c>
      <c r="J7" s="173">
        <f t="shared" si="0"/>
        <v>50</v>
      </c>
      <c r="K7" s="38">
        <f t="shared" si="4"/>
        <v>73</v>
      </c>
      <c r="L7" s="39">
        <f t="shared" si="1"/>
        <v>35</v>
      </c>
      <c r="M7" s="99">
        <f t="array" aca="1" ref="M7" ca="1">SUM(COUNTIF(INDIRECT(""&amp;$V$3:$X$3&amp;"!$S$12:$T$400"),"Italien"))</f>
        <v>16</v>
      </c>
      <c r="N7" s="36">
        <f>SUM('[1]1994'!D223,'[1]1998'!D252,'[1]2002'!D264,'[1]2006'!D248,'[1]2010'!D268,'[1]2014'!D272)</f>
        <v>15</v>
      </c>
      <c r="O7" s="17">
        <f>SUM('[1]1994'!E223,'[1]1998'!E252,'[1]2002'!E264,'[1]2006'!E248,'[1]2010'!E268,'[1]2014'!E272)</f>
        <v>6</v>
      </c>
      <c r="P7" s="183">
        <f>SUM('[1]1994'!F223,'[1]1998'!F252,'[1]2002'!F264,'[1]2006'!F248,'[1]2010'!F268,'[1]2014'!F272)</f>
        <v>8</v>
      </c>
      <c r="Q7" s="38">
        <f t="shared" si="2"/>
        <v>51</v>
      </c>
      <c r="R7" s="184">
        <f t="shared" si="3"/>
        <v>124</v>
      </c>
      <c r="S7" s="98"/>
      <c r="T7" s="37">
        <f>COUNTIF('1986'!$AA$1:$AA$100,"Italien")</f>
        <v>1</v>
      </c>
      <c r="U7" s="37">
        <f>COUNTIF('1990'!$AA$1:$AA$100,"Italien")</f>
        <v>1</v>
      </c>
      <c r="V7" s="37">
        <f>COUNTIF('1994'!$AA$1:$AA$100,"Italien")</f>
        <v>1</v>
      </c>
      <c r="W7" s="37">
        <f>COUNTIF('1998'!$AA$1:$AA$100,"Italien")</f>
        <v>1</v>
      </c>
      <c r="X7" s="37">
        <f>COUNTIF('2002'!$AA$1:$AA$100,"Italien")</f>
        <v>1</v>
      </c>
      <c r="Y7" s="37"/>
      <c r="Z7" s="37"/>
      <c r="AA7" s="37"/>
      <c r="AB7" s="37"/>
      <c r="AC7" s="37"/>
      <c r="AD7" s="37"/>
    </row>
    <row r="8" spans="1:42" x14ac:dyDescent="0.3">
      <c r="A8" s="173">
        <v>4</v>
      </c>
      <c r="B8" s="180">
        <f t="shared" si="5"/>
        <v>5</v>
      </c>
      <c r="C8" s="173" t="s">
        <v>7</v>
      </c>
      <c r="D8" s="99">
        <f t="array" aca="1" ref="D8" ca="1">SUM(COUNTIF(INDIRECT(""&amp;$T$3:$X$3&amp;"!$S$12:$T$400"),"Argentinien"))</f>
        <v>26</v>
      </c>
      <c r="E8" s="36">
        <f>SUM('[1]1930'!D102,'[1]1934'!D86,'[1]1958'!D164,'[1]1962'!D139,'[1]1966'!D137,'[1]1974'!D162,'[1]1978'!D154,'[1]1982'!D235,'[1]1986'!D216,'[1]1990'!D228)</f>
        <v>26</v>
      </c>
      <c r="F8" s="17">
        <f>SUM('[1]1930'!E102,'[1]1934'!E86,'[1]1958'!E164,'[1]1962'!E139,'[1]1966'!E137,'[1]1974'!E162,'[1]1978'!E154,'[1]1982'!E235,'[1]1986'!E216,'[1]1990'!E228)</f>
        <v>7</v>
      </c>
      <c r="G8" s="183">
        <f>SUM('[1]1930'!F102,'[1]1934'!F86,'[1]1958'!F164,'[1]1962'!F139,'[1]1966'!F137,'[1]1974'!F162,'[1]1978'!F154,'[1]1982'!F235,'[1]1986'!F216,'[1]1990'!F228)</f>
        <v>15</v>
      </c>
      <c r="H8" s="99">
        <f>SUM('[1]1930'!G102,'[1]1934'!G86,'[1]1958'!G164,'[1]1962'!G139,'[1]1966'!G137,'[1]1974'!G162,'[1]1978'!G154,'[1]1982'!G235,'[1]1986'!G216,'[1]1990'!G228,'[1]1994'!G229,'[1]1998'!G250,'[1]2002'!G266,'[1]2006'!G253,'[1]2010'!G247,'[1]2014'!G252)</f>
        <v>148</v>
      </c>
      <c r="I8" s="99">
        <f>SUM('[1]1930'!H102,'[1]1934'!H86,'[1]1958'!H164,'[1]1962'!H139,'[1]1966'!H137,'[1]1974'!H162,'[1]1978'!H154,'[1]1982'!H235,'[1]1986'!H216,'[1]1990'!H228,'[1]1994'!H229,'[1]1998'!H250,'[1]2002'!H266,'[1]2006'!H253,'[1]2010'!H247,'[1]2014'!H252)</f>
        <v>98</v>
      </c>
      <c r="J8" s="173">
        <f t="shared" si="0"/>
        <v>50</v>
      </c>
      <c r="K8" s="38">
        <f t="shared" si="4"/>
        <v>59</v>
      </c>
      <c r="L8" s="39">
        <f t="shared" si="1"/>
        <v>37</v>
      </c>
      <c r="M8" s="99">
        <f t="array" aca="1" ref="M8" ca="1">SUM(COUNTIF(INDIRECT(""&amp;$V$3:$X$3&amp;"!$S$12:$T$400"),"Argentinien"))</f>
        <v>12</v>
      </c>
      <c r="N8" s="36">
        <f>SUM('[1]1994'!D229,'[1]1998'!D250,'[1]2002'!D266,'[1]2006'!D253,'[1]2010'!D247,'[1]2014'!D252)</f>
        <v>20</v>
      </c>
      <c r="O8" s="17">
        <f>SUM('[1]1994'!E229,'[1]1998'!E250,'[1]2002'!E266,'[1]2006'!E253,'[1]2010'!E247,'[1]2014'!E252)</f>
        <v>2</v>
      </c>
      <c r="P8" s="183">
        <f>SUM('[1]1994'!F229,'[1]1998'!F250,'[1]2002'!F266,'[1]2006'!F253,'[1]2010'!F247,'[1]2014'!F252)</f>
        <v>7</v>
      </c>
      <c r="Q8" s="38">
        <f t="shared" si="2"/>
        <v>62</v>
      </c>
      <c r="R8" s="184">
        <f t="shared" si="3"/>
        <v>121</v>
      </c>
      <c r="S8" s="98"/>
      <c r="T8" s="37">
        <f>COUNTIF('1986'!$AA$1:$AA$100,"Argentinien")</f>
        <v>1</v>
      </c>
      <c r="U8" s="37">
        <f>COUNTIF('1990'!$AA$1:$AA$100,"Argentinien")</f>
        <v>1</v>
      </c>
      <c r="V8" s="37">
        <f>COUNTIF('1994'!$AA$1:$AA$100,"Argentinien")</f>
        <v>1</v>
      </c>
      <c r="W8" s="37">
        <f>COUNTIF('1998'!$AA$1:$AA$100,"Argentinien")</f>
        <v>1</v>
      </c>
      <c r="X8" s="37">
        <f>COUNTIF('2002'!$AA$1:$AA$100,"Argentinien")</f>
        <v>1</v>
      </c>
      <c r="Y8" s="37"/>
      <c r="Z8" s="37"/>
      <c r="AA8" s="37"/>
      <c r="AB8" s="37"/>
      <c r="AC8" s="37"/>
      <c r="AD8" s="37"/>
    </row>
    <row r="9" spans="1:42" s="35" customFormat="1" x14ac:dyDescent="0.3">
      <c r="A9" s="173">
        <v>5</v>
      </c>
      <c r="B9" s="180">
        <f t="shared" si="5"/>
        <v>5</v>
      </c>
      <c r="C9" s="173" t="s">
        <v>22</v>
      </c>
      <c r="D9" s="99">
        <f t="array" aca="1" ref="D9" ca="1">SUM(COUNTIF(INDIRECT(""&amp;$T$3:$X$3&amp;"!$S$12:$T$400"),"Spanien"))</f>
        <v>22</v>
      </c>
      <c r="E9" s="36">
        <f>SUM('[1]1934'!D80,'[1]1950'!D109,'[1]1962'!D143,'[1]1966'!D141,'[1]1978'!D164,'[1]1982'!D236,'[1]1986'!D223,'[1]1990'!D234)</f>
        <v>13</v>
      </c>
      <c r="F9" s="17">
        <f>SUM('[1]1934'!E80,'[1]1950'!E109,'[1]1962'!E143,'[1]1966'!E141,'[1]1978'!E164,'[1]1982'!E236,'[1]1986'!E223,'[1]1990'!E234)</f>
        <v>6</v>
      </c>
      <c r="G9" s="183">
        <f>SUM('[1]1934'!F80,'[1]1950'!F109,'[1]1962'!F143,'[1]1966'!F141,'[1]1978'!F164,'[1]1982'!F236,'[1]1986'!F223,'[1]1990'!F234)</f>
        <v>13</v>
      </c>
      <c r="H9" s="99">
        <f>SUM('[1]1934'!G80,'[1]1950'!G109,'[1]1962'!G143,'[1]1966'!G141,'[1]1978'!G164,'[1]1982'!G236,'[1]1986'!G223,'[1]1990'!G234,'[1]1994'!G228,'[1]1998'!G262,'[1]2002'!G252,'[1]2006'!G255,'[1]2010'!G244,'[1]2014'!G271)</f>
        <v>102</v>
      </c>
      <c r="I9" s="99">
        <f>SUM('[1]1934'!H80,'[1]1950'!H109,'[1]1962'!H143,'[1]1966'!H141,'[1]1978'!H164,'[1]1982'!H236,'[1]1986'!H223,'[1]1990'!H234,'[1]1994'!H228,'[1]1998'!H262,'[1]2002'!H252,'[1]2006'!H255,'[1]2010'!H244,'[1]2014'!H271)</f>
        <v>78</v>
      </c>
      <c r="J9" s="173">
        <f t="shared" si="0"/>
        <v>24</v>
      </c>
      <c r="K9" s="38">
        <f t="shared" si="4"/>
        <v>32</v>
      </c>
      <c r="L9" s="39">
        <f t="shared" si="1"/>
        <v>32</v>
      </c>
      <c r="M9" s="99">
        <f t="array" aca="1" ref="M9" ca="1">SUM(COUNTIF(INDIRECT(""&amp;$V$3:$X$3&amp;"!$S$12:$T$400"),"Spanien"))</f>
        <v>13</v>
      </c>
      <c r="N9" s="36">
        <f>SUM('[1]1994'!D228,'[1]1998'!D262,'[1]2002'!D252,'[1]2006'!D255,'[1]2010'!D244,'[1]2014'!D271)</f>
        <v>17</v>
      </c>
      <c r="O9" s="17">
        <f>SUM('[1]1994'!E228,'[1]1998'!E262,'[1]2002'!E252,'[1]2006'!E255,'[1]2010'!E244,'[1]2014'!E271)</f>
        <v>3</v>
      </c>
      <c r="P9" s="183">
        <f>SUM('[1]1994'!F228,'[1]1998'!F262,'[1]2002'!F252,'[1]2006'!F255,'[1]2010'!F244,'[1]2014'!F271)</f>
        <v>7</v>
      </c>
      <c r="Q9" s="38">
        <f t="shared" si="2"/>
        <v>54</v>
      </c>
      <c r="R9" s="184">
        <f t="shared" si="3"/>
        <v>86</v>
      </c>
      <c r="S9" s="98"/>
      <c r="T9" s="37">
        <f>COUNTIF('1986'!$AA$1:$AA$100,"Spanien")</f>
        <v>1</v>
      </c>
      <c r="U9" s="37">
        <f>COUNTIF('1990'!$AA$1:$AA$100,"Spanien")</f>
        <v>1</v>
      </c>
      <c r="V9" s="37">
        <f>COUNTIF('1994'!$AA$1:$AA$100,"Spanien")</f>
        <v>1</v>
      </c>
      <c r="W9" s="37">
        <f>COUNTIF('1998'!$AA$1:$AA$100,"Spanien")</f>
        <v>1</v>
      </c>
      <c r="X9" s="37">
        <f>COUNTIF('2002'!$AA$1:$AA$100,"Spanien")</f>
        <v>1</v>
      </c>
      <c r="Y9" s="37"/>
      <c r="Z9" s="37"/>
      <c r="AA9" s="37"/>
      <c r="AB9" s="37"/>
      <c r="AC9" s="37"/>
      <c r="AD9" s="37"/>
      <c r="AE9" s="76"/>
      <c r="AF9" s="76"/>
      <c r="AG9" s="76"/>
      <c r="AH9" s="76"/>
      <c r="AI9" s="76"/>
      <c r="AJ9" s="76"/>
    </row>
    <row r="10" spans="1:42" s="35" customFormat="1" x14ac:dyDescent="0.3">
      <c r="A10" s="173">
        <v>6</v>
      </c>
      <c r="B10" s="180">
        <f t="shared" si="5"/>
        <v>3</v>
      </c>
      <c r="C10" s="173" t="s">
        <v>89</v>
      </c>
      <c r="D10" s="99">
        <f t="array" aca="1" ref="D10" ca="1">SUM(COUNTIF(INDIRECT(""&amp;$T$3:$X$3&amp;"!$S$12:$T$400"),"Niederlande"))</f>
        <v>16</v>
      </c>
      <c r="E10" s="36">
        <f>SUM('[1]1934'!D85,'[1]1938'!D98,'[1]1974'!D156,'[1]1978'!D157,'[1]1990'!D240)</f>
        <v>8</v>
      </c>
      <c r="F10" s="17">
        <f>SUM('[1]1934'!E85,'[1]1938'!E98,'[1]1974'!E156,'[1]1978'!E157,'[1]1990'!E240)</f>
        <v>6</v>
      </c>
      <c r="G10" s="183">
        <f>SUM('[1]1934'!F85,'[1]1938'!F98,'[1]1974'!F156,'[1]1978'!F157,'[1]1990'!F240)</f>
        <v>6</v>
      </c>
      <c r="H10" s="99">
        <f>SUM('[1]1934'!G85,'[1]1938'!G98,'[1]1974'!G156,'[1]1978'!G157,'[1]1990'!G240,'[1]1994'!G227,'[1]1998'!G251,'[1]2006'!G258,'[1]2010'!G243,'[1]2014'!G251)</f>
        <v>94</v>
      </c>
      <c r="I10" s="99">
        <f>SUM('[1]1934'!H85,'[1]1938'!H98,'[1]1974'!H156,'[1]1978'!H157,'[1]1990'!H240,'[1]1994'!H227,'[1]1998'!H251,'[1]2006'!H258,'[1]2010'!H243,'[1]2014'!H251)</f>
        <v>59</v>
      </c>
      <c r="J10" s="173">
        <f t="shared" si="0"/>
        <v>35</v>
      </c>
      <c r="K10" s="38">
        <f t="shared" si="4"/>
        <v>22</v>
      </c>
      <c r="L10" s="39">
        <f t="shared" si="1"/>
        <v>18</v>
      </c>
      <c r="M10" s="99">
        <f t="array" aca="1" ref="M10" ca="1">SUM(COUNTIF(INDIRECT(""&amp;$V$3:$X$3&amp;"!$S$12:$T$400"),"Niederlande"))</f>
        <v>12</v>
      </c>
      <c r="N10" s="36">
        <f>SUM('[1]1994'!D227,'[1]1998'!D251,'[1]2006'!D258,'[1]2010'!D243,'[1]2014'!D251)</f>
        <v>20</v>
      </c>
      <c r="O10" s="17">
        <f>SUM('[1]1994'!E227,'[1]1998'!E251,'[1]2006'!E258,'[1]2010'!E243,'[1]2014'!E251)</f>
        <v>3</v>
      </c>
      <c r="P10" s="183">
        <f>SUM('[1]1994'!F227,'[1]1998'!F251,'[1]2006'!F258,'[1]2010'!F243,'[1]2014'!F251)</f>
        <v>7</v>
      </c>
      <c r="Q10" s="38">
        <f t="shared" si="2"/>
        <v>63</v>
      </c>
      <c r="R10" s="184">
        <f t="shared" si="3"/>
        <v>85</v>
      </c>
      <c r="S10" s="98"/>
      <c r="T10" s="37">
        <f>COUNTIF('1986'!$AA$1:$AA$100,"Niederlande")</f>
        <v>0</v>
      </c>
      <c r="U10" s="37">
        <f>COUNTIF('1990'!$AA$1:$AA$100,"Niederlande")</f>
        <v>1</v>
      </c>
      <c r="V10" s="37">
        <f>COUNTIF('1994'!$AA$1:$AA$100,"Niederlande")</f>
        <v>1</v>
      </c>
      <c r="W10" s="37">
        <f>COUNTIF('1998'!$AA$1:$AA$100,"Niederlande")</f>
        <v>1</v>
      </c>
      <c r="X10" s="37">
        <f>COUNTIF('2002'!$AA$1:$AA$100,"Niederlande")</f>
        <v>0</v>
      </c>
      <c r="Y10" s="37"/>
      <c r="Z10" s="37"/>
      <c r="AA10" s="37"/>
      <c r="AB10" s="37"/>
      <c r="AC10" s="37"/>
      <c r="AD10" s="37"/>
      <c r="AE10" s="76"/>
      <c r="AF10" s="76"/>
      <c r="AG10" s="76"/>
      <c r="AH10" s="76"/>
      <c r="AI10" s="76"/>
      <c r="AJ10" s="76"/>
    </row>
    <row r="11" spans="1:42" s="35" customFormat="1" x14ac:dyDescent="0.3">
      <c r="A11" s="173">
        <v>7</v>
      </c>
      <c r="B11" s="180">
        <f t="shared" si="5"/>
        <v>3</v>
      </c>
      <c r="C11" s="173" t="s">
        <v>11</v>
      </c>
      <c r="D11" s="99">
        <f t="array" aca="1" ref="D11" ca="1">SUM(COUNTIF(INDIRECT(""&amp;$T$3:$X$3&amp;"!$S$12:$T$400"),"Frankreich"))</f>
        <v>17</v>
      </c>
      <c r="E11" s="36">
        <f>SUM('[1]1930'!D109,'[1]1934'!D84,'[1]1938'!D91,'[1]1954'!D142,'[1]1958'!D154,'[1]1966'!D145,'[1]1978'!D165,'[1]1982'!D229,'[1]1986'!D217)</f>
        <v>16</v>
      </c>
      <c r="F11" s="17">
        <f>SUM('[1]1930'!E109,'[1]1934'!E84,'[1]1938'!E91,'[1]1954'!E142,'[1]1958'!E154,'[1]1966'!E145,'[1]1978'!E165,'[1]1982'!E229,'[1]1986'!E217)</f>
        <v>3</v>
      </c>
      <c r="G11" s="183">
        <f>SUM('[1]1930'!F109,'[1]1934'!F84,'[1]1938'!F91,'[1]1954'!F142,'[1]1958'!F154,'[1]1966'!F145,'[1]1978'!F165,'[1]1982'!F229,'[1]1986'!F217)</f>
        <v>15</v>
      </c>
      <c r="H11" s="99">
        <f>SUM('[1]1930'!G109,'[1]1934'!G84,'[1]1938'!G91,'[1]1954'!G142,'[1]1958'!G154,'[1]1966'!G145,'[1]1978'!G165,'[1]1982'!G229,'[1]1986'!G217,'[1]1998'!G247,'[1]2002'!G276,'[1]2006'!G251,'[1]2010'!G270,'[1]2014'!G257)</f>
        <v>121</v>
      </c>
      <c r="I11" s="99">
        <f>SUM('[1]1930'!H109,'[1]1934'!H84,'[1]1938'!H91,'[1]1954'!H142,'[1]1958'!H154,'[1]1966'!H145,'[1]1978'!H165,'[1]1982'!H229,'[1]1986'!H217,'[1]1998'!H247,'[1]2002'!H276,'[1]2006'!H251,'[1]2010'!H270,'[1]2014'!H257)</f>
        <v>87</v>
      </c>
      <c r="J11" s="173">
        <f t="shared" si="0"/>
        <v>34</v>
      </c>
      <c r="K11" s="38">
        <f t="shared" si="4"/>
        <v>35</v>
      </c>
      <c r="L11" s="39">
        <f t="shared" si="1"/>
        <v>33</v>
      </c>
      <c r="M11" s="99">
        <f t="array" aca="1" ref="M11" ca="1">SUM(COUNTIF(INDIRECT(""&amp;$V$3:$X$3&amp;"!$S$12:$T$400"),"Frankreich"))</f>
        <v>10</v>
      </c>
      <c r="N11" s="36">
        <f>SUM('[1]1998'!D247,'[1]2002'!D276,'[1]2006'!D251,'[1]2010'!D270,'[1]2014'!D257)</f>
        <v>14</v>
      </c>
      <c r="O11" s="17">
        <f>SUM('[1]1998'!E247,'[1]2002'!E276,'[1]2006'!E251,'[1]2010'!E270,'[1]2014'!E257)</f>
        <v>5</v>
      </c>
      <c r="P11" s="183">
        <f>SUM('[1]1998'!F247,'[1]2002'!F276,'[1]2006'!F251,'[1]2010'!F270,'[1]2014'!F257)</f>
        <v>6</v>
      </c>
      <c r="Q11" s="38">
        <f t="shared" si="2"/>
        <v>47</v>
      </c>
      <c r="R11" s="184">
        <f t="shared" si="3"/>
        <v>82</v>
      </c>
      <c r="S11" s="98"/>
      <c r="T11" s="37">
        <f>COUNTIF('1986'!$AA$1:$AA$100,"Frankreich")</f>
        <v>1</v>
      </c>
      <c r="U11" s="37">
        <f>COUNTIF('1990'!$AA$1:$AA$100,"Frankreich")</f>
        <v>0</v>
      </c>
      <c r="V11" s="37">
        <f>COUNTIF('1994'!$AA$1:$AA$100,"Frankreich")</f>
        <v>0</v>
      </c>
      <c r="W11" s="37">
        <f>COUNTIF('1998'!$AA$1:$AA$100,"Frankreich")</f>
        <v>1</v>
      </c>
      <c r="X11" s="37">
        <f>COUNTIF('2002'!$AA$1:$AA$100,"Frankreich")</f>
        <v>1</v>
      </c>
      <c r="Y11" s="37"/>
      <c r="Z11" s="37"/>
      <c r="AA11" s="37"/>
      <c r="AB11" s="37"/>
      <c r="AC11" s="37"/>
      <c r="AD11" s="37"/>
      <c r="AE11" s="76"/>
      <c r="AF11" s="76"/>
      <c r="AG11" s="76"/>
      <c r="AH11" s="76"/>
      <c r="AI11" s="76"/>
      <c r="AJ11" s="76"/>
    </row>
    <row r="12" spans="1:42" s="35" customFormat="1" x14ac:dyDescent="0.3">
      <c r="A12" s="173">
        <v>8</v>
      </c>
      <c r="B12" s="180">
        <f t="shared" si="5"/>
        <v>4</v>
      </c>
      <c r="C12" s="173" t="s">
        <v>24</v>
      </c>
      <c r="D12" s="99">
        <f t="array" aca="1" ref="D12" ca="1">SUM(COUNTIF(INDIRECT(""&amp;$T$3:$X$3&amp;"!$S$12:$T$400"),"England"))</f>
        <v>21</v>
      </c>
      <c r="E12" s="36">
        <f>SUM('[1]1950'!D116,'[1]1954'!D140,'[1]1958'!D163,'[1]1962'!D140,'[1]1966'!D133,'[1]1970'!D143,'[1]1982'!D228,'[1]1986'!D225,'[1]1990'!D229)</f>
        <v>18</v>
      </c>
      <c r="F12" s="17">
        <f>SUM('[1]1950'!E116,'[1]1954'!E140,'[1]1958'!E163,'[1]1962'!E140,'[1]1966'!E133,'[1]1970'!E143,'[1]1982'!E228,'[1]1986'!E225,'[1]1990'!E229)</f>
        <v>11</v>
      </c>
      <c r="G12" s="183">
        <f>SUM('[1]1950'!F116,'[1]1954'!F140,'[1]1958'!F163,'[1]1962'!F140,'[1]1966'!F133,'[1]1970'!F143,'[1]1982'!F228,'[1]1986'!F225,'[1]1990'!F229)</f>
        <v>12</v>
      </c>
      <c r="H12" s="99">
        <f>SUM('[1]1950'!G116,'[1]1954'!G140,'[1]1958'!G163,'[1]1962'!G140,'[1]1966'!G133,'[1]1970'!G143,'[1]1982'!G228,'[1]1986'!G225,'[1]1990'!G229,'[1]1998'!G257,'[1]2002'!G254,'[1]2006'!G254,'[1]2010'!G255,'[1]2014'!G276)</f>
        <v>86</v>
      </c>
      <c r="I12" s="99">
        <f>SUM('[1]1950'!H116,'[1]1954'!H140,'[1]1958'!H163,'[1]1962'!H140,'[1]1966'!H133,'[1]1970'!H143,'[1]1982'!H228,'[1]1986'!H225,'[1]1990'!H229,'[1]1998'!H257,'[1]2002'!H254,'[1]2006'!H254,'[1]2010'!H255,'[1]2014'!H276)</f>
        <v>67</v>
      </c>
      <c r="J12" s="173">
        <f t="shared" si="0"/>
        <v>19</v>
      </c>
      <c r="K12" s="38">
        <f t="shared" si="4"/>
        <v>47</v>
      </c>
      <c r="L12" s="39">
        <f t="shared" si="1"/>
        <v>35</v>
      </c>
      <c r="M12" s="99">
        <f t="array" aca="1" ref="M12" ca="1">SUM(COUNTIF(INDIRECT(""&amp;$V$3:$X$3&amp;"!$S$12:$T$400"),"England"))</f>
        <v>9</v>
      </c>
      <c r="N12" s="36">
        <f>SUM('[1]1998'!D257,'[1]2002'!D254,'[1]2006'!D254,'[1]2010'!D255,'[1]2014'!D276)</f>
        <v>8</v>
      </c>
      <c r="O12" s="17">
        <f>SUM('[1]1998'!E257,'[1]2002'!E254,'[1]2006'!E254,'[1]2010'!E255,'[1]2014'!E276)</f>
        <v>6</v>
      </c>
      <c r="P12" s="183">
        <f>SUM('[1]1998'!F257,'[1]2002'!F254,'[1]2006'!F254,'[1]2010'!F255,'[1]2014'!F276)</f>
        <v>7</v>
      </c>
      <c r="Q12" s="38">
        <f t="shared" si="2"/>
        <v>30</v>
      </c>
      <c r="R12" s="184">
        <f t="shared" si="3"/>
        <v>77</v>
      </c>
      <c r="S12" s="98"/>
      <c r="T12" s="37">
        <f>COUNTIF('1986'!$AA$1:$AA$100,"England")</f>
        <v>1</v>
      </c>
      <c r="U12" s="37">
        <f>COUNTIF('1990'!$AA$1:$AA$100,"England")</f>
        <v>1</v>
      </c>
      <c r="V12" s="37">
        <f>COUNTIF('1994'!$AA$1:$AA$100,"England")</f>
        <v>0</v>
      </c>
      <c r="W12" s="37">
        <f>COUNTIF('1998'!$AA$1:$AA$100,"England")</f>
        <v>1</v>
      </c>
      <c r="X12" s="37">
        <f>COUNTIF('2002'!$AA$1:$AA$100,"England")</f>
        <v>1</v>
      </c>
      <c r="Y12" s="37"/>
      <c r="Z12" s="37"/>
      <c r="AA12" s="37"/>
      <c r="AB12" s="37"/>
      <c r="AC12" s="37"/>
      <c r="AD12" s="37"/>
      <c r="AE12" s="76"/>
      <c r="AF12" s="76"/>
      <c r="AG12" s="76"/>
      <c r="AH12" s="76"/>
      <c r="AI12" s="76"/>
      <c r="AJ12" s="76"/>
    </row>
    <row r="13" spans="1:42" s="35" customFormat="1" x14ac:dyDescent="0.3">
      <c r="A13" s="173">
        <v>9</v>
      </c>
      <c r="B13" s="180">
        <f t="shared" si="5"/>
        <v>3</v>
      </c>
      <c r="C13" s="173" t="s">
        <v>38</v>
      </c>
      <c r="D13" s="99">
        <f t="array" aca="1" ref="D13" ca="1">SUM(COUNTIF(INDIRECT(""&amp;$T$3:$X$3&amp;"!$S$12:$T$400"),"Uruguay"))</f>
        <v>11</v>
      </c>
      <c r="E13" s="36">
        <f>SUM('[1]1930'!D101,'[1]1950'!D108,'[1]1954'!D137,'[1]1962'!D141,'[1]1966'!D139,'[1]1970'!D141,'[1]1974'!D166,'[1]1986'!D233,'[1]1990'!D241)</f>
        <v>15</v>
      </c>
      <c r="F13" s="17">
        <f>SUM('[1]1930'!E101,'[1]1950'!E108,'[1]1954'!E137,'[1]1962'!E141,'[1]1966'!E139,'[1]1970'!E141,'[1]1974'!E166,'[1]1986'!E233,'[1]1990'!E241)</f>
        <v>8</v>
      </c>
      <c r="G13" s="183">
        <f>SUM('[1]1930'!F101,'[1]1950'!F108,'[1]1954'!F137,'[1]1962'!F141,'[1]1966'!F139,'[1]1970'!F141,'[1]1974'!F166,'[1]1986'!F233,'[1]1990'!F241)</f>
        <v>14</v>
      </c>
      <c r="H13" s="99">
        <f>SUM('[1]1930'!G101,'[1]1950'!G108,'[1]1954'!G137,'[1]1962'!G141,'[1]1966'!G139,'[1]1970'!G141,'[1]1974'!G166,'[1]1986'!G233,'[1]1990'!G241,'[1]2002'!G273,'[1]2010'!G246,'[1]2014'!G261)</f>
        <v>83</v>
      </c>
      <c r="I13" s="99">
        <f>SUM('[1]1930'!H101,'[1]1950'!H108,'[1]1954'!H137,'[1]1962'!H141,'[1]1966'!H139,'[1]1970'!H141,'[1]1974'!H166,'[1]1986'!H233,'[1]1990'!H241,'[1]2002'!H273,'[1]2010'!H246,'[1]2014'!H261)</f>
        <v>72</v>
      </c>
      <c r="J13" s="173">
        <f t="shared" si="0"/>
        <v>11</v>
      </c>
      <c r="K13" s="38">
        <f t="shared" si="4"/>
        <v>38</v>
      </c>
      <c r="L13" s="39">
        <f t="shared" si="1"/>
        <v>36</v>
      </c>
      <c r="M13" s="99">
        <f t="array" aca="1" ref="M13" ca="1">SUM(COUNTIF(INDIRECT(""&amp;$V$3:$X$3&amp;"!$S$12:$T$400"),"Uruguay"))</f>
        <v>3</v>
      </c>
      <c r="N13" s="36">
        <f>SUM('[1]2002'!D273,'[1]2010'!D246,'[1]2014'!D261)</f>
        <v>6</v>
      </c>
      <c r="O13" s="17">
        <f>SUM('[1]2002'!E273,'[1]2010'!E246,'[1]2014'!E261)</f>
        <v>3</v>
      </c>
      <c r="P13" s="183">
        <f>SUM('[1]2002'!F273,'[1]2010'!F246,'[1]2014'!F261)</f>
        <v>5</v>
      </c>
      <c r="Q13" s="38">
        <f t="shared" si="2"/>
        <v>21</v>
      </c>
      <c r="R13" s="184">
        <f t="shared" si="3"/>
        <v>59</v>
      </c>
      <c r="S13" s="98"/>
      <c r="T13" s="37">
        <f>COUNTIF('1986'!$AA$1:$AA$100,"Uruguay")</f>
        <v>1</v>
      </c>
      <c r="U13" s="37">
        <f>COUNTIF('1990'!$AA$1:$AA$100,"Uruguay")</f>
        <v>1</v>
      </c>
      <c r="V13" s="37">
        <f>COUNTIF('1994'!$AA$1:$AA$100,"Uruguay")</f>
        <v>0</v>
      </c>
      <c r="W13" s="37">
        <f>COUNTIF('1998'!$AA$1:$AA$100,"Uruguay")</f>
        <v>0</v>
      </c>
      <c r="X13" s="37">
        <f>COUNTIF('2002'!$AA$1:$AA$100,"Uruguay")</f>
        <v>1</v>
      </c>
      <c r="Y13" s="37"/>
      <c r="Z13" s="37"/>
      <c r="AA13" s="37"/>
      <c r="AB13" s="37"/>
      <c r="AC13" s="37"/>
      <c r="AD13" s="37"/>
      <c r="AE13" s="76"/>
      <c r="AF13" s="76"/>
      <c r="AG13" s="76"/>
      <c r="AH13" s="76"/>
      <c r="AI13" s="76"/>
      <c r="AJ13" s="76"/>
    </row>
    <row r="14" spans="1:42" s="35" customFormat="1" x14ac:dyDescent="0.3">
      <c r="A14" s="173">
        <v>10</v>
      </c>
      <c r="B14" s="180">
        <f t="shared" si="5"/>
        <v>3</v>
      </c>
      <c r="C14" s="173" t="s">
        <v>92</v>
      </c>
      <c r="D14" s="99">
        <f t="array" aca="1" ref="D14" ca="1">SUM(COUNTIF(INDIRECT(""&amp;$T$3:$X$3&amp;"!$S$12:$T$400"),"Schweden"))</f>
        <v>14</v>
      </c>
      <c r="E14" s="36">
        <f>SUM('[1]1934'!D83,'[1]1938'!D92,'[1]1950'!D110,'[1]1958'!D153,'[1]1970'!D144,'[1]1974'!D158,'[1]1978'!D167,'[1]1990'!D246)</f>
        <v>11</v>
      </c>
      <c r="F14" s="17">
        <f>SUM('[1]1934'!E83,'[1]1938'!E92,'[1]1950'!E110,'[1]1958'!E153,'[1]1970'!E144,'[1]1974'!E158,'[1]1978'!E167,'[1]1990'!E246)</f>
        <v>6</v>
      </c>
      <c r="G14" s="183">
        <f>SUM('[1]1934'!F83,'[1]1938'!F92,'[1]1950'!F110,'[1]1958'!F153,'[1]1970'!F144,'[1]1974'!F158,'[1]1978'!F167,'[1]1990'!F246)</f>
        <v>14</v>
      </c>
      <c r="H14" s="99">
        <f>SUM('[1]1934'!G83,'[1]1938'!G92,'[1]1950'!G110,'[1]1958'!G153,'[1]1970'!G144,'[1]1974'!G158,'[1]1978'!G167,'[1]1990'!G246,'[1]1994'!G222,'[1]2002'!G261,'[1]2006'!G261)</f>
        <v>79</v>
      </c>
      <c r="I14" s="99">
        <f>SUM('[1]1934'!H83,'[1]1938'!H92,'[1]1950'!H110,'[1]1958'!H153,'[1]1970'!H144,'[1]1974'!H158,'[1]1978'!H167,'[1]1990'!H246,'[1]1994'!H222,'[1]2002'!H261,'[1]2006'!H261)</f>
        <v>73</v>
      </c>
      <c r="J14" s="173">
        <f t="shared" si="0"/>
        <v>6</v>
      </c>
      <c r="K14" s="38">
        <f t="shared" si="4"/>
        <v>28</v>
      </c>
      <c r="L14" s="39">
        <f t="shared" si="1"/>
        <v>34</v>
      </c>
      <c r="M14" s="99">
        <f t="array" aca="1" ref="M14" ca="1">SUM(COUNTIF(INDIRECT(""&amp;$V$3:$X$3&amp;"!$S$12:$T$400"),"Schweden"))</f>
        <v>11</v>
      </c>
      <c r="N14" s="36">
        <f>SUM('[1]1994'!D222,'[1]2002'!D261,'[1]2006'!D261)</f>
        <v>6</v>
      </c>
      <c r="O14" s="17">
        <f>SUM('[1]1994'!E222,'[1]2002'!E261,'[1]2006'!E261)</f>
        <v>6</v>
      </c>
      <c r="P14" s="183">
        <f>SUM('[1]1994'!F222,'[1]2002'!F261,'[1]2006'!F261)</f>
        <v>3</v>
      </c>
      <c r="Q14" s="38">
        <f t="shared" si="2"/>
        <v>24</v>
      </c>
      <c r="R14" s="184">
        <f t="shared" si="3"/>
        <v>52</v>
      </c>
      <c r="S14" s="98"/>
      <c r="T14" s="37">
        <f>COUNTIF('1986'!$AA$1:$AA$100,"Schweden")</f>
        <v>0</v>
      </c>
      <c r="U14" s="37">
        <f>COUNTIF('1990'!$AA$1:$AA$100,"Schweden")</f>
        <v>1</v>
      </c>
      <c r="V14" s="37">
        <f>COUNTIF('1994'!$AA$1:$AA$100,"Schweden")</f>
        <v>1</v>
      </c>
      <c r="W14" s="37">
        <f>COUNTIF('1998'!$AA$1:$AA$100,"Schweden")</f>
        <v>0</v>
      </c>
      <c r="X14" s="37">
        <f>COUNTIF('2002'!$AA$1:$AA$100,"Schweden")</f>
        <v>1</v>
      </c>
      <c r="Y14" s="37"/>
      <c r="Z14" s="37"/>
      <c r="AA14" s="37"/>
      <c r="AB14" s="37"/>
      <c r="AC14" s="37"/>
      <c r="AD14" s="37"/>
      <c r="AE14" s="76"/>
      <c r="AF14" s="76"/>
      <c r="AG14" s="76"/>
      <c r="AH14" s="76"/>
      <c r="AI14" s="76"/>
      <c r="AJ14" s="76"/>
    </row>
    <row r="15" spans="1:42" s="35" customFormat="1" x14ac:dyDescent="0.3">
      <c r="A15" s="173">
        <v>11</v>
      </c>
      <c r="B15" s="180">
        <f t="shared" si="5"/>
        <v>4</v>
      </c>
      <c r="C15" s="173" t="s">
        <v>18</v>
      </c>
      <c r="D15" s="99">
        <f t="array" aca="1" ref="D15" ca="1">SUM(COUNTIF(INDIRECT(""&amp;$T$3:$X$3&amp;"!$S$12:$T$400"),"Mexiko"))</f>
        <v>17</v>
      </c>
      <c r="E15" s="36">
        <f>SUM('[1]1930'!D113,'[1]1950'!D119,'[1]1954'!D146,'[1]1958'!D167,'[1]1962'!D142,'[1]1966'!D144,'[1]1970'!D140,'[1]1978'!D169,'[1]1986'!D220)</f>
        <v>6</v>
      </c>
      <c r="F15" s="17">
        <f>SUM('[1]1930'!E113,'[1]1950'!E119,'[1]1954'!E146,'[1]1958'!E167,'[1]1962'!E142,'[1]1966'!E144,'[1]1970'!E140,'[1]1978'!E169,'[1]1986'!E220)</f>
        <v>5</v>
      </c>
      <c r="G15" s="183">
        <f>SUM('[1]1930'!F113,'[1]1950'!F119,'[1]1954'!F146,'[1]1958'!F167,'[1]1962'!F142,'[1]1966'!F144,'[1]1970'!F140,'[1]1978'!F169,'[1]1986'!F220)</f>
        <v>18</v>
      </c>
      <c r="H15" s="99">
        <f>SUM('[1]1930'!G113,'[1]1950'!G119,'[1]1954'!G146,'[1]1958'!G167,'[1]1962'!G142,'[1]1966'!G144,'[1]1970'!G140,'[1]1978'!G169,'[1]1986'!G220,'[1]1994'!G234,'[1]1998'!G259,'[1]2002'!G258,'[1]2006'!G262,'[1]2010'!G259,'[1]2014'!G258)</f>
        <v>59</v>
      </c>
      <c r="I15" s="99">
        <f>SUM('[1]1930'!H113,'[1]1950'!H119,'[1]1954'!H146,'[1]1958'!H167,'[1]1962'!H142,'[1]1966'!H144,'[1]1970'!H140,'[1]1978'!H169,'[1]1986'!H220,'[1]1994'!H234,'[1]1998'!H259,'[1]2002'!H258,'[1]2006'!H262,'[1]2010'!H259,'[1]2014'!H258)</f>
        <v>99</v>
      </c>
      <c r="J15" s="173">
        <f t="shared" si="0"/>
        <v>-40</v>
      </c>
      <c r="K15" s="38">
        <f t="shared" si="4"/>
        <v>17</v>
      </c>
      <c r="L15" s="39">
        <f t="shared" si="1"/>
        <v>41</v>
      </c>
      <c r="M15" s="99">
        <f t="array" aca="1" ref="M15" ca="1">SUM(COUNTIF(INDIRECT(""&amp;$V$3:$X$3&amp;"!$S$12:$T$400"),"Mexiko"))</f>
        <v>12</v>
      </c>
      <c r="N15" s="36">
        <f>SUM('[1]1994'!D234,'[1]1998'!D259,'[1]2002'!D258,'[1]2006'!D262,'[1]2010'!D259,'[1]2014'!D258)</f>
        <v>8</v>
      </c>
      <c r="O15" s="17">
        <f>SUM('[1]1994'!E234,'[1]1998'!E259,'[1]2002'!E258,'[1]2006'!E262,'[1]2010'!E259,'[1]2014'!E258)</f>
        <v>7</v>
      </c>
      <c r="P15" s="183">
        <f>SUM('[1]1994'!F234,'[1]1998'!F259,'[1]2002'!F258,'[1]2006'!F262,'[1]2010'!F259,'[1]2014'!F258)</f>
        <v>9</v>
      </c>
      <c r="Q15" s="38">
        <f t="shared" si="2"/>
        <v>31</v>
      </c>
      <c r="R15" s="184">
        <f t="shared" si="3"/>
        <v>48</v>
      </c>
      <c r="S15" s="98"/>
      <c r="T15" s="37">
        <f>COUNTIF('1986'!$AA$1:$AA$100,"Mexiko")</f>
        <v>1</v>
      </c>
      <c r="U15" s="37">
        <f>COUNTIF('1990'!$AA$1:$AA$100,"Mexiko")</f>
        <v>0</v>
      </c>
      <c r="V15" s="37">
        <f>COUNTIF('1994'!$AA$1:$AA$100,"Mexiko")</f>
        <v>1</v>
      </c>
      <c r="W15" s="37">
        <f>COUNTIF('1998'!$AA$1:$AA$100,"Mexiko")</f>
        <v>1</v>
      </c>
      <c r="X15" s="37">
        <f>COUNTIF('2002'!$AA$1:$AA$100,"Mexiko")</f>
        <v>1</v>
      </c>
      <c r="Y15" s="37"/>
      <c r="Z15" s="37"/>
      <c r="AA15" s="37"/>
      <c r="AB15" s="37"/>
      <c r="AC15" s="37"/>
      <c r="AD15" s="37"/>
      <c r="AE15" s="76"/>
      <c r="AF15" s="76"/>
      <c r="AG15" s="76"/>
      <c r="AH15" s="76"/>
      <c r="AI15" s="76"/>
      <c r="AJ15" s="76"/>
    </row>
    <row r="16" spans="1:42" s="35" customFormat="1" x14ac:dyDescent="0.3">
      <c r="A16" s="173">
        <v>12</v>
      </c>
      <c r="B16" s="180">
        <f t="shared" si="5"/>
        <v>5</v>
      </c>
      <c r="C16" s="173" t="s">
        <v>20</v>
      </c>
      <c r="D16" s="99">
        <f t="array" aca="1" ref="D16" ca="1">SUM(COUNTIF(INDIRECT(""&amp;$T$3:$X$3&amp;"!$S$12:$T$400"),"Belgien"))</f>
        <v>22</v>
      </c>
      <c r="E16" s="36">
        <f>SUM('[1]1930'!D111,'[1]1934'!D88,'[1]1938'!D97,'[1]1954'!D145,'[1]1970'!D145,'[1]1982'!D233,'[1]1986'!D221,'[1]1990'!D236)</f>
        <v>8</v>
      </c>
      <c r="F16" s="17">
        <f>SUM('[1]1930'!E111,'[1]1934'!E88,'[1]1938'!E97,'[1]1954'!E145,'[1]1970'!E145,'[1]1982'!E233,'[1]1986'!E221,'[1]1990'!E236)</f>
        <v>3</v>
      </c>
      <c r="G16" s="183">
        <f>SUM('[1]1930'!F111,'[1]1934'!F88,'[1]1938'!F97,'[1]1954'!F145,'[1]1970'!F145,'[1]1982'!F233,'[1]1986'!F221,'[1]1990'!F236)</f>
        <v>14</v>
      </c>
      <c r="H16" s="99">
        <f>SUM('[1]1930'!G111,'[1]1934'!G88,'[1]1938'!G97,'[1]1954'!G145,'[1]1970'!G145,'[1]1982'!G233,'[1]1986'!G221,'[1]1990'!G236,'[1]1994'!G232,'[1]1998'!G265,'[1]2002'!G260,'[1]2014'!G255)</f>
        <v>57</v>
      </c>
      <c r="I16" s="99">
        <f>SUM('[1]1930'!H111,'[1]1934'!H88,'[1]1938'!H97,'[1]1954'!H145,'[1]1970'!H145,'[1]1982'!H233,'[1]1986'!H221,'[1]1990'!H236,'[1]1994'!H232,'[1]1998'!H265,'[1]2002'!H260,'[1]2014'!H255)</f>
        <v>70</v>
      </c>
      <c r="J16" s="173">
        <f t="shared" si="0"/>
        <v>-13</v>
      </c>
      <c r="K16" s="38">
        <f t="shared" si="4"/>
        <v>19</v>
      </c>
      <c r="L16" s="39">
        <f t="shared" si="1"/>
        <v>31</v>
      </c>
      <c r="M16" s="99">
        <f t="array" aca="1" ref="M16" ca="1">SUM(COUNTIF(INDIRECT(""&amp;$V$3:$X$3&amp;"!$S$12:$T$400"),"Belgien"))</f>
        <v>11</v>
      </c>
      <c r="N16" s="36">
        <f>SUM('[1]1994'!D232,'[1]1998'!D265,'[1]2002'!D260,'[1]2014'!D255)</f>
        <v>7</v>
      </c>
      <c r="O16" s="17">
        <f>SUM('[1]1994'!E232,'[1]1998'!E265,'[1]2002'!E260,'[1]2014'!E255)</f>
        <v>5</v>
      </c>
      <c r="P16" s="183">
        <f>SUM('[1]1994'!F232,'[1]1998'!F265,'[1]2002'!F260,'[1]2014'!F255)</f>
        <v>4</v>
      </c>
      <c r="Q16" s="38">
        <f t="shared" si="2"/>
        <v>26</v>
      </c>
      <c r="R16" s="184">
        <f t="shared" si="3"/>
        <v>45</v>
      </c>
      <c r="S16" s="98"/>
      <c r="T16" s="37">
        <f>COUNTIF('1986'!$AA$1:$AA$100,"Belgien")</f>
        <v>1</v>
      </c>
      <c r="U16" s="37">
        <f>COUNTIF('1990'!$AA$1:$AA$100,"Belgien")</f>
        <v>1</v>
      </c>
      <c r="V16" s="37">
        <f>COUNTIF('1994'!$AA$1:$AA$100,"Belgien")</f>
        <v>1</v>
      </c>
      <c r="W16" s="37">
        <f>COUNTIF('1998'!$AA$1:$AA$100,"Belgien")</f>
        <v>1</v>
      </c>
      <c r="X16" s="37">
        <f>COUNTIF('2002'!$AA$1:$AA$100,"Belgien")</f>
        <v>1</v>
      </c>
      <c r="Y16" s="37"/>
      <c r="Z16" s="37"/>
      <c r="AA16" s="37"/>
      <c r="AB16" s="37"/>
      <c r="AC16" s="37"/>
      <c r="AD16" s="37"/>
      <c r="AE16" s="76"/>
      <c r="AF16" s="76"/>
      <c r="AG16" s="76"/>
      <c r="AH16" s="76"/>
      <c r="AI16" s="76"/>
      <c r="AJ16" s="76"/>
    </row>
    <row r="17" spans="1:36" s="35" customFormat="1" x14ac:dyDescent="0.3">
      <c r="A17" s="173">
        <v>13</v>
      </c>
      <c r="B17" s="180">
        <f t="shared" si="5"/>
        <v>2</v>
      </c>
      <c r="C17" s="173" t="s">
        <v>36</v>
      </c>
      <c r="D17" s="99">
        <f t="array" aca="1" ref="D17" ca="1">SUM(COUNTIF(INDIRECT(""&amp;$T$3:$X$3&amp;"!$S$12:$T$400"),"Portugal"))</f>
        <v>6</v>
      </c>
      <c r="E17" s="36">
        <f>SUM('[1]1966'!D134,'[1]1986'!D230)</f>
        <v>6</v>
      </c>
      <c r="F17" s="17">
        <f>SUM('[1]1966'!E134,'[1]1986'!E230)</f>
        <v>0</v>
      </c>
      <c r="G17" s="183">
        <f>SUM('[1]1966'!F134,'[1]1986'!F230)</f>
        <v>3</v>
      </c>
      <c r="H17" s="99">
        <f>SUM('[1]1966'!G134,'[1]1986'!G230,'[1]2002'!G268,'[1]2006'!G250,'[1]2010'!G253,'[1]2014'!G265,'[1]2018'!G262)</f>
        <v>52</v>
      </c>
      <c r="I17" s="99">
        <f>SUM('[1]1966'!H134,'[1]1986'!H230,'[1]2002'!H268,'[1]2006'!H250,'[1]2010'!H253,'[1]2014'!H265,'[1]2018'!H262)</f>
        <v>36</v>
      </c>
      <c r="J17" s="173">
        <f t="shared" si="0"/>
        <v>16</v>
      </c>
      <c r="K17" s="38">
        <f t="shared" si="4"/>
        <v>12</v>
      </c>
      <c r="L17" s="39">
        <f t="shared" si="1"/>
        <v>6</v>
      </c>
      <c r="M17" s="99">
        <f t="array" aca="1" ref="M17" ca="1">SUM(COUNTIF(INDIRECT(""&amp;$V$3:$X$3&amp;"!$S$12:$T$400"),"Portugal"))</f>
        <v>3</v>
      </c>
      <c r="N17" s="36">
        <f>SUM('[1]2002'!D268,'[1]2006'!D250,'[1]2010'!D253,'[1]2014'!D265,'[1]2018'!D262)</f>
        <v>9</v>
      </c>
      <c r="O17" s="17">
        <f>SUM('[1]2002'!E268,'[1]2006'!E250,'[1]2010'!E253,'[1]2014'!E265,'[1]2018'!E262)</f>
        <v>5</v>
      </c>
      <c r="P17" s="183">
        <f>SUM('[1]2002'!F268,'[1]2006'!F250,'[1]2010'!F253,'[1]2014'!F265,'[1]2018'!F262)</f>
        <v>7</v>
      </c>
      <c r="Q17" s="38">
        <f t="shared" si="2"/>
        <v>32</v>
      </c>
      <c r="R17" s="184">
        <f t="shared" si="3"/>
        <v>44</v>
      </c>
      <c r="S17" s="98"/>
      <c r="T17" s="37">
        <f>COUNTIF('1986'!$AA$1:$AA$100,"Portugal")</f>
        <v>1</v>
      </c>
      <c r="U17" s="37">
        <f>COUNTIF('1990'!$AA$1:$AA$100,"Portugal")</f>
        <v>0</v>
      </c>
      <c r="V17" s="37">
        <f>COUNTIF('1994'!$AA$1:$AA$100,"Portugal")</f>
        <v>0</v>
      </c>
      <c r="W17" s="37">
        <f>COUNTIF('1998'!$AA$1:$AA$100,"Portugal")</f>
        <v>0</v>
      </c>
      <c r="X17" s="37">
        <f>COUNTIF('2002'!$AA$1:$AA$100,"Portugal")</f>
        <v>1</v>
      </c>
      <c r="Y17" s="37"/>
      <c r="Z17" s="37"/>
      <c r="AA17" s="37"/>
      <c r="AB17" s="37"/>
      <c r="AC17" s="37"/>
      <c r="AD17" s="37"/>
      <c r="AE17" s="76"/>
      <c r="AF17" s="76"/>
      <c r="AG17" s="76"/>
      <c r="AH17" s="76"/>
      <c r="AI17" s="76"/>
      <c r="AJ17" s="76"/>
    </row>
    <row r="18" spans="1:36" s="35" customFormat="1" x14ac:dyDescent="0.3">
      <c r="A18" s="173">
        <v>14</v>
      </c>
      <c r="B18" s="180">
        <f t="shared" si="5"/>
        <v>2</v>
      </c>
      <c r="C18" s="185" t="s">
        <v>83</v>
      </c>
      <c r="D18" s="99">
        <f t="array" aca="1" ref="D18" ca="1">SUM(COUNTIF(INDIRECT(""&amp;$T$3:$X$3&amp;"!$S$12:$T$400"),"Jugoslawien"))</f>
        <v>9</v>
      </c>
      <c r="E18" s="36">
        <f>SUM('[1]1930'!D104,'[1]1950'!D111,'[1]1954'!D141,'[1]1958'!D159,'[1]1962'!D134,'[1]1974'!D161,'[1]1982'!D239,'[1]1990'!D232)</f>
        <v>14</v>
      </c>
      <c r="F18" s="17">
        <f>SUM('[1]1930'!E104,'[1]1950'!E111,'[1]1954'!E141,'[1]1958'!E159,'[1]1962'!E134,'[1]1974'!E161,'[1]1982'!E239,'[1]1990'!E232)</f>
        <v>6</v>
      </c>
      <c r="G18" s="183">
        <f>SUM('[1]1930'!F104,'[1]1950'!F111,'[1]1954'!F141,'[1]1958'!F159,'[1]1962'!F134,'[1]1974'!F161,'[1]1982'!F239,'[1]1990'!F232)</f>
        <v>13</v>
      </c>
      <c r="H18" s="99">
        <f>SUM('[1]1930'!G104,'[1]1950'!G111,'[1]1954'!G141,'[1]1958'!G159,'[1]1962'!G134,'[1]1974'!G161,'[1]1982'!G239,'[1]1990'!G232,'[1]1998'!G255)</f>
        <v>62</v>
      </c>
      <c r="I18" s="99">
        <f>SUM('[1]1930'!H104,'[1]1950'!H111,'[1]1954'!H141,'[1]1958'!H159,'[1]1962'!H134,'[1]1974'!H161,'[1]1982'!H239,'[1]1990'!H232,'[1]1998'!H255)</f>
        <v>49</v>
      </c>
      <c r="J18" s="173">
        <f t="shared" si="0"/>
        <v>13</v>
      </c>
      <c r="K18" s="38">
        <f t="shared" si="4"/>
        <v>34</v>
      </c>
      <c r="L18" s="39">
        <f t="shared" si="1"/>
        <v>32</v>
      </c>
      <c r="M18" s="99">
        <f t="array" aca="1" ref="M18" ca="1">SUM(COUNTIF(INDIRECT(""&amp;$V$3:$X$3&amp;"!$S$12:$T$400"),"Jugoslawien"))</f>
        <v>4</v>
      </c>
      <c r="N18" s="36">
        <f>SUM('[1]1998'!D255)</f>
        <v>2</v>
      </c>
      <c r="O18" s="17">
        <f>SUM('[1]1998'!E255)</f>
        <v>1</v>
      </c>
      <c r="P18" s="183">
        <f>SUM('[1]1998'!F255)</f>
        <v>1</v>
      </c>
      <c r="Q18" s="38">
        <f t="shared" si="2"/>
        <v>7</v>
      </c>
      <c r="R18" s="184">
        <f t="shared" si="3"/>
        <v>41</v>
      </c>
      <c r="S18" s="98"/>
      <c r="T18" s="37">
        <f>COUNTIF('1986'!$AA$1:$AA$100,"Jugoslawien")</f>
        <v>0</v>
      </c>
      <c r="U18" s="37">
        <f>COUNTIF('1990'!$AA$1:$AA$100,"Jugoslawien")</f>
        <v>1</v>
      </c>
      <c r="V18" s="37">
        <f>COUNTIF('1994'!$AA$1:$AA$100,"Jugoslawien")</f>
        <v>0</v>
      </c>
      <c r="W18" s="37">
        <f>COUNTIF('1998'!$AA$1:$AA$100,"Jugoslawien")</f>
        <v>1</v>
      </c>
      <c r="X18" s="37">
        <f>COUNTIF('2002'!$AA$1:$AA$100,"Jugoslawien")</f>
        <v>0</v>
      </c>
      <c r="Y18" s="37"/>
      <c r="Z18" s="37"/>
      <c r="AA18" s="37"/>
      <c r="AB18" s="37"/>
      <c r="AC18" s="37"/>
      <c r="AD18" s="37"/>
      <c r="AE18" s="76"/>
      <c r="AF18" s="76"/>
      <c r="AG18" s="76"/>
      <c r="AH18" s="76"/>
      <c r="AI18" s="76"/>
      <c r="AJ18" s="76"/>
    </row>
    <row r="19" spans="1:36" s="35" customFormat="1" x14ac:dyDescent="0.3">
      <c r="A19" s="173">
        <v>15</v>
      </c>
      <c r="B19" s="180">
        <f t="shared" si="5"/>
        <v>2</v>
      </c>
      <c r="C19" s="173" t="s">
        <v>35</v>
      </c>
      <c r="D19" s="99">
        <f t="array" aca="1" ref="D19" ca="1">SUM(COUNTIF(INDIRECT(""&amp;$T$3:$X$3&amp;"!$S$12:$T$400"),"Polen"))</f>
        <v>7</v>
      </c>
      <c r="E19" s="36">
        <f>SUM('[1]1938'!D95,'[1]1974'!D154,'[1]1978'!D158,'[1]1982'!D226,'[1]1986'!D229)</f>
        <v>13</v>
      </c>
      <c r="F19" s="17">
        <f>SUM('[1]1938'!E95,'[1]1974'!E154,'[1]1978'!E158,'[1]1982'!E226,'[1]1986'!E229)</f>
        <v>5</v>
      </c>
      <c r="G19" s="183">
        <f>SUM('[1]1938'!F95,'[1]1974'!F154,'[1]1978'!F158,'[1]1982'!F226,'[1]1986'!F229)</f>
        <v>7</v>
      </c>
      <c r="H19" s="99">
        <f>SUM('[1]1938'!G95,'[1]1974'!G154,'[1]1978'!G158,'[1]1982'!G226,'[1]1986'!G229,'[1]2002'!G270,'[1]2006'!G268,'[1]2018'!G275)</f>
        <v>46</v>
      </c>
      <c r="I19" s="99">
        <f>SUM('[1]1938'!H95,'[1]1974'!H154,'[1]1978'!H158,'[1]1982'!H226,'[1]1986'!H229,'[1]2002'!H270,'[1]2006'!H268,'[1]2018'!H275)</f>
        <v>45</v>
      </c>
      <c r="J19" s="173">
        <f t="shared" si="0"/>
        <v>1</v>
      </c>
      <c r="K19" s="38">
        <f t="shared" si="4"/>
        <v>31</v>
      </c>
      <c r="L19" s="39">
        <f t="shared" si="1"/>
        <v>19</v>
      </c>
      <c r="M19" s="99">
        <f t="array" aca="1" ref="M19" ca="1">SUM(COUNTIF(INDIRECT(""&amp;$V$3:$X$3&amp;"!$S$12:$T$400"),"Polen"))</f>
        <v>3</v>
      </c>
      <c r="N19" s="36">
        <f>SUM('[1]2002'!D270,'[1]2006'!D268,'[1]2018'!D275)</f>
        <v>3</v>
      </c>
      <c r="O19" s="17">
        <f>SUM('[1]2002'!E270,'[1]2006'!E268,'[1]2018'!E275)</f>
        <v>0</v>
      </c>
      <c r="P19" s="183">
        <f>SUM('[1]2002'!F270,'[1]2006'!F268,'[1]2018'!F275)</f>
        <v>6</v>
      </c>
      <c r="Q19" s="38">
        <f t="shared" si="2"/>
        <v>9</v>
      </c>
      <c r="R19" s="184">
        <f t="shared" si="3"/>
        <v>40</v>
      </c>
      <c r="S19" s="98"/>
      <c r="T19" s="37">
        <f>COUNTIF('1986'!$AA$1:$AA$100,"Polen")</f>
        <v>1</v>
      </c>
      <c r="U19" s="37">
        <f>COUNTIF('1990'!$AA$1:$AA$100,"Polen")</f>
        <v>0</v>
      </c>
      <c r="V19" s="37">
        <f>COUNTIF('1994'!$AA$1:$AA$100,"Polen")</f>
        <v>0</v>
      </c>
      <c r="W19" s="37">
        <f>COUNTIF('1998'!$AA$1:$AA$100,"Polen")</f>
        <v>0</v>
      </c>
      <c r="X19" s="37">
        <f>COUNTIF('2002'!$AA$1:$AA$100,"Polen")</f>
        <v>1</v>
      </c>
      <c r="Y19" s="37"/>
      <c r="Z19" s="37"/>
      <c r="AA19" s="37"/>
      <c r="AB19" s="37"/>
      <c r="AC19" s="37"/>
      <c r="AD19" s="37"/>
      <c r="AE19" s="76"/>
      <c r="AF19" s="76"/>
      <c r="AG19" s="76"/>
      <c r="AH19" s="76"/>
      <c r="AI19" s="76"/>
      <c r="AJ19" s="76"/>
    </row>
    <row r="20" spans="1:36" s="35" customFormat="1" x14ac:dyDescent="0.3">
      <c r="A20" s="173">
        <v>16</v>
      </c>
      <c r="B20" s="180">
        <f t="shared" si="5"/>
        <v>1</v>
      </c>
      <c r="C20" s="173" t="s">
        <v>112</v>
      </c>
      <c r="D20" s="99">
        <f t="array" aca="1" ref="D20" ca="1">SUM(COUNTIF(INDIRECT(""&amp;$T$3:$X$3&amp;"!$S$12:$T$400"),"Schweiz"))</f>
        <v>4</v>
      </c>
      <c r="E20" s="36">
        <f>SUM('[1]1934'!D82,'[1]1938'!D89,'[1]1950'!D112,'[1]1954'!D138,'[1]1962'!D146,'[1]1966'!D148)</f>
        <v>5</v>
      </c>
      <c r="F20" s="17">
        <f>SUM('[1]1934'!E82,'[1]1938'!E89,'[1]1950'!E112,'[1]1954'!E138,'[1]1962'!E146,'[1]1966'!E148)</f>
        <v>2</v>
      </c>
      <c r="G20" s="183">
        <f>SUM('[1]1934'!F82,'[1]1938'!F89,'[1]1950'!F112,'[1]1954'!F138,'[1]1962'!F146,'[1]1966'!F148)</f>
        <v>11</v>
      </c>
      <c r="H20" s="99">
        <f>SUM('[1]1934'!G82,'[1]1938'!G89,'[1]1950'!G112,'[1]1954'!G138,'[1]1962'!G146,'[1]1966'!G148,'[1]1994'!G233,'[1]2006'!G257,'[1]2010'!G263,'[1]2014'!G260,'[1]2018'!G264)</f>
        <v>50</v>
      </c>
      <c r="I20" s="99">
        <f>SUM('[1]1934'!H82,'[1]1938'!H89,'[1]1950'!H112,'[1]1954'!H138,'[1]1962'!H146,'[1]1966'!H148,'[1]1994'!H233,'[1]2006'!H257,'[1]2010'!H263,'[1]2014'!H260,'[1]2018'!H264)</f>
        <v>67</v>
      </c>
      <c r="J20" s="173">
        <f t="shared" si="0"/>
        <v>-17</v>
      </c>
      <c r="K20" s="38">
        <f t="shared" si="4"/>
        <v>12</v>
      </c>
      <c r="L20" s="39">
        <f t="shared" si="1"/>
        <v>24</v>
      </c>
      <c r="M20" s="99">
        <f t="array" aca="1" ref="M20" ca="1">SUM(COUNTIF(INDIRECT(""&amp;$V$3:$X$3&amp;"!$S$12:$T$400"),"Schweiz"))</f>
        <v>4</v>
      </c>
      <c r="N20" s="36">
        <f>SUM('[1]1994'!D233,'[1]2006'!D257,'[1]2010'!D263,'[1]2014'!D260,'[1]2018'!D264)</f>
        <v>7</v>
      </c>
      <c r="O20" s="17">
        <f>SUM('[1]1994'!E233,'[1]2006'!E257,'[1]2010'!E263,'[1]2014'!E260,'[1]2018'!E264)</f>
        <v>5</v>
      </c>
      <c r="P20" s="183">
        <f>SUM('[1]1994'!F233,'[1]2006'!F257,'[1]2010'!F263,'[1]2014'!F260,'[1]2018'!F264)</f>
        <v>7</v>
      </c>
      <c r="Q20" s="38">
        <f t="shared" si="2"/>
        <v>26</v>
      </c>
      <c r="R20" s="184">
        <f t="shared" si="3"/>
        <v>38</v>
      </c>
      <c r="S20" s="98"/>
      <c r="T20" s="37">
        <f>COUNTIF('1986'!$AA$1:$AA$100,"Schweiz")</f>
        <v>0</v>
      </c>
      <c r="U20" s="37">
        <f>COUNTIF('1990'!$AA$1:$AA$100,"Schweiz")</f>
        <v>0</v>
      </c>
      <c r="V20" s="37">
        <f>COUNTIF('1994'!$AA$1:$AA$100,"Schweiz")</f>
        <v>1</v>
      </c>
      <c r="W20" s="37">
        <f>COUNTIF('1998'!$AA$1:$AA$100,"Schweiz")</f>
        <v>0</v>
      </c>
      <c r="X20" s="37">
        <f>COUNTIF('2002'!$AA$1:$AA$100,"Schweiz")</f>
        <v>0</v>
      </c>
      <c r="Y20" s="37"/>
      <c r="Z20" s="37"/>
      <c r="AA20" s="37"/>
      <c r="AB20" s="37"/>
      <c r="AC20" s="37"/>
      <c r="AD20" s="37"/>
      <c r="AE20" s="76"/>
      <c r="AF20" s="76"/>
      <c r="AG20" s="76"/>
      <c r="AH20" s="76"/>
      <c r="AI20" s="76"/>
      <c r="AJ20" s="76"/>
    </row>
    <row r="21" spans="1:36" s="35" customFormat="1" x14ac:dyDescent="0.3">
      <c r="A21" s="173">
        <v>17</v>
      </c>
      <c r="B21" s="180">
        <f t="shared" si="5"/>
        <v>2</v>
      </c>
      <c r="C21" s="185" t="s">
        <v>23</v>
      </c>
      <c r="D21" s="99">
        <f t="array" aca="1" ref="D21" ca="1">SUM(COUNTIF(INDIRECT(""&amp;$T$3:$X$3&amp;"!$S$12:$T$400"),"UdSSR"))</f>
        <v>7</v>
      </c>
      <c r="E21" s="36">
        <f>SUM('[1]1958'!D157,'[1]1962'!D135,'[1]1966'!D136,'[1]1970'!D139,'[1]1982'!D230,'[1]1986'!D224,'[1]1990'!D242)</f>
        <v>15</v>
      </c>
      <c r="F21" s="17">
        <f>SUM('[1]1958'!E157,'[1]1962'!E135,'[1]1966'!E136,'[1]1970'!E139,'[1]1982'!E230,'[1]1986'!E224,'[1]1990'!E242)</f>
        <v>6</v>
      </c>
      <c r="G21" s="183">
        <f>SUM('[1]1958'!F157,'[1]1962'!F135,'[1]1966'!F136,'[1]1970'!F139,'[1]1982'!F230,'[1]1986'!F224,'[1]1990'!F242)</f>
        <v>10</v>
      </c>
      <c r="H21" s="99">
        <f>SUM('[1]1958'!G157,'[1]1962'!G135,'[1]1966'!G136,'[1]1970'!G139,'[1]1982'!G230,'[1]1986'!G224,'[1]1990'!G242)</f>
        <v>53</v>
      </c>
      <c r="I21" s="99">
        <f>SUM('[1]1958'!H157,'[1]1962'!H135,'[1]1966'!H136,'[1]1970'!H139,'[1]1982'!H230,'[1]1986'!H224,'[1]1990'!H242)</f>
        <v>34</v>
      </c>
      <c r="J21" s="173">
        <f t="shared" si="0"/>
        <v>19</v>
      </c>
      <c r="K21" s="38">
        <f t="shared" si="4"/>
        <v>36</v>
      </c>
      <c r="L21" s="39">
        <f t="shared" si="1"/>
        <v>26</v>
      </c>
      <c r="M21" s="99">
        <f t="array" aca="1" ref="M21" ca="1">SUM(COUNTIF(INDIRECT(""&amp;$V$3:$X$3&amp;"!$S$12:$T$400"),"UdSSR"))</f>
        <v>0</v>
      </c>
      <c r="N21" s="36">
        <f t="shared" ref="N21:P22" si="6">SUM(0)</f>
        <v>0</v>
      </c>
      <c r="O21" s="17">
        <f t="shared" si="6"/>
        <v>0</v>
      </c>
      <c r="P21" s="183">
        <f t="shared" si="6"/>
        <v>0</v>
      </c>
      <c r="Q21" s="38">
        <f t="shared" si="2"/>
        <v>0</v>
      </c>
      <c r="R21" s="184">
        <f t="shared" si="3"/>
        <v>36</v>
      </c>
      <c r="S21" s="98"/>
      <c r="T21" s="37">
        <f>COUNTIF('1986'!$AA$1:$AA$100,"UdSSR")</f>
        <v>1</v>
      </c>
      <c r="U21" s="37">
        <f>COUNTIF('1990'!$AA$1:$AA$100,"UdSSR")</f>
        <v>1</v>
      </c>
      <c r="V21" s="37">
        <f>COUNTIF('1994'!$AA$1:$AA$100,"UdSSR")</f>
        <v>0</v>
      </c>
      <c r="W21" s="37">
        <f>COUNTIF('1998'!$AA$1:$AA$100,"UdSSR")</f>
        <v>0</v>
      </c>
      <c r="X21" s="37">
        <f>COUNTIF('2002'!$AA$1:$AA$100,"UdSSR")</f>
        <v>0</v>
      </c>
      <c r="Y21" s="37"/>
      <c r="Z21" s="37"/>
      <c r="AA21" s="37"/>
      <c r="AB21" s="37"/>
      <c r="AC21" s="37"/>
      <c r="AD21" s="37"/>
      <c r="AE21" s="76"/>
      <c r="AF21" s="76"/>
      <c r="AG21" s="76"/>
      <c r="AH21" s="76"/>
      <c r="AI21" s="76"/>
      <c r="AJ21" s="76"/>
    </row>
    <row r="22" spans="1:36" s="35" customFormat="1" x14ac:dyDescent="0.3">
      <c r="A22" s="173">
        <v>18</v>
      </c>
      <c r="B22" s="180">
        <f t="shared" si="5"/>
        <v>1</v>
      </c>
      <c r="C22" s="173" t="s">
        <v>37</v>
      </c>
      <c r="D22" s="99">
        <f t="array" aca="1" ref="D22" ca="1">SUM(COUNTIF(INDIRECT(""&amp;$T$3:$X$3&amp;"!$S$12:$T$400"),"Ungarn"))</f>
        <v>3</v>
      </c>
      <c r="E22" s="36">
        <f>SUM('[1]1934'!D81,'[1]1938'!D87,'[1]1954'!D135,'[1]1958'!D162,'[1]1962'!D136,'[1]1966'!D138,'[1]1978'!D168,'[1]1982'!D237,'[1]1986'!D231)</f>
        <v>15</v>
      </c>
      <c r="F22" s="17">
        <f>SUM('[1]1934'!E81,'[1]1938'!E87,'[1]1954'!E135,'[1]1958'!E162,'[1]1962'!E136,'[1]1966'!E138,'[1]1978'!E168,'[1]1982'!E237,'[1]1986'!E231)</f>
        <v>3</v>
      </c>
      <c r="G22" s="183">
        <f>SUM('[1]1934'!F81,'[1]1938'!F87,'[1]1954'!F135,'[1]1958'!F162,'[1]1962'!F136,'[1]1966'!F138,'[1]1978'!F168,'[1]1982'!F237,'[1]1986'!F231)</f>
        <v>14</v>
      </c>
      <c r="H22" s="99">
        <f>SUM('[1]1934'!G81,'[1]1938'!G87,'[1]1954'!G135,'[1]1958'!G162,'[1]1962'!G136,'[1]1966'!G138,'[1]1978'!G168,'[1]1982'!G237,'[1]1986'!G231)</f>
        <v>87</v>
      </c>
      <c r="I22" s="99">
        <f>SUM('[1]1934'!H81,'[1]1938'!H87,'[1]1954'!H135,'[1]1958'!H162,'[1]1962'!H136,'[1]1966'!H138,'[1]1978'!H168,'[1]1982'!H237,'[1]1986'!H231)</f>
        <v>57</v>
      </c>
      <c r="J22" s="173">
        <f t="shared" si="0"/>
        <v>30</v>
      </c>
      <c r="K22" s="38">
        <f t="shared" si="4"/>
        <v>33</v>
      </c>
      <c r="L22" s="39">
        <f t="shared" si="1"/>
        <v>31</v>
      </c>
      <c r="M22" s="99">
        <f t="array" aca="1" ref="M22" ca="1">SUM(COUNTIF(INDIRECT(""&amp;$V$3:$X$3&amp;"!$S$12:$T$400"),"Ungarn"))</f>
        <v>0</v>
      </c>
      <c r="N22" s="36">
        <f t="shared" si="6"/>
        <v>0</v>
      </c>
      <c r="O22" s="17">
        <f t="shared" si="6"/>
        <v>0</v>
      </c>
      <c r="P22" s="183">
        <f t="shared" si="6"/>
        <v>0</v>
      </c>
      <c r="Q22" s="38">
        <f t="shared" si="2"/>
        <v>0</v>
      </c>
      <c r="R22" s="184">
        <f t="shared" si="3"/>
        <v>33</v>
      </c>
      <c r="S22" s="98"/>
      <c r="T22" s="37">
        <f>COUNTIF('1986'!$AA$1:$AA$100,"Ungarn")</f>
        <v>1</v>
      </c>
      <c r="U22" s="37">
        <f>COUNTIF('1990'!$AA$1:$AA$100,"Ungarn")</f>
        <v>0</v>
      </c>
      <c r="V22" s="37">
        <f>COUNTIF('1994'!$AA$1:$AA$100,"Ungarn")</f>
        <v>0</v>
      </c>
      <c r="W22" s="37">
        <f>COUNTIF('1998'!$AA$1:$AA$100,"Ungarn")</f>
        <v>0</v>
      </c>
      <c r="X22" s="37">
        <f>COUNTIF('2002'!$AA$1:$AA$100,"Ungarn")</f>
        <v>0</v>
      </c>
      <c r="Y22" s="37"/>
      <c r="Z22" s="37"/>
      <c r="AA22" s="37"/>
      <c r="AB22" s="37"/>
      <c r="AC22" s="37"/>
      <c r="AD22" s="37"/>
      <c r="AE22" s="76"/>
      <c r="AF22" s="76"/>
      <c r="AG22" s="76"/>
      <c r="AH22" s="76"/>
      <c r="AI22" s="76"/>
      <c r="AJ22" s="76"/>
    </row>
    <row r="23" spans="1:36" s="35" customFormat="1" x14ac:dyDescent="0.3">
      <c r="A23" s="173">
        <v>19</v>
      </c>
      <c r="B23" s="180">
        <f t="shared" si="5"/>
        <v>1</v>
      </c>
      <c r="C23" s="173" t="s">
        <v>138</v>
      </c>
      <c r="D23" s="99">
        <f t="array" aca="1" ref="D23" ca="1">SUM(COUNTIF(INDIRECT(""&amp;$T$3:$X$3&amp;"!$S$12:$T$400"),"Chile"))</f>
        <v>4</v>
      </c>
      <c r="E23" s="36">
        <f>SUM('[1]1930'!D105,'[1]1950'!D114,'[1]1962'!D132,'[1]1966'!D146,'[1]1974'!D165,'[1]1982'!D245)</f>
        <v>7</v>
      </c>
      <c r="F23" s="17">
        <f>SUM('[1]1930'!E105,'[1]1950'!E114,'[1]1962'!E132,'[1]1966'!E146,'[1]1974'!E165,'[1]1982'!E245)</f>
        <v>3</v>
      </c>
      <c r="G23" s="183">
        <f>SUM('[1]1930'!F105,'[1]1950'!F114,'[1]1962'!F132,'[1]1966'!F146,'[1]1974'!F165,'[1]1982'!F245)</f>
        <v>11</v>
      </c>
      <c r="H23" s="99">
        <f>SUM('[1]1930'!G105,'[1]1950'!G114,'[1]1962'!G132,'[1]1966'!G146,'[1]1974'!G165,'[1]1982'!G245,'[1]1998'!G264,'[1]2010'!G252,'[1]2014'!G259)</f>
        <v>42</v>
      </c>
      <c r="I23" s="99">
        <f>SUM('[1]1930'!H105,'[1]1950'!H114,'[1]1962'!H132,'[1]1966'!H146,'[1]1974'!H165,'[1]1982'!H245,'[1]1998'!H264,'[1]2010'!H252,'[1]2014'!H259)</f>
        <v>52</v>
      </c>
      <c r="J23" s="173">
        <f t="shared" si="0"/>
        <v>-10</v>
      </c>
      <c r="K23" s="38">
        <f t="shared" si="4"/>
        <v>17</v>
      </c>
      <c r="L23" s="39">
        <f t="shared" si="1"/>
        <v>25</v>
      </c>
      <c r="M23" s="99">
        <f t="array" aca="1" ref="M23" ca="1">SUM(COUNTIF(INDIRECT(""&amp;$V$3:$X$3&amp;"!$S$12:$T$400"),"Chile"))</f>
        <v>4</v>
      </c>
      <c r="N23" s="36">
        <f>SUM('[1]1998'!D264,'[1]2010'!D252,'[1]2014'!D259)</f>
        <v>4</v>
      </c>
      <c r="O23" s="17">
        <f>SUM('[1]1998'!E264,'[1]2010'!E252,'[1]2014'!E259)</f>
        <v>3</v>
      </c>
      <c r="P23" s="183">
        <f>SUM('[1]1998'!F264,'[1]2010'!F252,'[1]2014'!F259)</f>
        <v>5</v>
      </c>
      <c r="Q23" s="38">
        <f t="shared" si="2"/>
        <v>15</v>
      </c>
      <c r="R23" s="184">
        <f t="shared" si="3"/>
        <v>32</v>
      </c>
      <c r="S23" s="98"/>
      <c r="T23" s="37">
        <f>COUNTIF('1986'!$AA$1:$AA$100,"Chile")</f>
        <v>0</v>
      </c>
      <c r="U23" s="37">
        <f>COUNTIF('1990'!$AA$1:$AA$100,"Chile")</f>
        <v>0</v>
      </c>
      <c r="V23" s="37">
        <f>COUNTIF('1994'!$AA$1:$AA$100,"Chile")</f>
        <v>0</v>
      </c>
      <c r="W23" s="37">
        <f>COUNTIF('1998'!$AA$1:$AA$100,"Chile")</f>
        <v>1</v>
      </c>
      <c r="X23" s="37">
        <f>COUNTIF('2002'!$AA$1:$AA$100,"Chile")</f>
        <v>0</v>
      </c>
      <c r="Y23" s="37"/>
      <c r="Z23" s="37"/>
      <c r="AA23" s="37"/>
      <c r="AB23" s="37"/>
      <c r="AC23" s="37"/>
      <c r="AD23" s="37"/>
      <c r="AE23" s="76"/>
      <c r="AF23" s="76"/>
      <c r="AG23" s="76"/>
      <c r="AH23" s="76"/>
      <c r="AI23" s="76"/>
      <c r="AJ23" s="76"/>
    </row>
    <row r="24" spans="1:36" s="35" customFormat="1" x14ac:dyDescent="0.3">
      <c r="A24" s="173">
        <v>20</v>
      </c>
      <c r="B24" s="180">
        <f t="shared" si="5"/>
        <v>3</v>
      </c>
      <c r="C24" s="173" t="s">
        <v>25</v>
      </c>
      <c r="D24" s="99">
        <f t="array" aca="1" ref="D24" ca="1">SUM(COUNTIF(INDIRECT(""&amp;$T$3:$X$3&amp;"!$S$12:$T$400"),"Paraguay"))</f>
        <v>12</v>
      </c>
      <c r="E24" s="36">
        <f>SUM('[1]1930'!D108,'[1]1950'!D117,'[1]1958'!D160,'[1]1986'!D227)</f>
        <v>3</v>
      </c>
      <c r="F24" s="17">
        <f>SUM('[1]1930'!E108,'[1]1950'!E117,'[1]1958'!E160,'[1]1986'!E227)</f>
        <v>4</v>
      </c>
      <c r="G24" s="183">
        <f>SUM('[1]1930'!F108,'[1]1950'!F117,'[1]1958'!F160,'[1]1986'!F227)</f>
        <v>4</v>
      </c>
      <c r="H24" s="99">
        <f>SUM('[1]1930'!G108,'[1]1950'!G117,'[1]1958'!G160,'[1]1986'!G227,'[1]1998'!G261,'[1]2002'!G262,'[1]2006'!G267,'[1]2010'!G249)</f>
        <v>35</v>
      </c>
      <c r="I24" s="99">
        <f>SUM('[1]1930'!H108,'[1]1950'!H117,'[1]1958'!H160,'[1]1986'!H227,'[1]1998'!H261,'[1]2002'!H262,'[1]2006'!H267,'[1]2010'!H249)</f>
        <v>41</v>
      </c>
      <c r="J24" s="173">
        <f t="shared" si="0"/>
        <v>-6</v>
      </c>
      <c r="K24" s="38">
        <f t="shared" si="4"/>
        <v>10</v>
      </c>
      <c r="L24" s="39">
        <f t="shared" si="1"/>
        <v>12</v>
      </c>
      <c r="M24" s="99">
        <f t="array" aca="1" ref="M24" ca="1">SUM(COUNTIF(INDIRECT(""&amp;$V$3:$X$3&amp;"!$S$12:$T$400"),"Paraguay"))</f>
        <v>8</v>
      </c>
      <c r="N24" s="36">
        <f>SUM('[1]1998'!D261,'[1]2002'!D262,'[1]2006'!D267,'[1]2010'!D249)</f>
        <v>5</v>
      </c>
      <c r="O24" s="17">
        <f>SUM('[1]1998'!E261,'[1]2002'!E262,'[1]2006'!E267,'[1]2010'!E249)</f>
        <v>5</v>
      </c>
      <c r="P24" s="183">
        <f>SUM('[1]1998'!F261,'[1]2002'!F262,'[1]2006'!F267,'[1]2010'!F249)</f>
        <v>6</v>
      </c>
      <c r="Q24" s="38">
        <f t="shared" si="2"/>
        <v>20</v>
      </c>
      <c r="R24" s="184">
        <f t="shared" si="3"/>
        <v>30</v>
      </c>
      <c r="S24" s="98"/>
      <c r="T24" s="37">
        <f>COUNTIF('1986'!$AA$1:$AA$100,"Paraguay")</f>
        <v>1</v>
      </c>
      <c r="U24" s="37">
        <f>COUNTIF('1990'!$AA$1:$AA$100,"Paraguay")</f>
        <v>0</v>
      </c>
      <c r="V24" s="37">
        <f>COUNTIF('1994'!$AA$1:$AA$100,"Paraguay")</f>
        <v>0</v>
      </c>
      <c r="W24" s="37">
        <f>COUNTIF('1998'!$AA$1:$AA$100,"Paraguay")</f>
        <v>1</v>
      </c>
      <c r="X24" s="37">
        <f>COUNTIF('2002'!$AA$1:$AA$100,"Paraguay")</f>
        <v>1</v>
      </c>
      <c r="Y24" s="37"/>
      <c r="Z24" s="37"/>
      <c r="AA24" s="37"/>
      <c r="AB24" s="37"/>
      <c r="AC24" s="37"/>
      <c r="AD24" s="37"/>
      <c r="AE24" s="76"/>
      <c r="AF24" s="76"/>
      <c r="AG24" s="76"/>
      <c r="AH24" s="76"/>
      <c r="AI24" s="76"/>
      <c r="AJ24" s="76"/>
    </row>
    <row r="25" spans="1:36" s="57" customFormat="1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38"/>
      <c r="L25" s="38"/>
      <c r="M25" s="17"/>
      <c r="N25" s="17"/>
      <c r="O25" s="17"/>
      <c r="P25" s="17"/>
      <c r="Q25" s="38"/>
      <c r="R25" s="17"/>
      <c r="S25" s="1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71"/>
      <c r="AF25" s="71"/>
      <c r="AG25" s="71"/>
      <c r="AH25" s="71"/>
      <c r="AI25" s="71"/>
      <c r="AJ25" s="71"/>
    </row>
    <row r="26" spans="1:36" s="57" customFormat="1" x14ac:dyDescent="0.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38"/>
      <c r="L26" s="38"/>
      <c r="M26" s="17"/>
      <c r="N26" s="17"/>
      <c r="O26" s="17"/>
      <c r="P26" s="17"/>
      <c r="Q26" s="38"/>
      <c r="R26" s="17"/>
      <c r="S26" s="1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71"/>
      <c r="AF26" s="71"/>
      <c r="AG26" s="71"/>
      <c r="AH26" s="71"/>
      <c r="AI26" s="71"/>
      <c r="AJ26" s="71"/>
    </row>
    <row r="27" spans="1:36" s="57" customFormat="1" x14ac:dyDescent="0.3">
      <c r="A27" s="17"/>
      <c r="B27" s="17"/>
      <c r="C27" s="211"/>
      <c r="D27" s="17"/>
      <c r="E27" s="17"/>
      <c r="F27" s="17"/>
      <c r="G27" s="17"/>
      <c r="H27" s="17"/>
      <c r="I27" s="17"/>
      <c r="J27" s="17"/>
      <c r="K27" s="38"/>
      <c r="L27" s="38"/>
      <c r="M27" s="17"/>
      <c r="N27" s="17"/>
      <c r="O27" s="17"/>
      <c r="P27" s="17"/>
      <c r="Q27" s="38"/>
      <c r="R27" s="17"/>
      <c r="S27" s="1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71"/>
      <c r="AF27" s="71"/>
      <c r="AG27" s="71"/>
      <c r="AH27" s="71"/>
      <c r="AI27" s="71"/>
      <c r="AJ27" s="71"/>
    </row>
    <row r="28" spans="1:36" s="57" customFormat="1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38"/>
      <c r="L28" s="38"/>
      <c r="M28" s="17"/>
      <c r="N28" s="17"/>
      <c r="O28" s="17"/>
      <c r="P28" s="17"/>
      <c r="Q28" s="38"/>
      <c r="R28" s="17"/>
      <c r="S28" s="1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71"/>
      <c r="AF28" s="71"/>
      <c r="AG28" s="71"/>
      <c r="AH28" s="71"/>
      <c r="AI28" s="71"/>
      <c r="AJ28" s="71"/>
    </row>
    <row r="29" spans="1:36" s="57" customFormat="1" x14ac:dyDescent="0.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38"/>
      <c r="L29" s="38"/>
      <c r="M29" s="17"/>
      <c r="N29" s="17"/>
      <c r="O29" s="17"/>
      <c r="P29" s="17"/>
      <c r="Q29" s="38"/>
      <c r="R29" s="17"/>
      <c r="S29" s="1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71"/>
      <c r="AF29" s="71"/>
      <c r="AG29" s="71"/>
      <c r="AH29" s="71"/>
      <c r="AI29" s="71"/>
      <c r="AJ29" s="71"/>
    </row>
    <row r="30" spans="1:36" s="57" customFormat="1" x14ac:dyDescent="0.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38"/>
      <c r="L30" s="38"/>
      <c r="M30" s="17"/>
      <c r="N30" s="17"/>
      <c r="O30" s="17"/>
      <c r="P30" s="17"/>
      <c r="Q30" s="38"/>
      <c r="R30" s="17"/>
      <c r="S30" s="1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71"/>
      <c r="AF30" s="71"/>
      <c r="AG30" s="71"/>
      <c r="AH30" s="71"/>
      <c r="AI30" s="71"/>
      <c r="AJ30" s="71"/>
    </row>
    <row r="31" spans="1:36" s="57" customFormat="1" x14ac:dyDescent="0.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38"/>
      <c r="L31" s="38"/>
      <c r="M31" s="17"/>
      <c r="N31" s="17"/>
      <c r="O31" s="17"/>
      <c r="P31" s="17"/>
      <c r="Q31" s="38"/>
      <c r="R31" s="17"/>
      <c r="S31" s="1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71"/>
      <c r="AF31" s="71"/>
      <c r="AG31" s="71"/>
      <c r="AH31" s="71"/>
      <c r="AI31" s="71"/>
      <c r="AJ31" s="71"/>
    </row>
    <row r="32" spans="1:36" s="57" customFormat="1" x14ac:dyDescent="0.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38"/>
      <c r="L32" s="38"/>
      <c r="M32" s="17"/>
      <c r="N32" s="17"/>
      <c r="O32" s="17"/>
      <c r="P32" s="17"/>
      <c r="Q32" s="38"/>
      <c r="R32" s="17"/>
      <c r="S32" s="1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71"/>
      <c r="AF32" s="71"/>
      <c r="AG32" s="71"/>
      <c r="AH32" s="71"/>
      <c r="AI32" s="71"/>
      <c r="AJ32" s="71"/>
    </row>
    <row r="33" spans="1:36" s="57" customFormat="1" x14ac:dyDescent="0.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38"/>
      <c r="L33" s="38"/>
      <c r="M33" s="17"/>
      <c r="N33" s="17"/>
      <c r="O33" s="17"/>
      <c r="P33" s="17"/>
      <c r="Q33" s="38"/>
      <c r="R33" s="17"/>
      <c r="S33" s="1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71"/>
      <c r="AF33" s="71"/>
      <c r="AG33" s="71"/>
      <c r="AH33" s="71"/>
      <c r="AI33" s="71"/>
      <c r="AJ33" s="71"/>
    </row>
    <row r="34" spans="1:36" s="57" customFormat="1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38"/>
      <c r="L34" s="38"/>
      <c r="M34" s="17"/>
      <c r="N34" s="17"/>
      <c r="O34" s="17"/>
      <c r="P34" s="17"/>
      <c r="Q34" s="38"/>
      <c r="R34" s="17"/>
      <c r="S34" s="1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71"/>
      <c r="AF34" s="71"/>
      <c r="AG34" s="71"/>
      <c r="AH34" s="71"/>
      <c r="AI34" s="71"/>
      <c r="AJ34" s="71"/>
    </row>
    <row r="35" spans="1:36" s="57" customFormat="1" x14ac:dyDescent="0.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38"/>
      <c r="L35" s="38"/>
      <c r="M35" s="17"/>
      <c r="N35" s="17"/>
      <c r="O35" s="17"/>
      <c r="P35" s="17"/>
      <c r="Q35" s="38"/>
      <c r="R35" s="17"/>
      <c r="S35" s="1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71"/>
      <c r="AF35" s="71"/>
      <c r="AG35" s="71"/>
      <c r="AH35" s="71"/>
      <c r="AI35" s="71"/>
      <c r="AJ35" s="71"/>
    </row>
    <row r="36" spans="1:36" s="57" customFormat="1" x14ac:dyDescent="0.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38"/>
      <c r="L36" s="38"/>
      <c r="M36" s="17"/>
      <c r="N36" s="17"/>
      <c r="O36" s="17"/>
      <c r="P36" s="17"/>
      <c r="Q36" s="38"/>
      <c r="R36" s="17"/>
      <c r="S36" s="1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71"/>
      <c r="AF36" s="71"/>
      <c r="AG36" s="71"/>
      <c r="AH36" s="71"/>
      <c r="AI36" s="71"/>
      <c r="AJ36" s="71"/>
    </row>
    <row r="37" spans="1:36" s="57" customFormat="1" x14ac:dyDescent="0.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38"/>
      <c r="L37" s="38"/>
      <c r="M37" s="17"/>
      <c r="N37" s="17"/>
      <c r="O37" s="17"/>
      <c r="P37" s="17"/>
      <c r="Q37" s="38"/>
      <c r="R37" s="17"/>
      <c r="S37" s="1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71"/>
      <c r="AF37" s="71"/>
      <c r="AG37" s="71"/>
      <c r="AH37" s="71"/>
      <c r="AI37" s="71"/>
      <c r="AJ37" s="71"/>
    </row>
    <row r="38" spans="1:36" s="57" customFormat="1" x14ac:dyDescent="0.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38"/>
      <c r="L38" s="38"/>
      <c r="M38" s="17"/>
      <c r="N38" s="17"/>
      <c r="O38" s="17"/>
      <c r="P38" s="17"/>
      <c r="Q38" s="38"/>
      <c r="R38" s="17"/>
      <c r="S38" s="1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71"/>
      <c r="AF38" s="71"/>
      <c r="AG38" s="71"/>
      <c r="AH38" s="71"/>
      <c r="AI38" s="71"/>
      <c r="AJ38" s="71"/>
    </row>
    <row r="39" spans="1:36" s="57" customFormat="1" x14ac:dyDescent="0.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38"/>
      <c r="L39" s="38"/>
      <c r="M39" s="17"/>
      <c r="N39" s="17"/>
      <c r="O39" s="17"/>
      <c r="P39" s="17"/>
      <c r="Q39" s="38"/>
      <c r="R39" s="17"/>
      <c r="S39" s="38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71"/>
      <c r="AF39" s="71"/>
      <c r="AG39" s="71"/>
      <c r="AH39" s="71"/>
      <c r="AI39" s="71"/>
      <c r="AJ39" s="71"/>
    </row>
    <row r="40" spans="1:36" s="57" customFormat="1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38"/>
      <c r="L40" s="38"/>
      <c r="M40" s="17"/>
      <c r="N40" s="17"/>
      <c r="O40" s="17"/>
      <c r="P40" s="17"/>
      <c r="Q40" s="38"/>
      <c r="R40" s="17"/>
      <c r="S40" s="1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71"/>
      <c r="AF40" s="71"/>
      <c r="AG40" s="71"/>
      <c r="AH40" s="71"/>
      <c r="AI40" s="71"/>
      <c r="AJ40" s="71"/>
    </row>
    <row r="41" spans="1:36" s="57" customFormat="1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38"/>
      <c r="L41" s="38"/>
      <c r="M41" s="17"/>
      <c r="N41" s="17"/>
      <c r="O41" s="17"/>
      <c r="P41" s="17"/>
      <c r="Q41" s="38"/>
      <c r="R41" s="17"/>
      <c r="S41" s="1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71"/>
      <c r="AF41" s="71"/>
      <c r="AG41" s="71"/>
      <c r="AH41" s="71"/>
      <c r="AI41" s="71"/>
      <c r="AJ41" s="71"/>
    </row>
    <row r="42" spans="1:36" s="57" customFormat="1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38"/>
      <c r="L42" s="38"/>
      <c r="M42" s="17"/>
      <c r="N42" s="17"/>
      <c r="O42" s="17"/>
      <c r="P42" s="17"/>
      <c r="Q42" s="38"/>
      <c r="R42" s="17"/>
      <c r="S42" s="1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71"/>
      <c r="AF42" s="71"/>
      <c r="AG42" s="71"/>
      <c r="AH42" s="71"/>
      <c r="AI42" s="71"/>
      <c r="AJ42" s="71"/>
    </row>
    <row r="43" spans="1:36" s="57" customFormat="1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38"/>
      <c r="L43" s="38"/>
      <c r="M43" s="17"/>
      <c r="N43" s="17"/>
      <c r="O43" s="17"/>
      <c r="P43" s="17"/>
      <c r="Q43" s="38"/>
      <c r="R43" s="17"/>
      <c r="S43" s="1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71"/>
      <c r="AF43" s="71"/>
      <c r="AG43" s="71"/>
      <c r="AH43" s="71"/>
      <c r="AI43" s="71"/>
      <c r="AJ43" s="71"/>
    </row>
    <row r="44" spans="1:36" s="57" customFormat="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38"/>
      <c r="L44" s="38"/>
      <c r="M44" s="17"/>
      <c r="N44" s="17"/>
      <c r="O44" s="17"/>
      <c r="P44" s="17"/>
      <c r="Q44" s="38"/>
      <c r="R44" s="17"/>
      <c r="S44" s="1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71"/>
      <c r="AF44" s="71"/>
      <c r="AG44" s="71"/>
      <c r="AH44" s="71"/>
      <c r="AI44" s="71"/>
      <c r="AJ44" s="71"/>
    </row>
    <row r="45" spans="1:36" s="57" customFormat="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38"/>
      <c r="L45" s="38"/>
      <c r="M45" s="17"/>
      <c r="N45" s="17"/>
      <c r="O45" s="17"/>
      <c r="P45" s="17"/>
      <c r="Q45" s="38"/>
      <c r="R45" s="17"/>
      <c r="S45" s="1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71"/>
      <c r="AF45" s="71"/>
      <c r="AG45" s="71"/>
      <c r="AH45" s="71"/>
      <c r="AI45" s="71"/>
      <c r="AJ45" s="71"/>
    </row>
    <row r="46" spans="1:36" s="57" customFormat="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38"/>
      <c r="L46" s="38"/>
      <c r="M46" s="17"/>
      <c r="N46" s="17"/>
      <c r="O46" s="17"/>
      <c r="P46" s="17"/>
      <c r="Q46" s="38"/>
      <c r="R46" s="17"/>
      <c r="S46" s="1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71"/>
      <c r="AF46" s="71"/>
      <c r="AG46" s="71"/>
      <c r="AH46" s="71"/>
      <c r="AI46" s="71"/>
      <c r="AJ46" s="71"/>
    </row>
    <row r="47" spans="1:36" s="57" customFormat="1" x14ac:dyDescent="0.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38"/>
      <c r="L47" s="38"/>
      <c r="M47" s="17"/>
      <c r="N47" s="17"/>
      <c r="O47" s="17"/>
      <c r="P47" s="17"/>
      <c r="Q47" s="38"/>
      <c r="R47" s="17"/>
      <c r="S47" s="1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71"/>
      <c r="AF47" s="71"/>
      <c r="AG47" s="71"/>
      <c r="AH47" s="71"/>
      <c r="AI47" s="71"/>
      <c r="AJ47" s="71"/>
    </row>
    <row r="48" spans="1:36" s="57" customFormat="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38"/>
      <c r="L48" s="38"/>
      <c r="M48" s="17"/>
      <c r="N48" s="17"/>
      <c r="O48" s="17"/>
      <c r="P48" s="17"/>
      <c r="Q48" s="38"/>
      <c r="R48" s="17"/>
      <c r="S48" s="1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71"/>
      <c r="AF48" s="71"/>
      <c r="AG48" s="71"/>
      <c r="AH48" s="71"/>
      <c r="AI48" s="71"/>
      <c r="AJ48" s="71"/>
    </row>
    <row r="49" spans="1:36" s="57" customFormat="1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38"/>
      <c r="L49" s="38"/>
      <c r="M49" s="17"/>
      <c r="N49" s="17"/>
      <c r="O49" s="17"/>
      <c r="P49" s="17"/>
      <c r="Q49" s="38"/>
      <c r="R49" s="17"/>
      <c r="S49" s="1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71"/>
      <c r="AF49" s="71"/>
      <c r="AG49" s="71"/>
      <c r="AH49" s="71"/>
      <c r="AI49" s="71"/>
      <c r="AJ49" s="71"/>
    </row>
    <row r="50" spans="1:36" s="57" customFormat="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38"/>
      <c r="L50" s="38"/>
      <c r="M50" s="17"/>
      <c r="N50" s="17"/>
      <c r="O50" s="17"/>
      <c r="P50" s="17"/>
      <c r="Q50" s="38"/>
      <c r="R50" s="17"/>
      <c r="S50" s="1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71"/>
      <c r="AF50" s="71"/>
      <c r="AG50" s="71"/>
      <c r="AH50" s="71"/>
      <c r="AI50" s="71"/>
      <c r="AJ50" s="71"/>
    </row>
    <row r="51" spans="1:36" s="57" customFormat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38"/>
      <c r="L51" s="38"/>
      <c r="M51" s="17"/>
      <c r="N51" s="17"/>
      <c r="O51" s="17"/>
      <c r="P51" s="17"/>
      <c r="Q51" s="38"/>
      <c r="R51" s="17"/>
      <c r="S51" s="1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71"/>
      <c r="AF51" s="71"/>
      <c r="AG51" s="71"/>
      <c r="AH51" s="71"/>
      <c r="AI51" s="71"/>
      <c r="AJ51" s="71"/>
    </row>
    <row r="52" spans="1:36" s="57" customFormat="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38"/>
      <c r="L52" s="38"/>
      <c r="M52" s="17"/>
      <c r="N52" s="17"/>
      <c r="O52" s="17"/>
      <c r="P52" s="17"/>
      <c r="Q52" s="38"/>
      <c r="R52" s="17"/>
      <c r="S52" s="1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71"/>
      <c r="AF52" s="71"/>
      <c r="AG52" s="71"/>
      <c r="AH52" s="71"/>
      <c r="AI52" s="71"/>
      <c r="AJ52" s="71"/>
    </row>
    <row r="53" spans="1:36" s="57" customFormat="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38"/>
      <c r="L53" s="38"/>
      <c r="M53" s="17"/>
      <c r="N53" s="17"/>
      <c r="O53" s="17"/>
      <c r="P53" s="17"/>
      <c r="Q53" s="38"/>
      <c r="R53" s="17"/>
      <c r="S53" s="1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71"/>
      <c r="AF53" s="71"/>
      <c r="AG53" s="71"/>
      <c r="AH53" s="71"/>
      <c r="AI53" s="71"/>
      <c r="AJ53" s="71"/>
    </row>
    <row r="54" spans="1:36" s="57" customFormat="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38"/>
      <c r="L54" s="38"/>
      <c r="M54" s="17"/>
      <c r="N54" s="17"/>
      <c r="O54" s="17"/>
      <c r="P54" s="17"/>
      <c r="Q54" s="38"/>
      <c r="R54" s="17"/>
      <c r="S54" s="1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71"/>
      <c r="AF54" s="71"/>
      <c r="AG54" s="71"/>
      <c r="AH54" s="71"/>
      <c r="AI54" s="71"/>
      <c r="AJ54" s="71"/>
    </row>
    <row r="55" spans="1:36" s="57" customFormat="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38"/>
      <c r="L55" s="38"/>
      <c r="M55" s="17"/>
      <c r="N55" s="17"/>
      <c r="O55" s="17"/>
      <c r="P55" s="17"/>
      <c r="Q55" s="38"/>
      <c r="R55" s="17"/>
      <c r="S55" s="1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71"/>
      <c r="AF55" s="71"/>
      <c r="AG55" s="71"/>
      <c r="AH55" s="71"/>
      <c r="AI55" s="71"/>
      <c r="AJ55" s="71"/>
    </row>
    <row r="56" spans="1:36" s="57" customFormat="1" x14ac:dyDescent="0.3">
      <c r="A56" s="17"/>
      <c r="B56" s="17"/>
      <c r="C56" s="211"/>
      <c r="D56" s="17"/>
      <c r="E56" s="17"/>
      <c r="F56" s="17"/>
      <c r="G56" s="17"/>
      <c r="H56" s="17"/>
      <c r="I56" s="17"/>
      <c r="J56" s="17"/>
      <c r="K56" s="38"/>
      <c r="L56" s="38"/>
      <c r="M56" s="17"/>
      <c r="N56" s="17"/>
      <c r="O56" s="17"/>
      <c r="P56" s="17"/>
      <c r="Q56" s="38"/>
      <c r="R56" s="17"/>
      <c r="S56" s="1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71"/>
      <c r="AF56" s="71"/>
      <c r="AG56" s="71"/>
      <c r="AH56" s="71"/>
      <c r="AI56" s="71"/>
      <c r="AJ56" s="71"/>
    </row>
    <row r="57" spans="1:36" s="57" customForma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38"/>
      <c r="L57" s="38"/>
      <c r="M57" s="17"/>
      <c r="N57" s="17"/>
      <c r="O57" s="17"/>
      <c r="P57" s="17"/>
      <c r="Q57" s="38"/>
      <c r="R57" s="17"/>
      <c r="S57" s="1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71"/>
      <c r="AF57" s="71"/>
      <c r="AG57" s="71"/>
      <c r="AH57" s="71"/>
      <c r="AI57" s="71"/>
      <c r="AJ57" s="71"/>
    </row>
    <row r="58" spans="1:36" s="57" customFormat="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38"/>
      <c r="L58" s="38"/>
      <c r="M58" s="17"/>
      <c r="N58" s="17"/>
      <c r="O58" s="17"/>
      <c r="P58" s="17"/>
      <c r="Q58" s="38"/>
      <c r="R58" s="17"/>
      <c r="S58" s="1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71"/>
      <c r="AF58" s="71"/>
      <c r="AG58" s="71"/>
      <c r="AH58" s="71"/>
      <c r="AI58" s="71"/>
      <c r="AJ58" s="71"/>
    </row>
    <row r="59" spans="1:36" s="57" customFormat="1" x14ac:dyDescent="0.3">
      <c r="A59" s="17"/>
      <c r="B59" s="17"/>
      <c r="C59" s="211"/>
      <c r="D59" s="17"/>
      <c r="E59" s="17"/>
      <c r="F59" s="17"/>
      <c r="G59" s="17"/>
      <c r="H59" s="17"/>
      <c r="I59" s="17"/>
      <c r="J59" s="17"/>
      <c r="K59" s="38"/>
      <c r="L59" s="38"/>
      <c r="M59" s="17"/>
      <c r="N59" s="17"/>
      <c r="O59" s="17"/>
      <c r="P59" s="17"/>
      <c r="Q59" s="38"/>
      <c r="R59" s="17"/>
      <c r="S59" s="1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71"/>
      <c r="AF59" s="71"/>
      <c r="AG59" s="71"/>
      <c r="AH59" s="71"/>
      <c r="AI59" s="71"/>
      <c r="AJ59" s="71"/>
    </row>
    <row r="60" spans="1:36" s="57" customFormat="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38"/>
      <c r="L60" s="38"/>
      <c r="M60" s="17"/>
      <c r="N60" s="17"/>
      <c r="O60" s="17"/>
      <c r="P60" s="17"/>
      <c r="Q60" s="38"/>
      <c r="R60" s="17"/>
      <c r="S60" s="1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71"/>
      <c r="AF60" s="71"/>
      <c r="AG60" s="71"/>
      <c r="AH60" s="71"/>
      <c r="AI60" s="71"/>
      <c r="AJ60" s="71"/>
    </row>
    <row r="61" spans="1:36" s="57" customFormat="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38"/>
      <c r="L61" s="38"/>
      <c r="M61" s="17"/>
      <c r="N61" s="17"/>
      <c r="O61" s="17"/>
      <c r="P61" s="17"/>
      <c r="Q61" s="38"/>
      <c r="R61" s="17"/>
      <c r="S61" s="17"/>
      <c r="T61" s="37"/>
      <c r="U61" s="37"/>
      <c r="V61" s="37"/>
      <c r="W61" s="37"/>
      <c r="X61" s="37"/>
      <c r="Y61" s="71"/>
      <c r="Z61" s="37"/>
      <c r="AA61" s="37"/>
      <c r="AB61" s="37"/>
      <c r="AC61" s="37"/>
      <c r="AD61" s="37"/>
      <c r="AE61" s="71"/>
      <c r="AF61" s="71"/>
      <c r="AG61" s="71"/>
      <c r="AH61" s="71"/>
      <c r="AI61" s="71"/>
      <c r="AJ61" s="71"/>
    </row>
    <row r="62" spans="1:36" s="57" customForma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38"/>
      <c r="L62" s="38"/>
      <c r="M62" s="17"/>
      <c r="N62" s="17"/>
      <c r="O62" s="17"/>
      <c r="P62" s="17"/>
      <c r="Q62" s="38"/>
      <c r="R62" s="17"/>
      <c r="S62" s="1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71"/>
      <c r="AF62" s="71"/>
      <c r="AG62" s="71"/>
      <c r="AH62" s="71"/>
      <c r="AI62" s="71"/>
      <c r="AJ62" s="71"/>
    </row>
    <row r="63" spans="1:36" s="57" customFormat="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38"/>
      <c r="L63" s="38"/>
      <c r="M63" s="17"/>
      <c r="N63" s="17"/>
      <c r="O63" s="17"/>
      <c r="P63" s="17"/>
      <c r="Q63" s="38"/>
      <c r="R63" s="17"/>
      <c r="S63" s="1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71"/>
      <c r="AF63" s="71"/>
      <c r="AG63" s="71"/>
      <c r="AH63" s="71"/>
      <c r="AI63" s="71"/>
      <c r="AJ63" s="71"/>
    </row>
    <row r="64" spans="1:36" s="57" customFormat="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38"/>
      <c r="L64" s="38"/>
      <c r="M64" s="17"/>
      <c r="N64" s="17"/>
      <c r="O64" s="17"/>
      <c r="P64" s="17"/>
      <c r="Q64" s="38"/>
      <c r="R64" s="17"/>
      <c r="S64" s="1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71"/>
      <c r="AF64" s="71"/>
      <c r="AG64" s="71"/>
      <c r="AH64" s="71"/>
      <c r="AI64" s="71"/>
      <c r="AJ64" s="71"/>
    </row>
    <row r="65" spans="1:36" s="57" customFormat="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38"/>
      <c r="L65" s="38"/>
      <c r="M65" s="17"/>
      <c r="N65" s="17"/>
      <c r="O65" s="17"/>
      <c r="P65" s="17"/>
      <c r="Q65" s="38"/>
      <c r="R65" s="17"/>
      <c r="S65" s="17"/>
      <c r="T65" s="37"/>
      <c r="U65" s="37"/>
      <c r="V65" s="37"/>
      <c r="W65" s="37"/>
      <c r="X65" s="37"/>
      <c r="Y65" s="71"/>
      <c r="Z65" s="71"/>
      <c r="AA65" s="37"/>
      <c r="AB65" s="37"/>
      <c r="AC65" s="37"/>
      <c r="AD65" s="37"/>
      <c r="AE65" s="71"/>
      <c r="AF65" s="71"/>
      <c r="AG65" s="71"/>
      <c r="AH65" s="71"/>
      <c r="AI65" s="71"/>
      <c r="AJ65" s="71"/>
    </row>
    <row r="66" spans="1:36" s="57" customFormat="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38"/>
      <c r="L66" s="38"/>
      <c r="M66" s="17"/>
      <c r="N66" s="17"/>
      <c r="O66" s="17"/>
      <c r="P66" s="17"/>
      <c r="Q66" s="38"/>
      <c r="R66" s="17"/>
      <c r="S66" s="1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71"/>
      <c r="AF66" s="71"/>
      <c r="AG66" s="71"/>
      <c r="AH66" s="71"/>
      <c r="AI66" s="71"/>
      <c r="AJ66" s="71"/>
    </row>
    <row r="67" spans="1:36" s="57" customFormat="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38"/>
      <c r="L67" s="38"/>
      <c r="M67" s="17"/>
      <c r="N67" s="17"/>
      <c r="O67" s="17"/>
      <c r="P67" s="17"/>
      <c r="Q67" s="38"/>
      <c r="R67" s="17"/>
      <c r="S67" s="38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71"/>
      <c r="AF67" s="71"/>
      <c r="AG67" s="71"/>
      <c r="AH67" s="71"/>
      <c r="AI67" s="71"/>
      <c r="AJ67" s="71"/>
    </row>
    <row r="68" spans="1:36" s="57" customFormat="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38"/>
      <c r="L68" s="38"/>
      <c r="M68" s="17"/>
      <c r="N68" s="17"/>
      <c r="O68" s="17"/>
      <c r="P68" s="17"/>
      <c r="Q68" s="38"/>
      <c r="R68" s="17"/>
      <c r="S68" s="38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71"/>
      <c r="AF68" s="71"/>
      <c r="AG68" s="71"/>
      <c r="AH68" s="71"/>
      <c r="AI68" s="71"/>
      <c r="AJ68" s="71"/>
    </row>
    <row r="69" spans="1:36" s="57" customFormat="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38"/>
      <c r="L69" s="38"/>
      <c r="M69" s="17"/>
      <c r="N69" s="17"/>
      <c r="O69" s="17"/>
      <c r="P69" s="17"/>
      <c r="Q69" s="38"/>
      <c r="R69" s="17"/>
      <c r="S69" s="1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71"/>
      <c r="AF69" s="71"/>
      <c r="AG69" s="71"/>
      <c r="AH69" s="71"/>
      <c r="AI69" s="71"/>
      <c r="AJ69" s="71"/>
    </row>
    <row r="70" spans="1:36" s="57" customFormat="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38"/>
      <c r="L70" s="38"/>
      <c r="M70" s="17"/>
      <c r="N70" s="17"/>
      <c r="O70" s="17"/>
      <c r="P70" s="17"/>
      <c r="Q70" s="38"/>
      <c r="R70" s="17"/>
      <c r="S70" s="17"/>
      <c r="T70" s="37"/>
      <c r="U70" s="37"/>
      <c r="V70" s="37"/>
      <c r="W70" s="37"/>
      <c r="X70" s="37"/>
      <c r="Y70" s="71"/>
      <c r="Z70" s="37"/>
      <c r="AA70" s="37"/>
      <c r="AB70" s="37"/>
      <c r="AC70" s="37"/>
      <c r="AD70" s="37"/>
      <c r="AE70" s="71"/>
      <c r="AF70" s="71"/>
      <c r="AG70" s="71"/>
      <c r="AH70" s="71"/>
      <c r="AI70" s="71"/>
      <c r="AJ70" s="71"/>
    </row>
    <row r="71" spans="1:36" s="57" customFormat="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38"/>
      <c r="L71" s="38"/>
      <c r="M71" s="17"/>
      <c r="N71" s="17"/>
      <c r="O71" s="17"/>
      <c r="P71" s="17"/>
      <c r="Q71" s="38"/>
      <c r="R71" s="17"/>
      <c r="S71" s="1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71"/>
      <c r="AF71" s="71"/>
      <c r="AG71" s="71"/>
      <c r="AH71" s="71"/>
      <c r="AI71" s="71"/>
      <c r="AJ71" s="71"/>
    </row>
    <row r="72" spans="1:36" s="57" customFormat="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38"/>
      <c r="L72" s="38"/>
      <c r="M72" s="17"/>
      <c r="N72" s="17"/>
      <c r="O72" s="17"/>
      <c r="P72" s="17"/>
      <c r="Q72" s="38"/>
      <c r="R72" s="17"/>
      <c r="S72" s="1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71"/>
      <c r="AF72" s="71"/>
      <c r="AG72" s="71"/>
      <c r="AH72" s="71"/>
      <c r="AI72" s="71"/>
      <c r="AJ72" s="71"/>
    </row>
    <row r="73" spans="1:36" s="57" customFormat="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38"/>
      <c r="L73" s="38"/>
      <c r="M73" s="17"/>
      <c r="N73" s="17"/>
      <c r="O73" s="17"/>
      <c r="P73" s="17"/>
      <c r="Q73" s="38"/>
      <c r="R73" s="17"/>
      <c r="S73" s="1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71"/>
      <c r="AF73" s="71"/>
      <c r="AG73" s="71"/>
      <c r="AH73" s="71"/>
      <c r="AI73" s="71"/>
      <c r="AJ73" s="71"/>
    </row>
    <row r="74" spans="1:36" s="57" customFormat="1" x14ac:dyDescent="0.3">
      <c r="A74" s="17"/>
      <c r="B74" s="17"/>
      <c r="C74" s="211"/>
      <c r="D74" s="17"/>
      <c r="E74" s="17"/>
      <c r="F74" s="17"/>
      <c r="G74" s="17"/>
      <c r="H74" s="17"/>
      <c r="I74" s="17"/>
      <c r="J74" s="17"/>
      <c r="K74" s="38"/>
      <c r="L74" s="38"/>
      <c r="M74" s="17"/>
      <c r="N74" s="17"/>
      <c r="O74" s="17"/>
      <c r="P74" s="17"/>
      <c r="Q74" s="38"/>
      <c r="R74" s="17"/>
      <c r="S74" s="17"/>
      <c r="T74" s="37"/>
      <c r="U74" s="37"/>
      <c r="V74" s="37"/>
      <c r="W74" s="37"/>
      <c r="X74" s="37"/>
      <c r="Y74" s="71"/>
      <c r="Z74" s="71"/>
      <c r="AA74" s="71"/>
      <c r="AB74" s="71"/>
      <c r="AC74" s="71"/>
      <c r="AD74" s="37"/>
      <c r="AE74" s="71"/>
      <c r="AF74" s="71"/>
      <c r="AG74" s="71"/>
      <c r="AH74" s="71"/>
      <c r="AI74" s="71"/>
      <c r="AJ74" s="71"/>
    </row>
    <row r="75" spans="1:36" s="57" customFormat="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38"/>
      <c r="L75" s="38"/>
      <c r="M75" s="17"/>
      <c r="N75" s="17"/>
      <c r="O75" s="17"/>
      <c r="P75" s="17"/>
      <c r="Q75" s="38"/>
      <c r="R75" s="17"/>
      <c r="S75" s="1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71"/>
      <c r="AF75" s="71"/>
      <c r="AG75" s="71"/>
      <c r="AH75" s="71"/>
      <c r="AI75" s="71"/>
      <c r="AJ75" s="71"/>
    </row>
    <row r="76" spans="1:36" s="57" customFormat="1" x14ac:dyDescent="0.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38"/>
      <c r="L76" s="38"/>
      <c r="M76" s="17"/>
      <c r="N76" s="17"/>
      <c r="O76" s="17"/>
      <c r="P76" s="17"/>
      <c r="Q76" s="38"/>
      <c r="R76" s="17"/>
      <c r="S76" s="1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71"/>
      <c r="AF76" s="71"/>
      <c r="AG76" s="71"/>
      <c r="AH76" s="71"/>
      <c r="AI76" s="71"/>
      <c r="AJ76" s="71"/>
    </row>
    <row r="77" spans="1:36" s="57" customForma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38"/>
      <c r="L77" s="38"/>
      <c r="M77" s="17"/>
      <c r="N77" s="17"/>
      <c r="O77" s="17"/>
      <c r="P77" s="17"/>
      <c r="Q77" s="38"/>
      <c r="R77" s="17"/>
      <c r="S77" s="1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71"/>
      <c r="AF77" s="71"/>
      <c r="AG77" s="71"/>
      <c r="AH77" s="71"/>
      <c r="AI77" s="71"/>
      <c r="AJ77" s="71"/>
    </row>
    <row r="78" spans="1:36" s="57" customFormat="1" x14ac:dyDescent="0.3">
      <c r="A78" s="17"/>
      <c r="B78" s="17"/>
      <c r="C78" s="211"/>
      <c r="D78" s="17"/>
      <c r="E78" s="17"/>
      <c r="F78" s="17"/>
      <c r="G78" s="17"/>
      <c r="H78" s="17"/>
      <c r="I78" s="17"/>
      <c r="J78" s="17"/>
      <c r="K78" s="38"/>
      <c r="L78" s="38"/>
      <c r="M78" s="17"/>
      <c r="N78" s="17"/>
      <c r="O78" s="17"/>
      <c r="P78" s="17"/>
      <c r="Q78" s="38"/>
      <c r="R78" s="17"/>
      <c r="S78" s="17"/>
      <c r="T78" s="37"/>
      <c r="U78" s="37"/>
      <c r="V78" s="37"/>
      <c r="W78" s="37"/>
      <c r="X78" s="37"/>
      <c r="Y78" s="37"/>
      <c r="Z78" s="71"/>
      <c r="AA78" s="71"/>
      <c r="AB78" s="71"/>
      <c r="AC78" s="71"/>
      <c r="AD78" s="37"/>
      <c r="AE78" s="71"/>
      <c r="AF78" s="71"/>
      <c r="AG78" s="71"/>
      <c r="AH78" s="71"/>
      <c r="AI78" s="71"/>
      <c r="AJ78" s="71"/>
    </row>
    <row r="79" spans="1:36" s="57" customFormat="1" x14ac:dyDescent="0.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38"/>
      <c r="L79" s="38"/>
      <c r="M79" s="17"/>
      <c r="N79" s="17"/>
      <c r="O79" s="17"/>
      <c r="P79" s="17"/>
      <c r="Q79" s="38"/>
      <c r="R79" s="17"/>
      <c r="S79" s="1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71"/>
      <c r="AF79" s="71"/>
      <c r="AG79" s="71"/>
      <c r="AH79" s="71"/>
      <c r="AI79" s="71"/>
      <c r="AJ79" s="71"/>
    </row>
    <row r="80" spans="1:36" s="57" customFormat="1" x14ac:dyDescent="0.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38"/>
      <c r="L80" s="38"/>
      <c r="M80" s="17"/>
      <c r="N80" s="17"/>
      <c r="O80" s="17"/>
      <c r="P80" s="17"/>
      <c r="Q80" s="38"/>
      <c r="R80" s="17"/>
      <c r="S80" s="1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71"/>
      <c r="AF80" s="71"/>
      <c r="AG80" s="71"/>
      <c r="AH80" s="71"/>
      <c r="AI80" s="71"/>
      <c r="AJ80" s="71"/>
    </row>
    <row r="81" spans="1:36" s="57" customFormat="1" x14ac:dyDescent="0.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38"/>
      <c r="L81" s="38"/>
      <c r="M81" s="17"/>
      <c r="N81" s="17"/>
      <c r="O81" s="17"/>
      <c r="P81" s="17"/>
      <c r="Q81" s="38"/>
      <c r="R81" s="17"/>
      <c r="S81" s="1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71"/>
      <c r="AF81" s="71"/>
      <c r="AG81" s="71"/>
      <c r="AH81" s="71"/>
      <c r="AI81" s="71"/>
      <c r="AJ81" s="71"/>
    </row>
    <row r="82" spans="1:36" s="57" customFormat="1" x14ac:dyDescent="0.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38"/>
      <c r="L82" s="38"/>
      <c r="M82" s="17"/>
      <c r="N82" s="17"/>
      <c r="O82" s="17"/>
      <c r="P82" s="17"/>
      <c r="Q82" s="38"/>
      <c r="R82" s="17"/>
      <c r="S82" s="1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71"/>
      <c r="AF82" s="71"/>
      <c r="AG82" s="71"/>
      <c r="AH82" s="71"/>
      <c r="AI82" s="71"/>
      <c r="AJ82" s="71"/>
    </row>
    <row r="83" spans="1:36" s="57" customFormat="1" x14ac:dyDescent="0.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38"/>
      <c r="L83" s="38"/>
      <c r="M83" s="17"/>
      <c r="N83" s="17"/>
      <c r="O83" s="17"/>
      <c r="P83" s="17"/>
      <c r="Q83" s="38"/>
      <c r="R83" s="17"/>
      <c r="S83" s="1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71"/>
      <c r="AF83" s="71"/>
      <c r="AG83" s="71"/>
      <c r="AH83" s="71"/>
      <c r="AI83" s="71"/>
      <c r="AJ83" s="71"/>
    </row>
    <row r="84" spans="1:36" s="57" customFormat="1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38"/>
      <c r="L84" s="38"/>
      <c r="M84" s="17"/>
      <c r="N84" s="17"/>
      <c r="O84" s="17"/>
      <c r="P84" s="17"/>
      <c r="Q84" s="38"/>
      <c r="R84" s="17"/>
      <c r="S84" s="1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71"/>
      <c r="AF84" s="71"/>
      <c r="AG84" s="71"/>
      <c r="AH84" s="71"/>
      <c r="AI84" s="71"/>
      <c r="AJ84" s="71"/>
    </row>
    <row r="85" spans="1:36" s="57" customFormat="1" x14ac:dyDescent="0.3">
      <c r="A85" s="17"/>
      <c r="B85" s="17"/>
      <c r="C85" s="211"/>
      <c r="D85" s="17"/>
      <c r="E85" s="17"/>
      <c r="F85" s="17"/>
      <c r="G85" s="17"/>
      <c r="H85" s="17"/>
      <c r="I85" s="17"/>
      <c r="J85" s="17"/>
      <c r="K85" s="38"/>
      <c r="L85" s="38"/>
      <c r="M85" s="17"/>
      <c r="N85" s="17"/>
      <c r="O85" s="17"/>
      <c r="P85" s="17"/>
      <c r="Q85" s="38"/>
      <c r="R85" s="17"/>
      <c r="S85" s="17"/>
      <c r="T85" s="37"/>
      <c r="U85" s="37"/>
      <c r="V85" s="37"/>
      <c r="W85" s="37"/>
      <c r="X85" s="37"/>
      <c r="Y85" s="71"/>
      <c r="Z85" s="71"/>
      <c r="AA85" s="71"/>
      <c r="AB85" s="71"/>
      <c r="AC85" s="71"/>
      <c r="AD85" s="37"/>
      <c r="AE85" s="71"/>
      <c r="AF85" s="71"/>
      <c r="AG85" s="71"/>
      <c r="AH85" s="71"/>
      <c r="AI85" s="71"/>
      <c r="AJ85" s="71"/>
    </row>
    <row r="86" spans="1:36" s="57" customFormat="1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38"/>
      <c r="L86" s="38"/>
      <c r="M86" s="17"/>
      <c r="N86" s="17"/>
      <c r="O86" s="17"/>
      <c r="P86" s="17"/>
      <c r="Q86" s="38"/>
      <c r="R86" s="17"/>
      <c r="S86" s="1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71"/>
      <c r="AF86" s="71"/>
      <c r="AG86" s="71"/>
      <c r="AH86" s="71"/>
      <c r="AI86" s="71"/>
      <c r="AJ86" s="71"/>
    </row>
    <row r="87" spans="1:36" s="57" customFormat="1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38"/>
      <c r="L87" s="38"/>
      <c r="M87" s="17"/>
      <c r="N87" s="17"/>
      <c r="O87" s="17"/>
      <c r="P87" s="17"/>
      <c r="Q87" s="38"/>
      <c r="R87" s="17"/>
      <c r="S87" s="1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71"/>
      <c r="AF87" s="71"/>
      <c r="AG87" s="71"/>
      <c r="AH87" s="71"/>
      <c r="AI87" s="71"/>
      <c r="AJ87" s="71"/>
    </row>
    <row r="88" spans="1:36" s="57" customFormat="1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71"/>
      <c r="AF88" s="71"/>
      <c r="AG88" s="71"/>
      <c r="AH88" s="71"/>
      <c r="AI88" s="71"/>
      <c r="AJ88" s="71"/>
    </row>
    <row r="89" spans="1:36" s="57" customFormat="1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71"/>
      <c r="AG89" s="71"/>
      <c r="AH89" s="71"/>
      <c r="AI89" s="71"/>
      <c r="AJ89" s="71"/>
    </row>
    <row r="90" spans="1:36" s="57" customFormat="1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71"/>
      <c r="AF90" s="71"/>
      <c r="AG90" s="71"/>
      <c r="AH90" s="71"/>
      <c r="AI90" s="71"/>
      <c r="AJ90" s="71"/>
    </row>
    <row r="91" spans="1:36" s="57" customFormat="1" x14ac:dyDescent="0.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71"/>
      <c r="AF91" s="71"/>
      <c r="AG91" s="71"/>
      <c r="AH91" s="71"/>
      <c r="AI91" s="71"/>
      <c r="AJ91" s="71"/>
    </row>
    <row r="92" spans="1:36" s="57" customFormat="1" x14ac:dyDescent="0.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71"/>
      <c r="AF92" s="71"/>
      <c r="AG92" s="71"/>
      <c r="AH92" s="71"/>
      <c r="AI92" s="71"/>
      <c r="AJ92" s="71"/>
    </row>
    <row r="93" spans="1:36" s="57" customFormat="1" x14ac:dyDescent="0.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71"/>
      <c r="AF93" s="71"/>
      <c r="AG93" s="71"/>
      <c r="AH93" s="71"/>
      <c r="AI93" s="71"/>
      <c r="AJ93" s="71"/>
    </row>
    <row r="94" spans="1:36" s="57" customFormat="1" x14ac:dyDescent="0.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71"/>
      <c r="AF94" s="71"/>
      <c r="AG94" s="71"/>
      <c r="AH94" s="71"/>
      <c r="AI94" s="71"/>
      <c r="AJ94" s="71"/>
    </row>
    <row r="95" spans="1:36" s="57" customFormat="1" x14ac:dyDescent="0.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37"/>
      <c r="U95" s="37"/>
      <c r="V95" s="37"/>
      <c r="W95" s="37"/>
      <c r="X95" s="37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</row>
    <row r="96" spans="1:36" x14ac:dyDescent="0.3">
      <c r="B96" s="17"/>
    </row>
  </sheetData>
  <mergeCells count="4">
    <mergeCell ref="E4:G4"/>
    <mergeCell ref="H4:I4"/>
    <mergeCell ref="K4:L4"/>
    <mergeCell ref="N4:P4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1986</vt:lpstr>
      <vt:lpstr>1990</vt:lpstr>
      <vt:lpstr>1994</vt:lpstr>
      <vt:lpstr>1998</vt:lpstr>
      <vt:lpstr>2002</vt:lpstr>
      <vt:lpstr>Gesamt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2026-07-06T07:20:02Z</dcterms:created>
  <dcterms:modified xsi:type="dcterms:W3CDTF">2026-07-06T15:04:47Z</dcterms:modified>
</cp:coreProperties>
</file>