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I:\Fußball-WM\"/>
    </mc:Choice>
  </mc:AlternateContent>
  <bookViews>
    <workbookView xWindow="0" yWindow="0" windowWidth="23040" windowHeight="9780" firstSheet="9" activeTab="22"/>
  </bookViews>
  <sheets>
    <sheet name="1930" sheetId="1" r:id="rId1"/>
    <sheet name="1934" sheetId="2" r:id="rId2"/>
    <sheet name="1938" sheetId="3" r:id="rId3"/>
    <sheet name="1950" sheetId="4" r:id="rId4"/>
    <sheet name="1954" sheetId="6" r:id="rId5"/>
    <sheet name="1958" sheetId="7" r:id="rId6"/>
    <sheet name="1962" sheetId="8" r:id="rId7"/>
    <sheet name="1966" sheetId="9" r:id="rId8"/>
    <sheet name="1970" sheetId="10" r:id="rId9"/>
    <sheet name="1974" sheetId="11" r:id="rId10"/>
    <sheet name="1978" sheetId="12" r:id="rId11"/>
    <sheet name="1982" sheetId="13" r:id="rId12"/>
    <sheet name="1986" sheetId="14" r:id="rId13"/>
    <sheet name="1990" sheetId="15" r:id="rId14"/>
    <sheet name="Gesamt" sheetId="28" r:id="rId15"/>
    <sheet name="1994" sheetId="16" r:id="rId16"/>
    <sheet name="1998" sheetId="17" r:id="rId17"/>
    <sheet name="2002" sheetId="18" r:id="rId18"/>
    <sheet name="2006" sheetId="19" r:id="rId19"/>
    <sheet name="2010" sheetId="20" r:id="rId20"/>
    <sheet name="2014" sheetId="21" r:id="rId21"/>
    <sheet name="2018" sheetId="22" r:id="rId22"/>
    <sheet name="2022" sheetId="23" r:id="rId2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5" i="28" l="1"/>
  <c r="H5" i="28"/>
  <c r="I6" i="28"/>
  <c r="H6" i="28"/>
  <c r="H8" i="28"/>
  <c r="I7" i="28"/>
  <c r="H7" i="28"/>
  <c r="I11" i="28"/>
  <c r="H11" i="28"/>
  <c r="I12" i="28"/>
  <c r="H12" i="28"/>
  <c r="I9" i="28"/>
  <c r="H9" i="28"/>
  <c r="I10" i="28"/>
  <c r="H10" i="28"/>
  <c r="I13" i="28"/>
  <c r="H13" i="28"/>
  <c r="I15" i="28"/>
  <c r="H15" i="28"/>
  <c r="I16" i="28"/>
  <c r="H16" i="28"/>
  <c r="I14" i="28"/>
  <c r="H14" i="28"/>
  <c r="I17" i="28"/>
  <c r="H17" i="28"/>
  <c r="I19" i="28"/>
  <c r="H19" i="28"/>
  <c r="I18" i="28"/>
  <c r="H18" i="28"/>
  <c r="O14" i="28" l="1"/>
  <c r="P14" i="28"/>
  <c r="N14" i="28"/>
  <c r="O16" i="28"/>
  <c r="P16" i="28"/>
  <c r="N16" i="28"/>
  <c r="O15" i="28"/>
  <c r="P15" i="28"/>
  <c r="N15" i="28"/>
  <c r="O13" i="28"/>
  <c r="P13" i="28"/>
  <c r="N13" i="28"/>
  <c r="O10" i="28"/>
  <c r="P10" i="28"/>
  <c r="N10" i="28"/>
  <c r="O9" i="28"/>
  <c r="P9" i="28"/>
  <c r="N9" i="28"/>
  <c r="O12" i="28"/>
  <c r="P12" i="28"/>
  <c r="N12" i="28"/>
  <c r="O11" i="28"/>
  <c r="P11" i="28"/>
  <c r="N11" i="28"/>
  <c r="O7" i="28"/>
  <c r="P7" i="28"/>
  <c r="N7" i="28"/>
  <c r="O6" i="28"/>
  <c r="P6" i="28"/>
  <c r="N6" i="28"/>
  <c r="O5" i="28"/>
  <c r="P5" i="28"/>
  <c r="N5" i="28"/>
  <c r="O18" i="28"/>
  <c r="P18" i="28"/>
  <c r="N18" i="28"/>
  <c r="O19" i="28"/>
  <c r="P19" i="28"/>
  <c r="N19" i="28"/>
  <c r="O17" i="28"/>
  <c r="P17" i="28"/>
  <c r="N17" i="28"/>
  <c r="M7" i="28" a="1"/>
  <c r="M23" i="28" a="1"/>
  <c r="M5" i="28" a="1"/>
  <c r="M8" i="28" a="1"/>
  <c r="M20" i="28" a="1"/>
  <c r="M16" i="28" a="1"/>
  <c r="M18" i="28" a="1"/>
  <c r="M10" i="28" a="1"/>
  <c r="M12" i="28" a="1"/>
  <c r="M17" i="28" a="1"/>
  <c r="M22" i="28" a="1"/>
  <c r="M11" i="28" a="1"/>
  <c r="M15" i="28" a="1"/>
  <c r="M19" i="28" a="1"/>
  <c r="D5" i="28" a="1"/>
  <c r="M24" i="28" a="1"/>
  <c r="M6" i="28" a="1"/>
  <c r="M9" i="28" a="1"/>
  <c r="M14" i="28" a="1"/>
  <c r="M21" i="28" a="1"/>
  <c r="M13" i="28" a="1"/>
  <c r="M24" i="28" l="1"/>
  <c r="M23" i="28"/>
  <c r="M22" i="28"/>
  <c r="M21" i="28"/>
  <c r="M18" i="28"/>
  <c r="M19" i="28"/>
  <c r="M20" i="28"/>
  <c r="M17" i="28"/>
  <c r="M14" i="28"/>
  <c r="M16" i="28"/>
  <c r="M15" i="28"/>
  <c r="M13" i="28"/>
  <c r="M10" i="28"/>
  <c r="M9" i="28"/>
  <c r="M12" i="28"/>
  <c r="M11" i="28"/>
  <c r="M7" i="28"/>
  <c r="M8" i="28"/>
  <c r="M6" i="28"/>
  <c r="M5" i="28"/>
  <c r="D5" i="28"/>
  <c r="C25" i="18"/>
  <c r="C27" i="18"/>
  <c r="C26" i="18"/>
  <c r="C28" i="18"/>
  <c r="C27" i="17"/>
  <c r="C28" i="17"/>
  <c r="C29" i="17"/>
  <c r="C26" i="17"/>
  <c r="H25" i="10" l="1"/>
  <c r="G25" i="10"/>
  <c r="F25" i="10"/>
  <c r="J25" i="10" s="1"/>
  <c r="E25" i="10"/>
  <c r="D25" i="10"/>
  <c r="I25" i="10" s="1"/>
  <c r="C25" i="10"/>
  <c r="H46" i="10"/>
  <c r="G46" i="10"/>
  <c r="F46" i="10"/>
  <c r="J46" i="10" s="1"/>
  <c r="E46" i="10"/>
  <c r="D46" i="10"/>
  <c r="I46" i="10" s="1"/>
  <c r="C46" i="10"/>
  <c r="H68" i="10"/>
  <c r="G68" i="10"/>
  <c r="F68" i="10"/>
  <c r="J68" i="10" s="1"/>
  <c r="E68" i="10"/>
  <c r="D68" i="10"/>
  <c r="I68" i="10" s="1"/>
  <c r="C68" i="10"/>
  <c r="H90" i="10"/>
  <c r="G90" i="10"/>
  <c r="F90" i="10"/>
  <c r="J90" i="10" s="1"/>
  <c r="E90" i="10"/>
  <c r="D90" i="10"/>
  <c r="I90" i="10" s="1"/>
  <c r="C90" i="10"/>
  <c r="H89" i="9"/>
  <c r="G89" i="9"/>
  <c r="F89" i="9"/>
  <c r="J89" i="9" s="1"/>
  <c r="E89" i="9"/>
  <c r="D89" i="9"/>
  <c r="I89" i="9" s="1"/>
  <c r="C89" i="9"/>
  <c r="H67" i="9"/>
  <c r="G67" i="9"/>
  <c r="F67" i="9"/>
  <c r="J67" i="9" s="1"/>
  <c r="E67" i="9"/>
  <c r="D67" i="9"/>
  <c r="I67" i="9" s="1"/>
  <c r="C67" i="9"/>
  <c r="H45" i="9"/>
  <c r="G45" i="9"/>
  <c r="F45" i="9"/>
  <c r="J45" i="9" s="1"/>
  <c r="E45" i="9"/>
  <c r="D45" i="9"/>
  <c r="I45" i="9" s="1"/>
  <c r="C45" i="9"/>
  <c r="H24" i="9"/>
  <c r="G24" i="9"/>
  <c r="F24" i="9"/>
  <c r="J24" i="9" s="1"/>
  <c r="E24" i="9"/>
  <c r="D24" i="9"/>
  <c r="I24" i="9" s="1"/>
  <c r="C24" i="9"/>
  <c r="C29" i="8"/>
  <c r="D29" i="8"/>
  <c r="I29" i="8" s="1"/>
  <c r="E29" i="8"/>
  <c r="F29" i="8"/>
  <c r="J29" i="8" s="1"/>
  <c r="G29" i="8"/>
  <c r="H29" i="8"/>
  <c r="C26" i="8"/>
  <c r="D26" i="8"/>
  <c r="I26" i="8" s="1"/>
  <c r="E26" i="8"/>
  <c r="F26" i="8"/>
  <c r="J26" i="8" s="1"/>
  <c r="G26" i="8"/>
  <c r="H26" i="8"/>
  <c r="C27" i="8"/>
  <c r="D27" i="8"/>
  <c r="E27" i="8"/>
  <c r="F27" i="8"/>
  <c r="G27" i="8"/>
  <c r="H27" i="8"/>
  <c r="H28" i="8"/>
  <c r="G28" i="8"/>
  <c r="F28" i="8"/>
  <c r="E28" i="8"/>
  <c r="D28" i="8"/>
  <c r="C28" i="8"/>
  <c r="I27" i="8" l="1"/>
  <c r="J27" i="8"/>
  <c r="H88" i="8"/>
  <c r="G88" i="8"/>
  <c r="F88" i="8"/>
  <c r="J88" i="8" s="1"/>
  <c r="E88" i="8"/>
  <c r="D88" i="8"/>
  <c r="I88" i="8" s="1"/>
  <c r="C88" i="8"/>
  <c r="H68" i="8"/>
  <c r="G68" i="8"/>
  <c r="F68" i="8"/>
  <c r="J68" i="8" s="1"/>
  <c r="E68" i="8"/>
  <c r="D68" i="8"/>
  <c r="I68" i="8" s="1"/>
  <c r="C68" i="8"/>
  <c r="H47" i="8"/>
  <c r="G47" i="8"/>
  <c r="F47" i="8"/>
  <c r="J47" i="8" s="1"/>
  <c r="E47" i="8"/>
  <c r="D47" i="8"/>
  <c r="I47" i="8" s="1"/>
  <c r="C47" i="8"/>
  <c r="J28" i="8"/>
  <c r="I28" i="8"/>
  <c r="C111" i="7"/>
  <c r="C110" i="7"/>
  <c r="C112" i="7"/>
  <c r="D112" i="7"/>
  <c r="I112" i="7" s="1"/>
  <c r="E112" i="7"/>
  <c r="F112" i="7"/>
  <c r="J112" i="7" s="1"/>
  <c r="G112" i="7"/>
  <c r="H112" i="7"/>
  <c r="D110" i="7"/>
  <c r="E110" i="7"/>
  <c r="F110" i="7"/>
  <c r="J110" i="7" s="1"/>
  <c r="G110" i="7"/>
  <c r="H110" i="7"/>
  <c r="D111" i="7"/>
  <c r="E111" i="7"/>
  <c r="F111" i="7"/>
  <c r="J111" i="7" s="1"/>
  <c r="G111" i="7"/>
  <c r="H111" i="7"/>
  <c r="H109" i="7"/>
  <c r="G109" i="7"/>
  <c r="F109" i="7"/>
  <c r="E109" i="7"/>
  <c r="D109" i="7"/>
  <c r="C109" i="7"/>
  <c r="C83" i="7"/>
  <c r="C84" i="7"/>
  <c r="C85" i="7"/>
  <c r="C82" i="7"/>
  <c r="D85" i="7"/>
  <c r="I85" i="7" s="1"/>
  <c r="E85" i="7"/>
  <c r="F85" i="7"/>
  <c r="G85" i="7"/>
  <c r="H85" i="7"/>
  <c r="D84" i="7"/>
  <c r="E84" i="7"/>
  <c r="F84" i="7"/>
  <c r="J84" i="7" s="1"/>
  <c r="G84" i="7"/>
  <c r="H84" i="7"/>
  <c r="D83" i="7"/>
  <c r="E83" i="7"/>
  <c r="F83" i="7"/>
  <c r="G83" i="7"/>
  <c r="H83" i="7"/>
  <c r="H82" i="7"/>
  <c r="G82" i="7"/>
  <c r="F82" i="7"/>
  <c r="E82" i="7"/>
  <c r="D82" i="7"/>
  <c r="C58" i="7"/>
  <c r="C56" i="7"/>
  <c r="C57" i="7"/>
  <c r="C55" i="7"/>
  <c r="D57" i="7"/>
  <c r="I57" i="7" s="1"/>
  <c r="E57" i="7"/>
  <c r="F57" i="7"/>
  <c r="J57" i="7" s="1"/>
  <c r="G57" i="7"/>
  <c r="H57" i="7"/>
  <c r="D56" i="7"/>
  <c r="E56" i="7"/>
  <c r="I56" i="7" s="1"/>
  <c r="F56" i="7"/>
  <c r="J56" i="7" s="1"/>
  <c r="G56" i="7"/>
  <c r="H56" i="7"/>
  <c r="D58" i="7"/>
  <c r="E58" i="7"/>
  <c r="I58" i="7" s="1"/>
  <c r="F58" i="7"/>
  <c r="J58" i="7" s="1"/>
  <c r="G58" i="7"/>
  <c r="H58" i="7"/>
  <c r="H55" i="7"/>
  <c r="G55" i="7"/>
  <c r="F55" i="7"/>
  <c r="E55" i="7"/>
  <c r="D55" i="7"/>
  <c r="C35" i="7"/>
  <c r="C33" i="7"/>
  <c r="C34" i="7"/>
  <c r="C36" i="7"/>
  <c r="D34" i="7"/>
  <c r="I34" i="7" s="1"/>
  <c r="E34" i="7"/>
  <c r="F34" i="7"/>
  <c r="J34" i="7" s="1"/>
  <c r="G34" i="7"/>
  <c r="H34" i="7"/>
  <c r="D33" i="7"/>
  <c r="I33" i="7" s="1"/>
  <c r="E33" i="7"/>
  <c r="F33" i="7"/>
  <c r="G33" i="7"/>
  <c r="H33" i="7"/>
  <c r="D35" i="7"/>
  <c r="E35" i="7"/>
  <c r="F35" i="7"/>
  <c r="G35" i="7"/>
  <c r="H35" i="7"/>
  <c r="H36" i="7"/>
  <c r="G36" i="7"/>
  <c r="F36" i="7"/>
  <c r="E36" i="7"/>
  <c r="D36" i="7"/>
  <c r="I111" i="7" l="1"/>
  <c r="I110" i="7"/>
  <c r="I83" i="7"/>
  <c r="J85" i="7"/>
  <c r="I84" i="7"/>
  <c r="J83" i="7"/>
  <c r="I35" i="7"/>
  <c r="J33" i="7"/>
  <c r="J35" i="7"/>
  <c r="C93" i="6"/>
  <c r="C91" i="6"/>
  <c r="C90" i="6"/>
  <c r="C92" i="6"/>
  <c r="D90" i="6"/>
  <c r="I90" i="6" s="1"/>
  <c r="E90" i="6"/>
  <c r="F90" i="6"/>
  <c r="J90" i="6" s="1"/>
  <c r="G90" i="6"/>
  <c r="H90" i="6"/>
  <c r="D91" i="6"/>
  <c r="E91" i="6"/>
  <c r="I91" i="6" s="1"/>
  <c r="F91" i="6"/>
  <c r="J91" i="6" s="1"/>
  <c r="G91" i="6"/>
  <c r="H91" i="6"/>
  <c r="D93" i="6"/>
  <c r="E93" i="6"/>
  <c r="F93" i="6"/>
  <c r="J93" i="6" s="1"/>
  <c r="G93" i="6"/>
  <c r="H93" i="6"/>
  <c r="H92" i="6"/>
  <c r="G92" i="6"/>
  <c r="F92" i="6"/>
  <c r="E92" i="6"/>
  <c r="D92" i="6"/>
  <c r="C68" i="6"/>
  <c r="C67" i="6"/>
  <c r="C66" i="6"/>
  <c r="C65" i="6"/>
  <c r="D66" i="6"/>
  <c r="I66" i="6" s="1"/>
  <c r="E66" i="6"/>
  <c r="F66" i="6"/>
  <c r="G66" i="6"/>
  <c r="H66" i="6"/>
  <c r="J66" i="6"/>
  <c r="D67" i="6"/>
  <c r="I67" i="6" s="1"/>
  <c r="E67" i="6"/>
  <c r="F67" i="6"/>
  <c r="J67" i="6" s="1"/>
  <c r="G67" i="6"/>
  <c r="H67" i="6"/>
  <c r="D68" i="6"/>
  <c r="I68" i="6" s="1"/>
  <c r="E68" i="6"/>
  <c r="F68" i="6"/>
  <c r="J68" i="6" s="1"/>
  <c r="G68" i="6"/>
  <c r="H68" i="6"/>
  <c r="H65" i="6"/>
  <c r="G65" i="6"/>
  <c r="F65" i="6"/>
  <c r="E65" i="6"/>
  <c r="D65" i="6"/>
  <c r="C50" i="6"/>
  <c r="C48" i="6"/>
  <c r="C49" i="6"/>
  <c r="D49" i="6"/>
  <c r="E49" i="6"/>
  <c r="F49" i="6"/>
  <c r="G49" i="6"/>
  <c r="H49" i="6"/>
  <c r="D48" i="6"/>
  <c r="I48" i="6" s="1"/>
  <c r="E48" i="6"/>
  <c r="F48" i="6"/>
  <c r="J48" i="6" s="1"/>
  <c r="G48" i="6"/>
  <c r="H48" i="6"/>
  <c r="D50" i="6"/>
  <c r="I50" i="6" s="1"/>
  <c r="E50" i="6"/>
  <c r="F50" i="6"/>
  <c r="G50" i="6"/>
  <c r="H50" i="6"/>
  <c r="H47" i="6"/>
  <c r="G47" i="6"/>
  <c r="F47" i="6"/>
  <c r="E47" i="6"/>
  <c r="D47" i="6"/>
  <c r="C47" i="6"/>
  <c r="I93" i="6" l="1"/>
  <c r="J50" i="6"/>
  <c r="J49" i="6"/>
  <c r="I49" i="6"/>
  <c r="J47" i="6"/>
  <c r="C26" i="6"/>
  <c r="C23" i="6"/>
  <c r="C24" i="6"/>
  <c r="D24" i="6"/>
  <c r="E24" i="6"/>
  <c r="F24" i="6"/>
  <c r="J24" i="6" s="1"/>
  <c r="G24" i="6"/>
  <c r="H24" i="6"/>
  <c r="D23" i="6"/>
  <c r="I23" i="6" s="1"/>
  <c r="E23" i="6"/>
  <c r="F23" i="6"/>
  <c r="J23" i="6" s="1"/>
  <c r="G23" i="6"/>
  <c r="H23" i="6"/>
  <c r="D26" i="6"/>
  <c r="E26" i="6"/>
  <c r="F26" i="6"/>
  <c r="G26" i="6"/>
  <c r="H26" i="6"/>
  <c r="H25" i="6"/>
  <c r="G25" i="6"/>
  <c r="F25" i="6"/>
  <c r="E25" i="6"/>
  <c r="D25" i="6"/>
  <c r="C25" i="6"/>
  <c r="J36" i="7"/>
  <c r="I36" i="7"/>
  <c r="J55" i="7"/>
  <c r="I55" i="7"/>
  <c r="J82" i="7"/>
  <c r="I82" i="7"/>
  <c r="J109" i="7"/>
  <c r="I109" i="7"/>
  <c r="J92" i="6"/>
  <c r="I92" i="6"/>
  <c r="J65" i="6"/>
  <c r="I65" i="6"/>
  <c r="V6" i="28"/>
  <c r="U6" i="28"/>
  <c r="T6" i="28"/>
  <c r="AO21" i="28"/>
  <c r="AN21" i="28"/>
  <c r="AM21" i="28"/>
  <c r="AL21" i="28"/>
  <c r="AK21" i="28"/>
  <c r="AJ21" i="28"/>
  <c r="AI21" i="28"/>
  <c r="AH21" i="28"/>
  <c r="AO20" i="28"/>
  <c r="AN20" i="28"/>
  <c r="AM20" i="28"/>
  <c r="AL20" i="28"/>
  <c r="AK20" i="28"/>
  <c r="I47" i="6" l="1"/>
  <c r="I26" i="6"/>
  <c r="I24" i="6"/>
  <c r="J26" i="6"/>
  <c r="J25" i="6"/>
  <c r="I25" i="6"/>
  <c r="E237" i="16" l="1"/>
  <c r="D237" i="16"/>
  <c r="F241" i="16"/>
  <c r="E241" i="16"/>
  <c r="D241" i="16"/>
  <c r="D22" i="28" a="1"/>
  <c r="D18" i="28" a="1"/>
  <c r="D7" i="28" a="1"/>
  <c r="D23" i="28" a="1"/>
  <c r="D6" i="28" a="1"/>
  <c r="D21" i="28" a="1"/>
  <c r="D20" i="28" a="1"/>
  <c r="D24" i="28" a="1"/>
  <c r="D14" i="28" a="1"/>
  <c r="D12" i="28" a="1"/>
  <c r="D17" i="28" a="1"/>
  <c r="D10" i="28" a="1"/>
  <c r="D15" i="28" a="1"/>
  <c r="D11" i="28" a="1"/>
  <c r="D19" i="28" a="1"/>
  <c r="D16" i="28" a="1"/>
  <c r="D13" i="28" a="1"/>
  <c r="D9" i="28" a="1"/>
  <c r="D8" i="28" a="1"/>
  <c r="D24" i="28" l="1"/>
  <c r="D23" i="28"/>
  <c r="D22" i="28"/>
  <c r="D21" i="28"/>
  <c r="D18" i="28"/>
  <c r="D19" i="28"/>
  <c r="D20" i="28"/>
  <c r="D17" i="28"/>
  <c r="D14" i="28"/>
  <c r="D16" i="28"/>
  <c r="D15" i="28"/>
  <c r="D13" i="28"/>
  <c r="D10" i="28"/>
  <c r="D9" i="28"/>
  <c r="D12" i="28"/>
  <c r="D11" i="28"/>
  <c r="D7" i="28"/>
  <c r="D8" i="28"/>
  <c r="D6" i="28"/>
  <c r="C103" i="1" l="1"/>
  <c r="AO24" i="28"/>
  <c r="AN24" i="28"/>
  <c r="AM24" i="28"/>
  <c r="AL24" i="28"/>
  <c r="AO23" i="28"/>
  <c r="AN23" i="28"/>
  <c r="AM23" i="28"/>
  <c r="AL23" i="28"/>
  <c r="AO18" i="28"/>
  <c r="AN18" i="28"/>
  <c r="AM18" i="28"/>
  <c r="AL18" i="28"/>
  <c r="AO22" i="28"/>
  <c r="AN22" i="28"/>
  <c r="AM22" i="28"/>
  <c r="AL22" i="28"/>
  <c r="AO19" i="28"/>
  <c r="AN19" i="28"/>
  <c r="AM19" i="28"/>
  <c r="AL19" i="28"/>
  <c r="AO17" i="28"/>
  <c r="AN17" i="28"/>
  <c r="AM17" i="28"/>
  <c r="AL17" i="28"/>
  <c r="AO14" i="28"/>
  <c r="AN14" i="28"/>
  <c r="AM14" i="28"/>
  <c r="AL14" i="28"/>
  <c r="AO16" i="28"/>
  <c r="AN16" i="28"/>
  <c r="AM16" i="28"/>
  <c r="AL16" i="28"/>
  <c r="AO15" i="28"/>
  <c r="AN15" i="28"/>
  <c r="AM15" i="28"/>
  <c r="AL15" i="28"/>
  <c r="AO13" i="28"/>
  <c r="AN13" i="28"/>
  <c r="AM13" i="28"/>
  <c r="AL13" i="28"/>
  <c r="AO10" i="28"/>
  <c r="AN10" i="28"/>
  <c r="AM10" i="28"/>
  <c r="AL10" i="28"/>
  <c r="AO9" i="28"/>
  <c r="AN9" i="28"/>
  <c r="AM9" i="28"/>
  <c r="AL9" i="28"/>
  <c r="AO12" i="28"/>
  <c r="AN12" i="28"/>
  <c r="AM12" i="28"/>
  <c r="AL12" i="28"/>
  <c r="X239" i="23" l="1"/>
  <c r="Y239" i="23"/>
  <c r="X230" i="23"/>
  <c r="Y230" i="23"/>
  <c r="X222" i="23"/>
  <c r="Y222" i="23"/>
  <c r="X223" i="23"/>
  <c r="Y223" i="23"/>
  <c r="X206" i="23"/>
  <c r="Y206" i="23"/>
  <c r="X207" i="23"/>
  <c r="Y207" i="23"/>
  <c r="X208" i="23"/>
  <c r="Y208" i="23"/>
  <c r="X209" i="23"/>
  <c r="Y209" i="23"/>
  <c r="X185" i="23"/>
  <c r="Y185" i="23"/>
  <c r="X186" i="23"/>
  <c r="Y186" i="23"/>
  <c r="X187" i="23"/>
  <c r="Y187" i="23"/>
  <c r="X188" i="23"/>
  <c r="Y188" i="23"/>
  <c r="X189" i="23"/>
  <c r="Y189" i="23"/>
  <c r="AO11" i="28"/>
  <c r="AN11" i="28"/>
  <c r="AM11" i="28"/>
  <c r="AL11" i="28"/>
  <c r="AO7" i="28"/>
  <c r="AN7" i="28"/>
  <c r="AM7" i="28"/>
  <c r="AL7" i="28"/>
  <c r="AO8" i="28"/>
  <c r="AN8" i="28"/>
  <c r="AM8" i="28"/>
  <c r="AL8" i="28"/>
  <c r="AO6" i="28"/>
  <c r="AN6" i="28"/>
  <c r="AM6" i="28"/>
  <c r="AL6" i="28"/>
  <c r="AO5" i="28"/>
  <c r="AN5" i="28"/>
  <c r="AM5" i="28"/>
  <c r="AL5" i="28"/>
  <c r="C272" i="23"/>
  <c r="C255" i="23"/>
  <c r="C264" i="23"/>
  <c r="C268" i="23"/>
  <c r="X162" i="23"/>
  <c r="Y162" i="23"/>
  <c r="X163" i="23"/>
  <c r="Y163" i="23"/>
  <c r="X164" i="23"/>
  <c r="Y164" i="23"/>
  <c r="X165" i="23"/>
  <c r="Y165" i="23"/>
  <c r="X166" i="23"/>
  <c r="Y166" i="23"/>
  <c r="C276" i="23"/>
  <c r="C256" i="23"/>
  <c r="C266" i="23"/>
  <c r="C259" i="23"/>
  <c r="X141" i="23"/>
  <c r="Y141" i="23"/>
  <c r="X142" i="23"/>
  <c r="Y142" i="23"/>
  <c r="X143" i="23"/>
  <c r="Y143" i="23"/>
  <c r="X144" i="23"/>
  <c r="Y144" i="23"/>
  <c r="C279" i="23"/>
  <c r="C271" i="23"/>
  <c r="C251" i="23"/>
  <c r="C252" i="23"/>
  <c r="X121" i="23"/>
  <c r="Y121" i="23"/>
  <c r="X122" i="23"/>
  <c r="Y122" i="23"/>
  <c r="X123" i="23"/>
  <c r="Y123" i="23"/>
  <c r="X124" i="23"/>
  <c r="Y124" i="23"/>
  <c r="C275" i="23" l="1"/>
  <c r="C262" i="23"/>
  <c r="C257" i="23"/>
  <c r="C263" i="23"/>
  <c r="X101" i="23"/>
  <c r="Y101" i="23"/>
  <c r="X102" i="23"/>
  <c r="Y102" i="23"/>
  <c r="C260" i="23"/>
  <c r="C250" i="23"/>
  <c r="C270" i="23"/>
  <c r="C277" i="23"/>
  <c r="X81" i="23"/>
  <c r="Y81" i="23"/>
  <c r="C267" i="23" l="1"/>
  <c r="C269" i="23"/>
  <c r="C274" i="23"/>
  <c r="X59" i="23"/>
  <c r="Y59" i="23"/>
  <c r="X60" i="23"/>
  <c r="Y60" i="23"/>
  <c r="C278" i="23"/>
  <c r="C261" i="23"/>
  <c r="C273" i="23"/>
  <c r="C253" i="23"/>
  <c r="X39" i="23"/>
  <c r="Y39" i="23"/>
  <c r="C254" i="23"/>
  <c r="C258" i="23"/>
  <c r="C265" i="23"/>
  <c r="C280" i="23"/>
  <c r="X190" i="22" l="1"/>
  <c r="Y190" i="22"/>
  <c r="X191" i="22"/>
  <c r="Y191" i="22"/>
  <c r="X192" i="22"/>
  <c r="Y192" i="22"/>
  <c r="X193" i="22"/>
  <c r="Y193" i="22"/>
  <c r="X194" i="22"/>
  <c r="Y194" i="22"/>
  <c r="X213" i="22"/>
  <c r="Y213" i="22"/>
  <c r="X214" i="22"/>
  <c r="Y214" i="22"/>
  <c r="X215" i="22"/>
  <c r="Y215" i="22"/>
  <c r="X216" i="22"/>
  <c r="Y216" i="22"/>
  <c r="X227" i="22"/>
  <c r="Y227" i="22"/>
  <c r="X228" i="22"/>
  <c r="Y228" i="22"/>
  <c r="X236" i="22" l="1"/>
  <c r="Y236" i="22"/>
  <c r="X245" i="22"/>
  <c r="Y245" i="22"/>
  <c r="C269" i="22"/>
  <c r="C277" i="22"/>
  <c r="C267" i="22"/>
  <c r="C261" i="22"/>
  <c r="X167" i="22"/>
  <c r="Y167" i="22"/>
  <c r="X168" i="22"/>
  <c r="Y168" i="22"/>
  <c r="X169" i="22"/>
  <c r="Y169" i="22"/>
  <c r="X170" i="22"/>
  <c r="Y170" i="22"/>
  <c r="C256" i="22"/>
  <c r="C271" i="22"/>
  <c r="C284" i="22"/>
  <c r="C255" i="22"/>
  <c r="X145" i="22"/>
  <c r="Y145" i="22"/>
  <c r="X146" i="22"/>
  <c r="Y146" i="22"/>
  <c r="X147" i="22"/>
  <c r="Y147" i="22"/>
  <c r="X148" i="22"/>
  <c r="Y148" i="22"/>
  <c r="C272" i="22"/>
  <c r="C260" i="22"/>
  <c r="C262" i="22"/>
  <c r="C276" i="22"/>
  <c r="X124" i="22"/>
  <c r="Y124" i="22"/>
  <c r="X125" i="22"/>
  <c r="Y125" i="22"/>
  <c r="X126" i="22"/>
  <c r="Y126" i="22"/>
  <c r="C266" i="22"/>
  <c r="C258" i="22"/>
  <c r="C275" i="22"/>
  <c r="C282" i="22"/>
  <c r="X103" i="22"/>
  <c r="Y103" i="22"/>
  <c r="X104" i="22"/>
  <c r="Y104" i="22"/>
  <c r="C273" i="22"/>
  <c r="C254" i="22"/>
  <c r="C281" i="22"/>
  <c r="C268" i="22"/>
  <c r="C265" i="22" l="1"/>
  <c r="C274" i="22"/>
  <c r="C280" i="22"/>
  <c r="C253" i="22"/>
  <c r="X61" i="22"/>
  <c r="Y61" i="22"/>
  <c r="C264" i="22"/>
  <c r="C270" i="22"/>
  <c r="C279" i="22"/>
  <c r="X39" i="22"/>
  <c r="Y39" i="22"/>
  <c r="C257" i="22"/>
  <c r="C283" i="22"/>
  <c r="C278" i="22"/>
  <c r="C259" i="22"/>
  <c r="N8" i="28" l="1"/>
  <c r="O8" i="28"/>
  <c r="P8" i="28"/>
  <c r="N23" i="28"/>
  <c r="O23" i="28"/>
  <c r="P23" i="28"/>
  <c r="X243" i="21" l="1"/>
  <c r="Y243" i="21"/>
  <c r="X234" i="21"/>
  <c r="Y234" i="21"/>
  <c r="X224" i="21"/>
  <c r="Y224" i="21"/>
  <c r="X225" i="21"/>
  <c r="Y225" i="21"/>
  <c r="X210" i="21"/>
  <c r="Y210" i="21"/>
  <c r="X211" i="21"/>
  <c r="Y211" i="21"/>
  <c r="X212" i="21"/>
  <c r="Y212" i="21"/>
  <c r="X213" i="21"/>
  <c r="Y213" i="21"/>
  <c r="X184" i="21"/>
  <c r="Y184" i="21"/>
  <c r="X185" i="21"/>
  <c r="Y185" i="21"/>
  <c r="X186" i="21"/>
  <c r="Y186" i="21"/>
  <c r="X187" i="21"/>
  <c r="Y187" i="21"/>
  <c r="X188" i="21"/>
  <c r="Y188" i="21"/>
  <c r="X189" i="21"/>
  <c r="Y189" i="21"/>
  <c r="X190" i="21"/>
  <c r="Y190" i="21"/>
  <c r="C277" i="21"/>
  <c r="C275" i="21"/>
  <c r="C264" i="21"/>
  <c r="C257" i="21"/>
  <c r="C266" i="21"/>
  <c r="C276" i="21"/>
  <c r="C267" i="21"/>
  <c r="C252" i="21"/>
  <c r="C269" i="21"/>
  <c r="C280" i="21"/>
  <c r="C271" i="21"/>
  <c r="C254" i="21"/>
  <c r="C282" i="21"/>
  <c r="C259" i="21"/>
  <c r="C268" i="21"/>
  <c r="C262" i="21"/>
  <c r="X163" i="21"/>
  <c r="Y163" i="21"/>
  <c r="X164" i="21"/>
  <c r="Y164" i="21"/>
  <c r="X165" i="21"/>
  <c r="Y165" i="21"/>
  <c r="X166" i="21"/>
  <c r="Y166" i="21"/>
  <c r="X141" i="21"/>
  <c r="Y141" i="21"/>
  <c r="X142" i="21"/>
  <c r="Y142" i="21"/>
  <c r="X143" i="21"/>
  <c r="Y143" i="21"/>
  <c r="X144" i="21"/>
  <c r="Y144" i="21"/>
  <c r="X121" i="21" l="1"/>
  <c r="Y121" i="21"/>
  <c r="X122" i="21"/>
  <c r="Y122" i="21"/>
  <c r="X123" i="21"/>
  <c r="Y123" i="21"/>
  <c r="X101" i="21"/>
  <c r="Y101" i="21"/>
  <c r="X102" i="21"/>
  <c r="Y102" i="21"/>
  <c r="C274" i="21"/>
  <c r="C278" i="21"/>
  <c r="C258" i="21"/>
  <c r="C263" i="21"/>
  <c r="C279" i="21" l="1"/>
  <c r="C272" i="21"/>
  <c r="C265" i="21"/>
  <c r="C256" i="21"/>
  <c r="X60" i="21"/>
  <c r="Y60" i="21"/>
  <c r="C281" i="21"/>
  <c r="C261" i="21"/>
  <c r="C253" i="21"/>
  <c r="C273" i="21"/>
  <c r="X38" i="21"/>
  <c r="Y38" i="21"/>
  <c r="C283" i="21" l="1"/>
  <c r="C260" i="21"/>
  <c r="C270" i="21"/>
  <c r="X17" i="21"/>
  <c r="Y17" i="21"/>
  <c r="N24" i="28" l="1"/>
  <c r="O24" i="28"/>
  <c r="P24" i="28"/>
  <c r="X236" i="20" l="1"/>
  <c r="Y236" i="20"/>
  <c r="X227" i="20"/>
  <c r="Y227" i="20"/>
  <c r="X219" i="20"/>
  <c r="Y219" i="20"/>
  <c r="X220" i="20"/>
  <c r="Y220" i="20"/>
  <c r="X205" i="20"/>
  <c r="Y205" i="20"/>
  <c r="X206" i="20"/>
  <c r="Y206" i="20"/>
  <c r="X207" i="20"/>
  <c r="Y207" i="20"/>
  <c r="X208" i="20"/>
  <c r="Y208" i="20"/>
  <c r="X185" i="20"/>
  <c r="Y185" i="20"/>
  <c r="C265" i="20"/>
  <c r="C246" i="20"/>
  <c r="C254" i="20"/>
  <c r="C274" i="20"/>
  <c r="C276" i="20"/>
  <c r="C250" i="20"/>
  <c r="C255" i="20"/>
  <c r="C260" i="20"/>
  <c r="C259" i="20"/>
  <c r="C267" i="20"/>
  <c r="C251" i="20"/>
  <c r="C270" i="20"/>
  <c r="C275" i="20"/>
  <c r="C253" i="20"/>
  <c r="C266" i="20"/>
  <c r="C245" i="20"/>
  <c r="C264" i="20"/>
  <c r="C247" i="20"/>
  <c r="C252" i="20"/>
  <c r="C268" i="20"/>
  <c r="C262" i="20"/>
  <c r="C273" i="20"/>
  <c r="C256" i="20"/>
  <c r="C257" i="20"/>
  <c r="C271" i="20"/>
  <c r="C249" i="20"/>
  <c r="C269" i="20"/>
  <c r="C258" i="20"/>
  <c r="C272" i="20"/>
  <c r="C248" i="20"/>
  <c r="C261" i="20"/>
  <c r="C263" i="20"/>
  <c r="X186" i="20"/>
  <c r="Y186" i="20"/>
  <c r="X187" i="20"/>
  <c r="Y187" i="20"/>
  <c r="X188" i="20"/>
  <c r="Y188" i="20"/>
  <c r="X189" i="20"/>
  <c r="Y189" i="20"/>
  <c r="X163" i="20"/>
  <c r="Y163" i="20"/>
  <c r="X164" i="20"/>
  <c r="Y164" i="20"/>
  <c r="X165" i="20"/>
  <c r="Y165" i="20"/>
  <c r="X166" i="20"/>
  <c r="Y166" i="20"/>
  <c r="X142" i="20"/>
  <c r="Y142" i="20"/>
  <c r="X143" i="20"/>
  <c r="Y143" i="20"/>
  <c r="X144" i="20"/>
  <c r="Y144" i="20"/>
  <c r="X145" i="20"/>
  <c r="Y145" i="20"/>
  <c r="X146" i="20"/>
  <c r="Y146" i="20"/>
  <c r="X123" i="20"/>
  <c r="Y123" i="20"/>
  <c r="X124" i="20"/>
  <c r="Y124" i="20"/>
  <c r="X125" i="20"/>
  <c r="Y125" i="20"/>
  <c r="X102" i="20"/>
  <c r="Y102" i="20"/>
  <c r="X103" i="20"/>
  <c r="Y103" i="20"/>
  <c r="X60" i="20" l="1"/>
  <c r="Y60" i="20"/>
  <c r="X38" i="20"/>
  <c r="Y38" i="20"/>
  <c r="X17" i="20"/>
  <c r="Y17" i="20"/>
  <c r="AG21" i="28" l="1"/>
  <c r="AF21" i="28"/>
  <c r="AE21" i="28"/>
  <c r="AD21" i="28"/>
  <c r="AC21" i="28"/>
  <c r="AB21" i="28"/>
  <c r="AA21" i="28"/>
  <c r="Z21" i="28"/>
  <c r="Y21" i="28"/>
  <c r="X21" i="28"/>
  <c r="W21" i="28"/>
  <c r="V21" i="28"/>
  <c r="U21" i="28"/>
  <c r="T21" i="28"/>
  <c r="AK14" i="28"/>
  <c r="C251" i="19"/>
  <c r="AK17" i="28"/>
  <c r="AK18" i="28"/>
  <c r="AK16" i="28"/>
  <c r="AK24" i="28"/>
  <c r="AK23" i="28"/>
  <c r="AK19" i="28"/>
  <c r="AK22" i="28"/>
  <c r="AK13" i="28"/>
  <c r="AK12" i="28"/>
  <c r="AK15" i="28"/>
  <c r="AJ15" i="28"/>
  <c r="AK11" i="28"/>
  <c r="AJ11" i="28"/>
  <c r="AK10" i="28"/>
  <c r="AK7" i="28"/>
  <c r="AK8" i="28"/>
  <c r="AK9" i="28"/>
  <c r="AJ9" i="28"/>
  <c r="AK6" i="28"/>
  <c r="AK5" i="28"/>
  <c r="X223" i="19"/>
  <c r="Y223" i="19"/>
  <c r="X206" i="19"/>
  <c r="Y206" i="19"/>
  <c r="X207" i="19"/>
  <c r="Y207" i="19"/>
  <c r="X208" i="19"/>
  <c r="Y208" i="19"/>
  <c r="X186" i="19"/>
  <c r="Y186" i="19"/>
  <c r="X187" i="19"/>
  <c r="Y187" i="19"/>
  <c r="X188" i="19"/>
  <c r="Y188" i="19"/>
  <c r="X189" i="19"/>
  <c r="Y189" i="19"/>
  <c r="X190" i="19"/>
  <c r="Y190" i="19"/>
  <c r="C257" i="19"/>
  <c r="C276" i="19"/>
  <c r="C272" i="19"/>
  <c r="C256" i="19"/>
  <c r="X163" i="19"/>
  <c r="Y163" i="19"/>
  <c r="X164" i="19"/>
  <c r="Y164" i="19"/>
  <c r="X165" i="19"/>
  <c r="Y165" i="19"/>
  <c r="X166" i="19"/>
  <c r="Y166" i="19"/>
  <c r="C258" i="19"/>
  <c r="C252" i="19"/>
  <c r="C280" i="19"/>
  <c r="C265" i="19"/>
  <c r="X142" i="19"/>
  <c r="Y142" i="19"/>
  <c r="X143" i="19"/>
  <c r="Y143" i="19"/>
  <c r="X144" i="19"/>
  <c r="Y144" i="19"/>
  <c r="X145" i="19"/>
  <c r="Y145" i="19"/>
  <c r="B21" i="28" l="1"/>
  <c r="X209" i="19"/>
  <c r="Y209" i="19"/>
  <c r="X222" i="19"/>
  <c r="Y222" i="19"/>
  <c r="X230" i="19"/>
  <c r="Y230" i="19"/>
  <c r="X239" i="19"/>
  <c r="Y239" i="19"/>
  <c r="C270" i="19"/>
  <c r="C253" i="19"/>
  <c r="C275" i="19"/>
  <c r="C264" i="19"/>
  <c r="C261" i="19"/>
  <c r="C249" i="19"/>
  <c r="C267" i="19"/>
  <c r="C274" i="19"/>
  <c r="C271" i="19"/>
  <c r="C273" i="19"/>
  <c r="C263" i="19"/>
  <c r="C259" i="19"/>
  <c r="C279" i="19"/>
  <c r="C266" i="19"/>
  <c r="X122" i="19" l="1"/>
  <c r="Y122" i="19"/>
  <c r="X123" i="19"/>
  <c r="Y123" i="19"/>
  <c r="X124" i="19"/>
  <c r="Y124" i="19"/>
  <c r="X101" i="19"/>
  <c r="Y101" i="19"/>
  <c r="X102" i="19"/>
  <c r="Y102" i="19"/>
  <c r="X81" i="19"/>
  <c r="Y81" i="19"/>
  <c r="X60" i="19"/>
  <c r="Y60" i="19"/>
  <c r="G250" i="19" l="1"/>
  <c r="H250" i="19"/>
  <c r="C262" i="19"/>
  <c r="C277" i="19"/>
  <c r="C268" i="19"/>
  <c r="C255" i="19"/>
  <c r="C260" i="19"/>
  <c r="C269" i="19"/>
  <c r="C278" i="19"/>
  <c r="C250" i="19"/>
  <c r="X38" i="19"/>
  <c r="Y38" i="19"/>
  <c r="X39" i="19"/>
  <c r="Y39" i="19"/>
  <c r="AJ22" i="28"/>
  <c r="AI22" i="28"/>
  <c r="AH22" i="28"/>
  <c r="AG22" i="28"/>
  <c r="AF22" i="28"/>
  <c r="AE22" i="28"/>
  <c r="AD22" i="28"/>
  <c r="AC22" i="28"/>
  <c r="AB22" i="28"/>
  <c r="AA22" i="28"/>
  <c r="Z22" i="28"/>
  <c r="Y22" i="28"/>
  <c r="X22" i="28"/>
  <c r="W22" i="28"/>
  <c r="V22" i="28"/>
  <c r="U22" i="28"/>
  <c r="T22" i="28"/>
  <c r="B22" i="28" l="1"/>
  <c r="AJ19" i="28" l="1"/>
  <c r="AI19" i="28"/>
  <c r="AH19" i="28"/>
  <c r="AG19" i="28"/>
  <c r="AF19" i="28"/>
  <c r="AE19" i="28"/>
  <c r="AD19" i="28"/>
  <c r="AC19" i="28"/>
  <c r="AB19" i="28"/>
  <c r="AA19" i="28"/>
  <c r="Z19" i="28"/>
  <c r="Y19" i="28"/>
  <c r="X19" i="28"/>
  <c r="W19" i="28"/>
  <c r="V19" i="28"/>
  <c r="U19" i="28"/>
  <c r="AJ24" i="28"/>
  <c r="AJ18" i="28"/>
  <c r="AJ23" i="28"/>
  <c r="AJ16" i="28"/>
  <c r="AJ14" i="28"/>
  <c r="AJ20" i="28"/>
  <c r="AJ12" i="28"/>
  <c r="AJ10" i="28"/>
  <c r="AJ7" i="28"/>
  <c r="AJ8" i="28"/>
  <c r="AJ6" i="28"/>
  <c r="AJ5" i="28"/>
  <c r="T19" i="28"/>
  <c r="AJ17" i="28"/>
  <c r="AI17" i="28"/>
  <c r="AH17" i="28"/>
  <c r="AG17" i="28"/>
  <c r="AF17" i="28"/>
  <c r="AE17" i="28"/>
  <c r="AD17" i="28"/>
  <c r="AC17" i="28"/>
  <c r="AB17" i="28"/>
  <c r="AA17" i="28"/>
  <c r="Z17" i="28"/>
  <c r="Y17" i="28"/>
  <c r="X17" i="28"/>
  <c r="W17" i="28"/>
  <c r="V17" i="28"/>
  <c r="U17" i="28"/>
  <c r="H272" i="23"/>
  <c r="G272" i="23"/>
  <c r="H255" i="23"/>
  <c r="G255" i="23"/>
  <c r="H264" i="23"/>
  <c r="G264" i="23"/>
  <c r="H268" i="23"/>
  <c r="G268" i="23"/>
  <c r="H276" i="23"/>
  <c r="G276" i="23"/>
  <c r="H256" i="23"/>
  <c r="G256" i="23"/>
  <c r="H266" i="23"/>
  <c r="G266" i="23"/>
  <c r="H259" i="23"/>
  <c r="G259" i="23"/>
  <c r="H279" i="23"/>
  <c r="G279" i="23"/>
  <c r="H271" i="23"/>
  <c r="G271" i="23"/>
  <c r="H251" i="23"/>
  <c r="G251" i="23"/>
  <c r="H252" i="23"/>
  <c r="G252" i="23"/>
  <c r="H275" i="23"/>
  <c r="G275" i="23"/>
  <c r="H262" i="23"/>
  <c r="G262" i="23"/>
  <c r="H257" i="23"/>
  <c r="G257" i="23"/>
  <c r="H263" i="23"/>
  <c r="G263" i="23"/>
  <c r="H260" i="23"/>
  <c r="G260" i="23"/>
  <c r="H250" i="23"/>
  <c r="G250" i="23"/>
  <c r="H270" i="23"/>
  <c r="G270" i="23"/>
  <c r="H277" i="23"/>
  <c r="G277" i="23"/>
  <c r="H267" i="23"/>
  <c r="G267" i="23"/>
  <c r="H269" i="23"/>
  <c r="G269" i="23"/>
  <c r="H274" i="23"/>
  <c r="G274" i="23"/>
  <c r="H249" i="23"/>
  <c r="G249" i="23"/>
  <c r="C249" i="23"/>
  <c r="H278" i="23"/>
  <c r="G278" i="23"/>
  <c r="H261" i="23"/>
  <c r="G261" i="23"/>
  <c r="H273" i="23"/>
  <c r="G273" i="23"/>
  <c r="H253" i="23"/>
  <c r="G253" i="23"/>
  <c r="H254" i="23"/>
  <c r="G254" i="23"/>
  <c r="H258" i="23"/>
  <c r="G258" i="23"/>
  <c r="H265" i="23"/>
  <c r="G265" i="23"/>
  <c r="H280" i="23"/>
  <c r="G280" i="23"/>
  <c r="Y184" i="23"/>
  <c r="X184" i="23"/>
  <c r="Y183" i="23"/>
  <c r="X183" i="23"/>
  <c r="Y182" i="23"/>
  <c r="X182" i="23"/>
  <c r="Y161" i="23"/>
  <c r="X161" i="23"/>
  <c r="Y140" i="23"/>
  <c r="X140" i="23"/>
  <c r="Y139" i="23"/>
  <c r="X139" i="23"/>
  <c r="Y120" i="23"/>
  <c r="X120" i="23"/>
  <c r="Y119" i="23"/>
  <c r="X119" i="23"/>
  <c r="Y100" i="23"/>
  <c r="X100" i="23"/>
  <c r="Y99" i="23"/>
  <c r="X99" i="23"/>
  <c r="Y98" i="23"/>
  <c r="X98" i="23"/>
  <c r="Y97" i="23"/>
  <c r="X97" i="23"/>
  <c r="Y80" i="23"/>
  <c r="X80" i="23"/>
  <c r="Y79" i="23"/>
  <c r="X79" i="23"/>
  <c r="Y78" i="23"/>
  <c r="X78" i="23"/>
  <c r="Y77" i="23"/>
  <c r="X77" i="23"/>
  <c r="Y76" i="23"/>
  <c r="X76" i="23"/>
  <c r="Y58" i="23"/>
  <c r="X58" i="23"/>
  <c r="Y57" i="23"/>
  <c r="X57" i="23"/>
  <c r="Y56" i="23"/>
  <c r="X56" i="23"/>
  <c r="Y55" i="23"/>
  <c r="X55" i="23"/>
  <c r="Y38" i="23"/>
  <c r="X38" i="23"/>
  <c r="Y37" i="23"/>
  <c r="X37" i="23"/>
  <c r="Y36" i="23"/>
  <c r="X36" i="23"/>
  <c r="Y35" i="23"/>
  <c r="X35" i="23"/>
  <c r="Y34" i="23"/>
  <c r="X34" i="23"/>
  <c r="H26" i="23"/>
  <c r="G26" i="23"/>
  <c r="C26" i="23"/>
  <c r="Y17" i="23"/>
  <c r="X17" i="23"/>
  <c r="Y16" i="23"/>
  <c r="X16" i="23"/>
  <c r="Y15" i="23"/>
  <c r="X15" i="23"/>
  <c r="Y14" i="23"/>
  <c r="X14" i="23"/>
  <c r="Y13" i="23"/>
  <c r="X13" i="23"/>
  <c r="Y12" i="23"/>
  <c r="X12" i="23"/>
  <c r="H269" i="22"/>
  <c r="G269" i="22"/>
  <c r="H277" i="22"/>
  <c r="G277" i="22"/>
  <c r="H267" i="22"/>
  <c r="G267" i="22"/>
  <c r="H261" i="22"/>
  <c r="G261" i="22"/>
  <c r="H256" i="22"/>
  <c r="G256" i="22"/>
  <c r="H271" i="22"/>
  <c r="G271" i="22"/>
  <c r="H284" i="22"/>
  <c r="G284" i="22"/>
  <c r="H255" i="22"/>
  <c r="G255" i="22"/>
  <c r="H272" i="22"/>
  <c r="G272" i="22"/>
  <c r="H260" i="22"/>
  <c r="G260" i="22"/>
  <c r="H262" i="22"/>
  <c r="G262" i="22"/>
  <c r="H276" i="22"/>
  <c r="G276" i="22"/>
  <c r="H266" i="22"/>
  <c r="G266" i="22"/>
  <c r="H258" i="22"/>
  <c r="G258" i="22"/>
  <c r="H275" i="22"/>
  <c r="G275" i="22"/>
  <c r="H282" i="22"/>
  <c r="G282" i="22"/>
  <c r="H273" i="22"/>
  <c r="G273" i="22"/>
  <c r="H254" i="22"/>
  <c r="G254" i="22"/>
  <c r="H281" i="22"/>
  <c r="G281" i="22"/>
  <c r="H268" i="22"/>
  <c r="G268" i="22"/>
  <c r="H265" i="22"/>
  <c r="G265" i="22"/>
  <c r="H274" i="22"/>
  <c r="G274" i="22"/>
  <c r="H280" i="22"/>
  <c r="G280" i="22"/>
  <c r="H253" i="22"/>
  <c r="G253" i="22"/>
  <c r="H263" i="22"/>
  <c r="G263" i="22"/>
  <c r="C263" i="22"/>
  <c r="H264" i="22"/>
  <c r="G264" i="22"/>
  <c r="H270" i="22"/>
  <c r="G270" i="22"/>
  <c r="H279" i="22"/>
  <c r="G279" i="22"/>
  <c r="H257" i="22"/>
  <c r="G257" i="22"/>
  <c r="H283" i="22"/>
  <c r="G283" i="22"/>
  <c r="H278" i="22"/>
  <c r="G278" i="22"/>
  <c r="H259" i="22"/>
  <c r="G259" i="22"/>
  <c r="Y189" i="22"/>
  <c r="X189" i="22"/>
  <c r="Y188" i="22"/>
  <c r="X188" i="22"/>
  <c r="Y187" i="22"/>
  <c r="X187" i="22"/>
  <c r="Y166" i="22"/>
  <c r="X166" i="22"/>
  <c r="Y165" i="22"/>
  <c r="X165" i="22"/>
  <c r="Y144" i="22"/>
  <c r="X144" i="22"/>
  <c r="Y143" i="22"/>
  <c r="X143" i="22"/>
  <c r="Y123" i="22"/>
  <c r="X123" i="22"/>
  <c r="Y122" i="22"/>
  <c r="X122" i="22"/>
  <c r="Y121" i="22"/>
  <c r="X121" i="22"/>
  <c r="Y102" i="22"/>
  <c r="X102" i="22"/>
  <c r="Y101" i="22"/>
  <c r="X101" i="22"/>
  <c r="Y100" i="22"/>
  <c r="X100" i="22"/>
  <c r="Y99" i="22"/>
  <c r="X99" i="22"/>
  <c r="Y82" i="22"/>
  <c r="X82" i="22"/>
  <c r="Y81" i="22"/>
  <c r="X81" i="22"/>
  <c r="Y80" i="22"/>
  <c r="X80" i="22"/>
  <c r="Y79" i="22"/>
  <c r="X79" i="22"/>
  <c r="Y78" i="22"/>
  <c r="X78" i="22"/>
  <c r="Y77" i="22"/>
  <c r="X77" i="22"/>
  <c r="Y60" i="22"/>
  <c r="X60" i="22"/>
  <c r="Y59" i="22"/>
  <c r="X59" i="22"/>
  <c r="Y58" i="22"/>
  <c r="X58" i="22"/>
  <c r="Y57" i="22"/>
  <c r="X57" i="22"/>
  <c r="Y56" i="22"/>
  <c r="X56" i="22"/>
  <c r="Y38" i="22"/>
  <c r="X38" i="22"/>
  <c r="Y37" i="22"/>
  <c r="X37" i="22"/>
  <c r="Y36" i="22"/>
  <c r="X36" i="22"/>
  <c r="Y35" i="22"/>
  <c r="X35" i="22"/>
  <c r="Y34" i="22"/>
  <c r="X34" i="22"/>
  <c r="H26" i="22"/>
  <c r="G26" i="22"/>
  <c r="C26" i="22"/>
  <c r="Y17" i="22"/>
  <c r="X17" i="22"/>
  <c r="Y16" i="22"/>
  <c r="X16" i="22"/>
  <c r="Y15" i="22"/>
  <c r="X15" i="22"/>
  <c r="Y14" i="22"/>
  <c r="X14" i="22"/>
  <c r="Y13" i="22"/>
  <c r="X13" i="22"/>
  <c r="Y12" i="22"/>
  <c r="X12" i="22"/>
  <c r="H277" i="21"/>
  <c r="G277" i="21"/>
  <c r="H275" i="21"/>
  <c r="G275" i="21"/>
  <c r="H264" i="21"/>
  <c r="G264" i="21"/>
  <c r="H257" i="21"/>
  <c r="G257" i="21"/>
  <c r="H266" i="21"/>
  <c r="G266" i="21"/>
  <c r="H276" i="21"/>
  <c r="G276" i="21"/>
  <c r="H267" i="21"/>
  <c r="G267" i="21"/>
  <c r="H252" i="21"/>
  <c r="G252" i="21"/>
  <c r="H269" i="21"/>
  <c r="G269" i="21"/>
  <c r="H280" i="21"/>
  <c r="G280" i="21"/>
  <c r="H271" i="21"/>
  <c r="G271" i="21"/>
  <c r="H254" i="21"/>
  <c r="G254" i="21"/>
  <c r="H282" i="21"/>
  <c r="G282" i="21"/>
  <c r="H259" i="21"/>
  <c r="G259" i="21"/>
  <c r="H268" i="21"/>
  <c r="G268" i="21"/>
  <c r="H262" i="21"/>
  <c r="G262" i="21"/>
  <c r="H274" i="21"/>
  <c r="G274" i="21"/>
  <c r="H278" i="21"/>
  <c r="G278" i="21"/>
  <c r="H258" i="21"/>
  <c r="G258" i="21"/>
  <c r="H263" i="21"/>
  <c r="G263" i="21"/>
  <c r="H279" i="21"/>
  <c r="G279" i="21"/>
  <c r="H272" i="21"/>
  <c r="G272" i="21"/>
  <c r="H265" i="21"/>
  <c r="G265" i="21"/>
  <c r="H256" i="21"/>
  <c r="G256" i="21"/>
  <c r="H281" i="21"/>
  <c r="G281" i="21"/>
  <c r="H261" i="21"/>
  <c r="G261" i="21"/>
  <c r="H253" i="21"/>
  <c r="G253" i="21"/>
  <c r="H273" i="21"/>
  <c r="G273" i="21"/>
  <c r="H283" i="21"/>
  <c r="G283" i="21"/>
  <c r="H260" i="21"/>
  <c r="G260" i="21"/>
  <c r="H270" i="21"/>
  <c r="G270" i="21"/>
  <c r="H255" i="21"/>
  <c r="G255" i="21"/>
  <c r="C255" i="21"/>
  <c r="Y183" i="21"/>
  <c r="X183" i="21"/>
  <c r="Y162" i="21"/>
  <c r="X162" i="21"/>
  <c r="Y161" i="21"/>
  <c r="X161" i="21"/>
  <c r="Y140" i="21"/>
  <c r="X140" i="21"/>
  <c r="Y139" i="21"/>
  <c r="X139" i="21"/>
  <c r="Y120" i="21"/>
  <c r="X120" i="21"/>
  <c r="Y119" i="21"/>
  <c r="X119" i="21"/>
  <c r="Y118" i="21"/>
  <c r="X118" i="21"/>
  <c r="Y100" i="21"/>
  <c r="X100" i="21"/>
  <c r="Y99" i="21"/>
  <c r="X99" i="21"/>
  <c r="Y98" i="21"/>
  <c r="X98" i="21"/>
  <c r="Y97" i="21"/>
  <c r="X97" i="21"/>
  <c r="Y81" i="21"/>
  <c r="X81" i="21"/>
  <c r="Y80" i="21"/>
  <c r="X80" i="21"/>
  <c r="Y79" i="21"/>
  <c r="X79" i="21"/>
  <c r="Y78" i="21"/>
  <c r="X78" i="21"/>
  <c r="Y77" i="21"/>
  <c r="X77" i="21"/>
  <c r="Y76" i="21"/>
  <c r="X76" i="21"/>
  <c r="Y59" i="21"/>
  <c r="X59" i="21"/>
  <c r="Y58" i="21"/>
  <c r="X58" i="21"/>
  <c r="Y57" i="21"/>
  <c r="X57" i="21"/>
  <c r="Y56" i="21"/>
  <c r="X56" i="21"/>
  <c r="Y55" i="21"/>
  <c r="X55" i="21"/>
  <c r="Y37" i="21"/>
  <c r="X37" i="21"/>
  <c r="Y36" i="21"/>
  <c r="X36" i="21"/>
  <c r="Y35" i="21"/>
  <c r="X35" i="21"/>
  <c r="Y34" i="21"/>
  <c r="X34" i="21"/>
  <c r="Y33" i="21"/>
  <c r="X33" i="21"/>
  <c r="H25" i="21"/>
  <c r="G25" i="21"/>
  <c r="C25" i="21"/>
  <c r="Y16" i="21"/>
  <c r="X16" i="21"/>
  <c r="Y15" i="21"/>
  <c r="X15" i="21"/>
  <c r="Y14" i="21"/>
  <c r="X14" i="21"/>
  <c r="Y13" i="21"/>
  <c r="X13" i="21"/>
  <c r="Y12" i="21"/>
  <c r="X12" i="21"/>
  <c r="H265" i="20"/>
  <c r="G265" i="20"/>
  <c r="H246" i="20"/>
  <c r="G246" i="20"/>
  <c r="H254" i="20"/>
  <c r="G254" i="20"/>
  <c r="H274" i="20"/>
  <c r="G274" i="20"/>
  <c r="H276" i="20"/>
  <c r="G276" i="20"/>
  <c r="H250" i="20"/>
  <c r="G250" i="20"/>
  <c r="H255" i="20"/>
  <c r="G255" i="20"/>
  <c r="H260" i="20"/>
  <c r="G260" i="20"/>
  <c r="H259" i="20"/>
  <c r="G259" i="20"/>
  <c r="H267" i="20"/>
  <c r="G267" i="20"/>
  <c r="H251" i="20"/>
  <c r="G251" i="20"/>
  <c r="H270" i="20"/>
  <c r="G270" i="20"/>
  <c r="H275" i="20"/>
  <c r="G275" i="20"/>
  <c r="H253" i="20"/>
  <c r="G253" i="20"/>
  <c r="H266" i="20"/>
  <c r="G266" i="20"/>
  <c r="H245" i="20"/>
  <c r="G245" i="20"/>
  <c r="H264" i="20"/>
  <c r="G264" i="20"/>
  <c r="H247" i="20"/>
  <c r="G247" i="20"/>
  <c r="H252" i="20"/>
  <c r="G252" i="20"/>
  <c r="H268" i="20"/>
  <c r="G268" i="20"/>
  <c r="H262" i="20"/>
  <c r="G262" i="20"/>
  <c r="H273" i="20"/>
  <c r="G273" i="20"/>
  <c r="H256" i="20"/>
  <c r="G256" i="20"/>
  <c r="H257" i="20"/>
  <c r="G257" i="20"/>
  <c r="H271" i="20"/>
  <c r="G271" i="20"/>
  <c r="H249" i="20"/>
  <c r="G249" i="20"/>
  <c r="H269" i="20"/>
  <c r="G269" i="20"/>
  <c r="H258" i="20"/>
  <c r="G258" i="20"/>
  <c r="H272" i="20"/>
  <c r="G272" i="20"/>
  <c r="H248" i="20"/>
  <c r="G248" i="20"/>
  <c r="H261" i="20"/>
  <c r="G261" i="20"/>
  <c r="H263" i="20"/>
  <c r="G263" i="20"/>
  <c r="Y184" i="20"/>
  <c r="X184" i="20"/>
  <c r="Y183" i="20"/>
  <c r="X183" i="20"/>
  <c r="Y182" i="20"/>
  <c r="X182" i="20"/>
  <c r="Y162" i="20"/>
  <c r="X162" i="20"/>
  <c r="Y161" i="20"/>
  <c r="X161" i="20"/>
  <c r="Y141" i="20"/>
  <c r="X141" i="20"/>
  <c r="Y122" i="20"/>
  <c r="X122" i="20"/>
  <c r="Y121" i="20"/>
  <c r="X121" i="20"/>
  <c r="Y120" i="20"/>
  <c r="X120" i="20"/>
  <c r="Y101" i="20"/>
  <c r="X101" i="20"/>
  <c r="Y100" i="20"/>
  <c r="X100" i="20"/>
  <c r="Y99" i="20"/>
  <c r="X99" i="20"/>
  <c r="Y98" i="20"/>
  <c r="X98" i="20"/>
  <c r="Y81" i="20"/>
  <c r="X81" i="20"/>
  <c r="Y80" i="20"/>
  <c r="X80" i="20"/>
  <c r="Y79" i="20"/>
  <c r="X79" i="20"/>
  <c r="Y78" i="20"/>
  <c r="X78" i="20"/>
  <c r="Y77" i="20"/>
  <c r="X77" i="20"/>
  <c r="Y76" i="20"/>
  <c r="X76" i="20"/>
  <c r="Y59" i="20"/>
  <c r="X59" i="20"/>
  <c r="Y58" i="20"/>
  <c r="X58" i="20"/>
  <c r="Y57" i="20"/>
  <c r="X57" i="20"/>
  <c r="Y56" i="20"/>
  <c r="X56" i="20"/>
  <c r="Y55" i="20"/>
  <c r="X55" i="20"/>
  <c r="Y37" i="20"/>
  <c r="X37" i="20"/>
  <c r="Y36" i="20"/>
  <c r="X36" i="20"/>
  <c r="Y35" i="20"/>
  <c r="X35" i="20"/>
  <c r="Y34" i="20"/>
  <c r="X34" i="20"/>
  <c r="Y33" i="20"/>
  <c r="X33" i="20"/>
  <c r="H25" i="20"/>
  <c r="G25" i="20"/>
  <c r="C25" i="20"/>
  <c r="Y16" i="20"/>
  <c r="X16" i="20"/>
  <c r="Y15" i="20"/>
  <c r="X15" i="20"/>
  <c r="Y14" i="20"/>
  <c r="X14" i="20"/>
  <c r="Y13" i="20"/>
  <c r="X13" i="20"/>
  <c r="Y12" i="20"/>
  <c r="X12" i="20"/>
  <c r="G265" i="19"/>
  <c r="H265" i="19"/>
  <c r="G280" i="19"/>
  <c r="H280" i="19"/>
  <c r="G252" i="19"/>
  <c r="H252" i="19"/>
  <c r="G258" i="19"/>
  <c r="H258" i="19"/>
  <c r="G256" i="19"/>
  <c r="H256" i="19"/>
  <c r="G257" i="19"/>
  <c r="H257" i="19"/>
  <c r="G272" i="19"/>
  <c r="H272" i="19"/>
  <c r="G276" i="19"/>
  <c r="H276" i="19"/>
  <c r="G270" i="19"/>
  <c r="H270" i="19"/>
  <c r="B19" i="28" l="1"/>
  <c r="F268" i="23"/>
  <c r="D265" i="23"/>
  <c r="E258" i="23"/>
  <c r="E278" i="23"/>
  <c r="F261" i="22"/>
  <c r="D270" i="21"/>
  <c r="F25" i="21"/>
  <c r="D267" i="21"/>
  <c r="F257" i="21"/>
  <c r="D261" i="20"/>
  <c r="E25" i="20"/>
  <c r="E253" i="20"/>
  <c r="F274" i="20"/>
  <c r="D266" i="23"/>
  <c r="F258" i="23"/>
  <c r="D249" i="23"/>
  <c r="F269" i="23"/>
  <c r="D263" i="23"/>
  <c r="E257" i="23"/>
  <c r="F262" i="23"/>
  <c r="D259" i="23"/>
  <c r="E266" i="23"/>
  <c r="F256" i="23"/>
  <c r="E269" i="23"/>
  <c r="D280" i="23"/>
  <c r="E274" i="23"/>
  <c r="E26" i="23"/>
  <c r="E280" i="23"/>
  <c r="F265" i="23"/>
  <c r="D278" i="23"/>
  <c r="E249" i="23"/>
  <c r="F274" i="23"/>
  <c r="D260" i="23"/>
  <c r="E263" i="23"/>
  <c r="F257" i="23"/>
  <c r="D279" i="23"/>
  <c r="E259" i="23"/>
  <c r="F266" i="23"/>
  <c r="D272" i="23"/>
  <c r="F276" i="23"/>
  <c r="D250" i="23"/>
  <c r="E260" i="23"/>
  <c r="F263" i="23"/>
  <c r="D271" i="23"/>
  <c r="E279" i="23"/>
  <c r="F259" i="23"/>
  <c r="D255" i="23"/>
  <c r="E272" i="23"/>
  <c r="F267" i="23"/>
  <c r="F280" i="23"/>
  <c r="F249" i="23"/>
  <c r="D273" i="23"/>
  <c r="E261" i="23"/>
  <c r="F278" i="23"/>
  <c r="D270" i="23"/>
  <c r="E250" i="23"/>
  <c r="F260" i="23"/>
  <c r="D251" i="23"/>
  <c r="E271" i="23"/>
  <c r="F279" i="23"/>
  <c r="D264" i="23"/>
  <c r="E255" i="23"/>
  <c r="F272" i="23"/>
  <c r="F254" i="23"/>
  <c r="E262" i="23"/>
  <c r="E265" i="23"/>
  <c r="I265" i="23" s="1"/>
  <c r="D253" i="23"/>
  <c r="E273" i="23"/>
  <c r="F261" i="23"/>
  <c r="D277" i="23"/>
  <c r="E270" i="23"/>
  <c r="F250" i="23"/>
  <c r="D252" i="23"/>
  <c r="E251" i="23"/>
  <c r="F271" i="23"/>
  <c r="D268" i="23"/>
  <c r="E264" i="23"/>
  <c r="F255" i="23"/>
  <c r="D274" i="23"/>
  <c r="I274" i="23" s="1"/>
  <c r="F275" i="23"/>
  <c r="D26" i="23"/>
  <c r="I26" i="23" s="1"/>
  <c r="D261" i="23"/>
  <c r="D254" i="23"/>
  <c r="E253" i="23"/>
  <c r="F273" i="23"/>
  <c r="D267" i="23"/>
  <c r="E277" i="23"/>
  <c r="F270" i="23"/>
  <c r="D275" i="23"/>
  <c r="E252" i="23"/>
  <c r="F251" i="23"/>
  <c r="D276" i="23"/>
  <c r="E268" i="23"/>
  <c r="F264" i="23"/>
  <c r="D257" i="23"/>
  <c r="E256" i="23"/>
  <c r="F26" i="23"/>
  <c r="D258" i="23"/>
  <c r="I258" i="23" s="1"/>
  <c r="E254" i="23"/>
  <c r="F253" i="23"/>
  <c r="D269" i="23"/>
  <c r="E267" i="23"/>
  <c r="F277" i="23"/>
  <c r="D262" i="23"/>
  <c r="E275" i="23"/>
  <c r="F252" i="23"/>
  <c r="D256" i="23"/>
  <c r="E276" i="23"/>
  <c r="E283" i="22"/>
  <c r="E274" i="22"/>
  <c r="F265" i="22"/>
  <c r="D275" i="22"/>
  <c r="E258" i="22"/>
  <c r="F266" i="22"/>
  <c r="D284" i="22"/>
  <c r="E271" i="22"/>
  <c r="F256" i="22"/>
  <c r="D280" i="22"/>
  <c r="D26" i="22"/>
  <c r="D259" i="22"/>
  <c r="E278" i="22"/>
  <c r="F283" i="22"/>
  <c r="D253" i="22"/>
  <c r="E280" i="22"/>
  <c r="F274" i="22"/>
  <c r="D282" i="22"/>
  <c r="E275" i="22"/>
  <c r="F258" i="22"/>
  <c r="D255" i="22"/>
  <c r="E284" i="22"/>
  <c r="F271" i="22"/>
  <c r="D278" i="22"/>
  <c r="E26" i="22"/>
  <c r="E259" i="22"/>
  <c r="F278" i="22"/>
  <c r="D263" i="22"/>
  <c r="E253" i="22"/>
  <c r="F280" i="22"/>
  <c r="D273" i="22"/>
  <c r="E282" i="22"/>
  <c r="F275" i="22"/>
  <c r="D272" i="22"/>
  <c r="E255" i="22"/>
  <c r="F284" i="22"/>
  <c r="D269" i="22"/>
  <c r="F257" i="22"/>
  <c r="F26" i="22"/>
  <c r="D264" i="22"/>
  <c r="E263" i="22"/>
  <c r="F253" i="22"/>
  <c r="D254" i="22"/>
  <c r="E273" i="22"/>
  <c r="F282" i="22"/>
  <c r="D260" i="22"/>
  <c r="E272" i="22"/>
  <c r="F255" i="22"/>
  <c r="D277" i="22"/>
  <c r="E269" i="22"/>
  <c r="F259" i="22"/>
  <c r="D270" i="22"/>
  <c r="E264" i="22"/>
  <c r="F263" i="22"/>
  <c r="D281" i="22"/>
  <c r="E254" i="22"/>
  <c r="F273" i="22"/>
  <c r="D262" i="22"/>
  <c r="E260" i="22"/>
  <c r="F272" i="22"/>
  <c r="D267" i="22"/>
  <c r="E277" i="22"/>
  <c r="F269" i="22"/>
  <c r="D279" i="22"/>
  <c r="D268" i="22"/>
  <c r="E281" i="22"/>
  <c r="F254" i="22"/>
  <c r="D276" i="22"/>
  <c r="E262" i="22"/>
  <c r="F260" i="22"/>
  <c r="D261" i="22"/>
  <c r="E267" i="22"/>
  <c r="F277" i="22"/>
  <c r="E270" i="22"/>
  <c r="D257" i="22"/>
  <c r="E279" i="22"/>
  <c r="F270" i="22"/>
  <c r="D265" i="22"/>
  <c r="E268" i="22"/>
  <c r="F281" i="22"/>
  <c r="D266" i="22"/>
  <c r="E276" i="22"/>
  <c r="F262" i="22"/>
  <c r="D256" i="22"/>
  <c r="E261" i="22"/>
  <c r="F267" i="22"/>
  <c r="F264" i="22"/>
  <c r="D283" i="22"/>
  <c r="E257" i="22"/>
  <c r="F279" i="22"/>
  <c r="D274" i="22"/>
  <c r="E265" i="22"/>
  <c r="F268" i="22"/>
  <c r="D258" i="22"/>
  <c r="E266" i="22"/>
  <c r="F276" i="22"/>
  <c r="D271" i="22"/>
  <c r="E256" i="22"/>
  <c r="E260" i="21"/>
  <c r="E272" i="21"/>
  <c r="E276" i="21"/>
  <c r="D255" i="21"/>
  <c r="E270" i="21"/>
  <c r="F260" i="21"/>
  <c r="D256" i="21"/>
  <c r="E265" i="21"/>
  <c r="F272" i="21"/>
  <c r="D262" i="21"/>
  <c r="E268" i="21"/>
  <c r="F259" i="21"/>
  <c r="D252" i="21"/>
  <c r="E267" i="21"/>
  <c r="F276" i="21"/>
  <c r="D268" i="21"/>
  <c r="F266" i="21"/>
  <c r="D25" i="21"/>
  <c r="E25" i="21"/>
  <c r="E255" i="21"/>
  <c r="F270" i="21"/>
  <c r="D281" i="21"/>
  <c r="E256" i="21"/>
  <c r="F265" i="21"/>
  <c r="D274" i="21"/>
  <c r="E262" i="21"/>
  <c r="F268" i="21"/>
  <c r="D269" i="21"/>
  <c r="E252" i="21"/>
  <c r="F267" i="21"/>
  <c r="D277" i="21"/>
  <c r="E259" i="21"/>
  <c r="F255" i="21"/>
  <c r="D261" i="21"/>
  <c r="E281" i="21"/>
  <c r="F256" i="21"/>
  <c r="D278" i="21"/>
  <c r="E274" i="21"/>
  <c r="F262" i="21"/>
  <c r="D280" i="21"/>
  <c r="E269" i="21"/>
  <c r="F252" i="21"/>
  <c r="D275" i="21"/>
  <c r="E277" i="21"/>
  <c r="F279" i="21"/>
  <c r="D253" i="21"/>
  <c r="E261" i="21"/>
  <c r="F281" i="21"/>
  <c r="D258" i="21"/>
  <c r="E278" i="21"/>
  <c r="F274" i="21"/>
  <c r="D271" i="21"/>
  <c r="E280" i="21"/>
  <c r="F269" i="21"/>
  <c r="D264" i="21"/>
  <c r="E275" i="21"/>
  <c r="F277" i="21"/>
  <c r="D265" i="21"/>
  <c r="F282" i="21"/>
  <c r="D273" i="21"/>
  <c r="E253" i="21"/>
  <c r="F261" i="21"/>
  <c r="D263" i="21"/>
  <c r="E258" i="21"/>
  <c r="F278" i="21"/>
  <c r="D254" i="21"/>
  <c r="E271" i="21"/>
  <c r="F280" i="21"/>
  <c r="D257" i="21"/>
  <c r="E264" i="21"/>
  <c r="F275" i="21"/>
  <c r="D283" i="21"/>
  <c r="E273" i="21"/>
  <c r="F253" i="21"/>
  <c r="D279" i="21"/>
  <c r="E263" i="21"/>
  <c r="F258" i="21"/>
  <c r="D282" i="21"/>
  <c r="E254" i="21"/>
  <c r="F271" i="21"/>
  <c r="D266" i="21"/>
  <c r="E257" i="21"/>
  <c r="F264" i="21"/>
  <c r="F283" i="21"/>
  <c r="D260" i="21"/>
  <c r="I260" i="21" s="1"/>
  <c r="E283" i="21"/>
  <c r="F273" i="21"/>
  <c r="D272" i="21"/>
  <c r="E279" i="21"/>
  <c r="F263" i="21"/>
  <c r="D259" i="21"/>
  <c r="I259" i="21" s="1"/>
  <c r="E282" i="21"/>
  <c r="F254" i="21"/>
  <c r="D276" i="21"/>
  <c r="I276" i="21" s="1"/>
  <c r="E266" i="21"/>
  <c r="D255" i="20"/>
  <c r="D263" i="20"/>
  <c r="E261" i="20"/>
  <c r="F248" i="20"/>
  <c r="D257" i="20"/>
  <c r="E256" i="20"/>
  <c r="F273" i="20"/>
  <c r="D245" i="20"/>
  <c r="E266" i="20"/>
  <c r="F253" i="20"/>
  <c r="D260" i="20"/>
  <c r="E255" i="20"/>
  <c r="F250" i="20"/>
  <c r="F262" i="20"/>
  <c r="D25" i="20"/>
  <c r="I25" i="20" s="1"/>
  <c r="E263" i="20"/>
  <c r="F261" i="20"/>
  <c r="D271" i="20"/>
  <c r="E257" i="20"/>
  <c r="F256" i="20"/>
  <c r="D264" i="20"/>
  <c r="E245" i="20"/>
  <c r="F266" i="20"/>
  <c r="D259" i="20"/>
  <c r="E260" i="20"/>
  <c r="F255" i="20"/>
  <c r="D265" i="20"/>
  <c r="E250" i="20"/>
  <c r="F25" i="20"/>
  <c r="F263" i="20"/>
  <c r="D249" i="20"/>
  <c r="E271" i="20"/>
  <c r="F257" i="20"/>
  <c r="D247" i="20"/>
  <c r="E264" i="20"/>
  <c r="F245" i="20"/>
  <c r="D267" i="20"/>
  <c r="E259" i="20"/>
  <c r="F260" i="20"/>
  <c r="D246" i="20"/>
  <c r="E265" i="20"/>
  <c r="E273" i="20"/>
  <c r="F276" i="20"/>
  <c r="D269" i="20"/>
  <c r="E249" i="20"/>
  <c r="F271" i="20"/>
  <c r="D252" i="20"/>
  <c r="E247" i="20"/>
  <c r="F264" i="20"/>
  <c r="D251" i="20"/>
  <c r="E267" i="20"/>
  <c r="F259" i="20"/>
  <c r="D254" i="20"/>
  <c r="E246" i="20"/>
  <c r="F265" i="20"/>
  <c r="F272" i="20"/>
  <c r="D266" i="20"/>
  <c r="D258" i="20"/>
  <c r="E269" i="20"/>
  <c r="F249" i="20"/>
  <c r="D268" i="20"/>
  <c r="E252" i="20"/>
  <c r="F247" i="20"/>
  <c r="D270" i="20"/>
  <c r="E251" i="20"/>
  <c r="F267" i="20"/>
  <c r="D274" i="20"/>
  <c r="E254" i="20"/>
  <c r="F246" i="20"/>
  <c r="D256" i="20"/>
  <c r="I256" i="20" s="1"/>
  <c r="F275" i="20"/>
  <c r="D272" i="20"/>
  <c r="E258" i="20"/>
  <c r="F269" i="20"/>
  <c r="D262" i="20"/>
  <c r="E268" i="20"/>
  <c r="F252" i="20"/>
  <c r="D275" i="20"/>
  <c r="E270" i="20"/>
  <c r="F251" i="20"/>
  <c r="D276" i="20"/>
  <c r="E274" i="20"/>
  <c r="F254" i="20"/>
  <c r="E248" i="20"/>
  <c r="D248" i="20"/>
  <c r="E272" i="20"/>
  <c r="F258" i="20"/>
  <c r="D273" i="20"/>
  <c r="E262" i="20"/>
  <c r="F268" i="20"/>
  <c r="D253" i="20"/>
  <c r="I253" i="20" s="1"/>
  <c r="E275" i="20"/>
  <c r="F270" i="20"/>
  <c r="D250" i="20"/>
  <c r="E276" i="20"/>
  <c r="T17" i="28"/>
  <c r="B17" i="28" s="1"/>
  <c r="I278" i="23" l="1"/>
  <c r="I257" i="23"/>
  <c r="I261" i="23"/>
  <c r="I269" i="23"/>
  <c r="I262" i="23"/>
  <c r="I268" i="23"/>
  <c r="I271" i="23"/>
  <c r="I256" i="23"/>
  <c r="I275" i="23"/>
  <c r="I250" i="23"/>
  <c r="I272" i="23"/>
  <c r="I267" i="23"/>
  <c r="I271" i="22"/>
  <c r="I258" i="22"/>
  <c r="I274" i="22"/>
  <c r="I283" i="22"/>
  <c r="I261" i="22"/>
  <c r="I265" i="22"/>
  <c r="I263" i="22"/>
  <c r="I259" i="22"/>
  <c r="I262" i="22"/>
  <c r="I266" i="22"/>
  <c r="I279" i="22"/>
  <c r="I278" i="22"/>
  <c r="I267" i="21"/>
  <c r="I272" i="21"/>
  <c r="I270" i="21"/>
  <c r="I278" i="21"/>
  <c r="I265" i="21"/>
  <c r="I258" i="21"/>
  <c r="I261" i="21"/>
  <c r="I255" i="21"/>
  <c r="I253" i="21"/>
  <c r="I261" i="20"/>
  <c r="I250" i="20"/>
  <c r="I248" i="20"/>
  <c r="I251" i="20"/>
  <c r="I272" i="20"/>
  <c r="I266" i="20"/>
  <c r="I265" i="20"/>
  <c r="I270" i="20"/>
  <c r="I246" i="20"/>
  <c r="I276" i="23"/>
  <c r="I270" i="23"/>
  <c r="I255" i="23"/>
  <c r="I260" i="23"/>
  <c r="I254" i="23"/>
  <c r="I277" i="23"/>
  <c r="I280" i="23"/>
  <c r="I263" i="23"/>
  <c r="I264" i="23"/>
  <c r="I249" i="23"/>
  <c r="I253" i="23"/>
  <c r="I273" i="23"/>
  <c r="I251" i="23"/>
  <c r="I279" i="23"/>
  <c r="I266" i="23"/>
  <c r="I252" i="23"/>
  <c r="I259" i="23"/>
  <c r="I268" i="22"/>
  <c r="I269" i="22"/>
  <c r="I255" i="22"/>
  <c r="I284" i="22"/>
  <c r="I281" i="22"/>
  <c r="I254" i="22"/>
  <c r="I277" i="22"/>
  <c r="I272" i="22"/>
  <c r="I282" i="22"/>
  <c r="I275" i="22"/>
  <c r="I256" i="22"/>
  <c r="I267" i="22"/>
  <c r="I264" i="22"/>
  <c r="I26" i="22"/>
  <c r="I257" i="22"/>
  <c r="I276" i="22"/>
  <c r="I270" i="22"/>
  <c r="I280" i="22"/>
  <c r="I260" i="22"/>
  <c r="I273" i="22"/>
  <c r="I253" i="22"/>
  <c r="I282" i="21"/>
  <c r="I274" i="21"/>
  <c r="I263" i="21"/>
  <c r="I264" i="21"/>
  <c r="I280" i="21"/>
  <c r="I25" i="21"/>
  <c r="I262" i="21"/>
  <c r="I277" i="21"/>
  <c r="I279" i="21"/>
  <c r="I257" i="21"/>
  <c r="I281" i="21"/>
  <c r="I268" i="21"/>
  <c r="I273" i="21"/>
  <c r="I271" i="21"/>
  <c r="I256" i="21"/>
  <c r="I266" i="21"/>
  <c r="I269" i="21"/>
  <c r="I283" i="21"/>
  <c r="I254" i="21"/>
  <c r="I275" i="21"/>
  <c r="I252" i="21"/>
  <c r="I271" i="20"/>
  <c r="I260" i="20"/>
  <c r="I275" i="20"/>
  <c r="I252" i="20"/>
  <c r="I249" i="20"/>
  <c r="I263" i="20"/>
  <c r="I258" i="20"/>
  <c r="I259" i="20"/>
  <c r="I268" i="20"/>
  <c r="I254" i="20"/>
  <c r="I267" i="20"/>
  <c r="I245" i="20"/>
  <c r="I255" i="20"/>
  <c r="I262" i="20"/>
  <c r="I269" i="20"/>
  <c r="I276" i="20"/>
  <c r="I273" i="20"/>
  <c r="I274" i="20"/>
  <c r="I264" i="20"/>
  <c r="I247" i="20"/>
  <c r="I257" i="20"/>
  <c r="AJ13" i="28"/>
  <c r="AI13" i="28"/>
  <c r="AH13" i="28"/>
  <c r="AG13" i="28"/>
  <c r="AF13" i="28"/>
  <c r="AE13" i="28"/>
  <c r="AD13" i="28"/>
  <c r="AC13" i="28"/>
  <c r="AB13" i="28"/>
  <c r="AA13" i="28"/>
  <c r="Z13" i="28"/>
  <c r="Y13" i="28"/>
  <c r="X13" i="28"/>
  <c r="W13" i="28"/>
  <c r="V13" i="28"/>
  <c r="U13" i="28"/>
  <c r="T13" i="28"/>
  <c r="X191" i="18"/>
  <c r="Y191" i="18"/>
  <c r="B13" i="28" l="1"/>
  <c r="C277" i="18"/>
  <c r="C271" i="18"/>
  <c r="C262" i="18"/>
  <c r="C258" i="18"/>
  <c r="Y185" i="19"/>
  <c r="X185" i="19"/>
  <c r="Y184" i="19"/>
  <c r="X184" i="19"/>
  <c r="Y183" i="19"/>
  <c r="X183" i="19"/>
  <c r="Y162" i="19"/>
  <c r="X162" i="19"/>
  <c r="Y161" i="19"/>
  <c r="X161" i="19"/>
  <c r="Y141" i="19"/>
  <c r="X141" i="19"/>
  <c r="Y140" i="19"/>
  <c r="X140" i="19"/>
  <c r="Y121" i="19"/>
  <c r="X121" i="19"/>
  <c r="Y120" i="19"/>
  <c r="X120" i="19"/>
  <c r="Y119" i="19"/>
  <c r="X119" i="19"/>
  <c r="Y100" i="19"/>
  <c r="X100" i="19"/>
  <c r="Y99" i="19"/>
  <c r="X99" i="19"/>
  <c r="Y98" i="19"/>
  <c r="X98" i="19"/>
  <c r="Y97" i="19"/>
  <c r="X97" i="19"/>
  <c r="Y80" i="19"/>
  <c r="X80" i="19"/>
  <c r="Y79" i="19"/>
  <c r="X79" i="19"/>
  <c r="Y78" i="19"/>
  <c r="X78" i="19"/>
  <c r="Y77" i="19"/>
  <c r="X77" i="19"/>
  <c r="Y76" i="19"/>
  <c r="X76" i="19"/>
  <c r="Y59" i="19"/>
  <c r="X59" i="19"/>
  <c r="Y58" i="19"/>
  <c r="X58" i="19"/>
  <c r="Y57" i="19"/>
  <c r="X57" i="19"/>
  <c r="Y56" i="19"/>
  <c r="X56" i="19"/>
  <c r="Y55" i="19"/>
  <c r="X55" i="19"/>
  <c r="Y37" i="19"/>
  <c r="X37" i="19"/>
  <c r="Y36" i="19"/>
  <c r="X36" i="19"/>
  <c r="Y35" i="19"/>
  <c r="X35" i="19"/>
  <c r="Y34" i="19"/>
  <c r="X34" i="19"/>
  <c r="Y17" i="19"/>
  <c r="X17" i="19"/>
  <c r="Y16" i="19"/>
  <c r="X16" i="19"/>
  <c r="Y15" i="19"/>
  <c r="X15" i="19"/>
  <c r="Y14" i="19"/>
  <c r="X14" i="19"/>
  <c r="Y13" i="19"/>
  <c r="X13" i="19"/>
  <c r="Y12" i="19"/>
  <c r="X12" i="19"/>
  <c r="C274" i="18"/>
  <c r="C266" i="18"/>
  <c r="C260" i="18"/>
  <c r="C273" i="18"/>
  <c r="Y169" i="18"/>
  <c r="X169" i="18"/>
  <c r="Y168" i="18"/>
  <c r="X168" i="18"/>
  <c r="Y167" i="18"/>
  <c r="X167" i="18"/>
  <c r="Y166" i="18"/>
  <c r="X166" i="18"/>
  <c r="Y165" i="18"/>
  <c r="X165" i="18"/>
  <c r="Y164" i="18"/>
  <c r="X164" i="18"/>
  <c r="Y147" i="18"/>
  <c r="X147" i="18"/>
  <c r="Y146" i="18"/>
  <c r="X146" i="18"/>
  <c r="Y145" i="18"/>
  <c r="X145" i="18"/>
  <c r="Y144" i="18"/>
  <c r="X144" i="18"/>
  <c r="Y143" i="18"/>
  <c r="X143" i="18"/>
  <c r="Y142" i="18"/>
  <c r="X142" i="18"/>
  <c r="C276" i="18"/>
  <c r="C268" i="18"/>
  <c r="C263" i="18"/>
  <c r="C256" i="18"/>
  <c r="C281" i="18"/>
  <c r="C251" i="18"/>
  <c r="C269" i="18"/>
  <c r="C261" i="18"/>
  <c r="C270" i="18"/>
  <c r="C272" i="18"/>
  <c r="C252" i="18"/>
  <c r="C267" i="18"/>
  <c r="C280" i="18"/>
  <c r="C253" i="18"/>
  <c r="C250" i="18"/>
  <c r="C279" i="18"/>
  <c r="C254" i="18"/>
  <c r="C265" i="18"/>
  <c r="C264" i="18"/>
  <c r="C259" i="18"/>
  <c r="C275" i="18"/>
  <c r="C255" i="18"/>
  <c r="C278" i="18"/>
  <c r="G273" i="18"/>
  <c r="H273" i="18"/>
  <c r="G260" i="18"/>
  <c r="H260" i="18"/>
  <c r="G266" i="18"/>
  <c r="H266" i="18"/>
  <c r="G274" i="18"/>
  <c r="H274" i="18"/>
  <c r="G258" i="18"/>
  <c r="H258" i="18"/>
  <c r="G262" i="18"/>
  <c r="H262" i="18"/>
  <c r="G271" i="18"/>
  <c r="H271" i="18"/>
  <c r="G277" i="18"/>
  <c r="H277" i="18"/>
  <c r="D250" i="19" l="1"/>
  <c r="E250" i="19"/>
  <c r="F250" i="19"/>
  <c r="D280" i="19"/>
  <c r="F252" i="19"/>
  <c r="D257" i="19"/>
  <c r="F272" i="19"/>
  <c r="D276" i="19"/>
  <c r="E280" i="19"/>
  <c r="E257" i="19"/>
  <c r="D270" i="19"/>
  <c r="E252" i="19"/>
  <c r="D265" i="19"/>
  <c r="F280" i="19"/>
  <c r="D256" i="19"/>
  <c r="F257" i="19"/>
  <c r="E270" i="19"/>
  <c r="E265" i="19"/>
  <c r="E256" i="19"/>
  <c r="F270" i="19"/>
  <c r="F276" i="19"/>
  <c r="F265" i="19"/>
  <c r="D258" i="19"/>
  <c r="F256" i="19"/>
  <c r="E272" i="19"/>
  <c r="E258" i="19"/>
  <c r="E276" i="19"/>
  <c r="D252" i="19"/>
  <c r="F258" i="19"/>
  <c r="D272" i="19"/>
  <c r="AI24" i="28"/>
  <c r="AH24" i="28"/>
  <c r="AG24" i="28"/>
  <c r="AF24" i="28"/>
  <c r="AE24" i="28"/>
  <c r="AD24" i="28"/>
  <c r="AC24" i="28"/>
  <c r="AB24" i="28"/>
  <c r="AA24" i="28"/>
  <c r="Z24" i="28"/>
  <c r="Y24" i="28"/>
  <c r="X24" i="28"/>
  <c r="W24" i="28"/>
  <c r="V24" i="28"/>
  <c r="U24" i="28"/>
  <c r="T24" i="28"/>
  <c r="AI23" i="28"/>
  <c r="AH23" i="28"/>
  <c r="AG23" i="28"/>
  <c r="AF23" i="28"/>
  <c r="AE23" i="28"/>
  <c r="AD23" i="28"/>
  <c r="AC23" i="28"/>
  <c r="AB23" i="28"/>
  <c r="AA23" i="28"/>
  <c r="Z23" i="28"/>
  <c r="Y23" i="28"/>
  <c r="X23" i="28"/>
  <c r="W23" i="28"/>
  <c r="V23" i="28"/>
  <c r="U23" i="28"/>
  <c r="T23" i="28"/>
  <c r="AI20" i="28"/>
  <c r="AH20" i="28"/>
  <c r="AG20" i="28"/>
  <c r="AF20" i="28"/>
  <c r="AE20" i="28"/>
  <c r="AD20" i="28"/>
  <c r="AC20" i="28"/>
  <c r="AB20" i="28"/>
  <c r="AA20" i="28"/>
  <c r="Z20" i="28"/>
  <c r="Y20" i="28"/>
  <c r="X20" i="28"/>
  <c r="W20" i="28"/>
  <c r="V20" i="28"/>
  <c r="U20" i="28"/>
  <c r="T20" i="28"/>
  <c r="B24" i="28" l="1"/>
  <c r="B20" i="28"/>
  <c r="B23" i="28"/>
  <c r="I252" i="19"/>
  <c r="I250" i="19"/>
  <c r="I256" i="19"/>
  <c r="I258" i="19"/>
  <c r="I257" i="19"/>
  <c r="I272" i="19"/>
  <c r="I270" i="19"/>
  <c r="I276" i="19"/>
  <c r="I265" i="19"/>
  <c r="I280" i="19"/>
  <c r="AI10" i="28"/>
  <c r="AH10" i="28"/>
  <c r="AG10" i="28"/>
  <c r="AF10" i="28"/>
  <c r="AE10" i="28"/>
  <c r="AD10" i="28"/>
  <c r="AC10" i="28"/>
  <c r="AB10" i="28"/>
  <c r="AA10" i="28"/>
  <c r="Z10" i="28"/>
  <c r="Y10" i="28"/>
  <c r="X10" i="28"/>
  <c r="W10" i="28"/>
  <c r="V10" i="28"/>
  <c r="U10" i="28"/>
  <c r="T10" i="28"/>
  <c r="AI9" i="28"/>
  <c r="AH9" i="28"/>
  <c r="AG9" i="28"/>
  <c r="AF9" i="28"/>
  <c r="AE9" i="28"/>
  <c r="AD9" i="28"/>
  <c r="AC9" i="28"/>
  <c r="AB9" i="28"/>
  <c r="AA9" i="28"/>
  <c r="Z9" i="28"/>
  <c r="Y9" i="28"/>
  <c r="X9" i="28"/>
  <c r="W9" i="28"/>
  <c r="V9" i="28"/>
  <c r="U9" i="28"/>
  <c r="T9" i="28"/>
  <c r="B10" i="28" l="1"/>
  <c r="B9" i="28"/>
  <c r="AI18" i="28" l="1"/>
  <c r="AI14" i="28"/>
  <c r="AI16" i="28"/>
  <c r="AI12" i="28"/>
  <c r="AI11" i="28"/>
  <c r="AI15" i="28"/>
  <c r="AI7" i="28"/>
  <c r="AH7" i="28"/>
  <c r="AG7" i="28"/>
  <c r="AF7" i="28"/>
  <c r="AE7" i="28"/>
  <c r="AD7" i="28"/>
  <c r="AC7" i="28"/>
  <c r="AB7" i="28"/>
  <c r="AA7" i="28"/>
  <c r="Z7" i="28"/>
  <c r="Y7" i="28"/>
  <c r="X7" i="28"/>
  <c r="W7" i="28"/>
  <c r="V7" i="28"/>
  <c r="U7" i="28"/>
  <c r="T7" i="28"/>
  <c r="AI8" i="28"/>
  <c r="AI6" i="28"/>
  <c r="AI5" i="28"/>
  <c r="B7" i="28" l="1"/>
  <c r="C251" i="17"/>
  <c r="C268" i="17"/>
  <c r="C279" i="17"/>
  <c r="C252" i="17"/>
  <c r="C270" i="17"/>
  <c r="C258" i="17"/>
  <c r="C277" i="17"/>
  <c r="C259" i="17"/>
  <c r="C280" i="17"/>
  <c r="C255" i="17"/>
  <c r="C269" i="17"/>
  <c r="C257" i="17"/>
  <c r="C267" i="17"/>
  <c r="C253" i="17"/>
  <c r="C261" i="17"/>
  <c r="C275" i="17"/>
  <c r="C260" i="17"/>
  <c r="C264" i="17"/>
  <c r="C278" i="17"/>
  <c r="C263" i="17"/>
  <c r="C272" i="17"/>
  <c r="C249" i="17"/>
  <c r="C256" i="17"/>
  <c r="C274" i="17"/>
  <c r="C271" i="17"/>
  <c r="C273" i="17"/>
  <c r="C266" i="17"/>
  <c r="C254" i="17"/>
  <c r="C262" i="17"/>
  <c r="C265" i="17"/>
  <c r="C276" i="17"/>
  <c r="X98" i="17" l="1"/>
  <c r="Y98" i="17"/>
  <c r="X99" i="17"/>
  <c r="Y99" i="17"/>
  <c r="X119" i="17"/>
  <c r="Y119" i="17"/>
  <c r="X120" i="17"/>
  <c r="Y120" i="17"/>
  <c r="X141" i="17"/>
  <c r="Y141" i="17"/>
  <c r="X142" i="17"/>
  <c r="Y142" i="17"/>
  <c r="X143" i="17"/>
  <c r="Y143" i="17"/>
  <c r="X144" i="17"/>
  <c r="Y144" i="17"/>
  <c r="X163" i="17"/>
  <c r="Y163" i="17"/>
  <c r="X164" i="17"/>
  <c r="Y164" i="17"/>
  <c r="X165" i="17"/>
  <c r="Y165" i="17"/>
  <c r="X166" i="17"/>
  <c r="Y166" i="17"/>
  <c r="X190" i="17"/>
  <c r="Y190" i="17"/>
  <c r="X185" i="17"/>
  <c r="Y185" i="17"/>
  <c r="X186" i="17"/>
  <c r="Y186" i="17"/>
  <c r="X208" i="17"/>
  <c r="Y208" i="17"/>
  <c r="X209" i="17"/>
  <c r="Y209" i="17"/>
  <c r="X210" i="17"/>
  <c r="Y210" i="17"/>
  <c r="X211" i="17"/>
  <c r="Y211" i="17"/>
  <c r="Y223" i="17"/>
  <c r="X223" i="17"/>
  <c r="Y222" i="17"/>
  <c r="X222" i="17"/>
  <c r="Y241" i="17"/>
  <c r="X241" i="17"/>
  <c r="Y232" i="17"/>
  <c r="X232" i="17"/>
  <c r="X78" i="17"/>
  <c r="Y78" i="17"/>
  <c r="X56" i="17"/>
  <c r="Y56" i="17"/>
  <c r="X57" i="17"/>
  <c r="Y57" i="17"/>
  <c r="X34" i="17"/>
  <c r="Y34" i="17"/>
  <c r="X35" i="17"/>
  <c r="Y35" i="17"/>
  <c r="X12" i="17"/>
  <c r="Y12" i="17"/>
  <c r="X13" i="17"/>
  <c r="Y13" i="17"/>
  <c r="G259" i="17"/>
  <c r="H259" i="17"/>
  <c r="G277" i="17"/>
  <c r="H277" i="17"/>
  <c r="G258" i="17"/>
  <c r="H258" i="17"/>
  <c r="G270" i="17"/>
  <c r="H270" i="17"/>
  <c r="G252" i="17"/>
  <c r="H252" i="17"/>
  <c r="G279" i="17"/>
  <c r="H279" i="17"/>
  <c r="G268" i="17"/>
  <c r="H268" i="17"/>
  <c r="G251" i="17"/>
  <c r="H251" i="17"/>
  <c r="Y168" i="17"/>
  <c r="X168" i="17"/>
  <c r="Y167" i="17"/>
  <c r="X167" i="17"/>
  <c r="Y146" i="17"/>
  <c r="X146" i="17"/>
  <c r="Y145" i="17"/>
  <c r="X145" i="17"/>
  <c r="H253" i="19" l="1"/>
  <c r="G253" i="19"/>
  <c r="F253" i="19"/>
  <c r="E253" i="19"/>
  <c r="D253" i="19"/>
  <c r="H275" i="19"/>
  <c r="G275" i="19"/>
  <c r="F275" i="19"/>
  <c r="E275" i="19"/>
  <c r="D275" i="19"/>
  <c r="H264" i="19"/>
  <c r="G264" i="19"/>
  <c r="F264" i="19"/>
  <c r="E264" i="19"/>
  <c r="D264" i="19"/>
  <c r="H261" i="19"/>
  <c r="G261" i="19"/>
  <c r="F261" i="19"/>
  <c r="E261" i="19"/>
  <c r="D261" i="19"/>
  <c r="H249" i="19"/>
  <c r="G249" i="19"/>
  <c r="F249" i="19"/>
  <c r="E249" i="19"/>
  <c r="D249" i="19"/>
  <c r="H267" i="19"/>
  <c r="G267" i="19"/>
  <c r="F267" i="19"/>
  <c r="E267" i="19"/>
  <c r="D267" i="19"/>
  <c r="H274" i="19"/>
  <c r="G274" i="19"/>
  <c r="F274" i="19"/>
  <c r="E274" i="19"/>
  <c r="D274" i="19"/>
  <c r="H251" i="19"/>
  <c r="G251" i="19"/>
  <c r="F251" i="19"/>
  <c r="E251" i="19"/>
  <c r="D251" i="19"/>
  <c r="H271" i="19"/>
  <c r="G271" i="19"/>
  <c r="F271" i="19"/>
  <c r="E271" i="19"/>
  <c r="D271" i="19"/>
  <c r="H273" i="19"/>
  <c r="G273" i="19"/>
  <c r="F273" i="19"/>
  <c r="E273" i="19"/>
  <c r="D273" i="19"/>
  <c r="H263" i="19"/>
  <c r="G263" i="19"/>
  <c r="F263" i="19"/>
  <c r="E263" i="19"/>
  <c r="D263" i="19"/>
  <c r="H259" i="19"/>
  <c r="G259" i="19"/>
  <c r="F259" i="19"/>
  <c r="E259" i="19"/>
  <c r="D259" i="19"/>
  <c r="H279" i="19"/>
  <c r="G279" i="19"/>
  <c r="F279" i="19"/>
  <c r="E279" i="19"/>
  <c r="D279" i="19"/>
  <c r="H266" i="19"/>
  <c r="G266" i="19"/>
  <c r="F266" i="19"/>
  <c r="E266" i="19"/>
  <c r="D266" i="19"/>
  <c r="H254" i="19"/>
  <c r="G254" i="19"/>
  <c r="F254" i="19"/>
  <c r="E254" i="19"/>
  <c r="D254" i="19"/>
  <c r="C254" i="19"/>
  <c r="H262" i="19"/>
  <c r="G262" i="19"/>
  <c r="F262" i="19"/>
  <c r="E262" i="19"/>
  <c r="D262" i="19"/>
  <c r="H277" i="19"/>
  <c r="G277" i="19"/>
  <c r="F277" i="19"/>
  <c r="E277" i="19"/>
  <c r="D277" i="19"/>
  <c r="H268" i="19"/>
  <c r="G268" i="19"/>
  <c r="F268" i="19"/>
  <c r="E268" i="19"/>
  <c r="D268" i="19"/>
  <c r="H255" i="19"/>
  <c r="G255" i="19"/>
  <c r="F255" i="19"/>
  <c r="E255" i="19"/>
  <c r="D255" i="19"/>
  <c r="H260" i="19"/>
  <c r="G260" i="19"/>
  <c r="F260" i="19"/>
  <c r="E260" i="19"/>
  <c r="D260" i="19"/>
  <c r="H269" i="19"/>
  <c r="G269" i="19"/>
  <c r="F269" i="19"/>
  <c r="E269" i="19"/>
  <c r="D269" i="19"/>
  <c r="H278" i="19"/>
  <c r="G278" i="19"/>
  <c r="F278" i="19"/>
  <c r="E278" i="19"/>
  <c r="D278" i="19"/>
  <c r="H26" i="19"/>
  <c r="G26" i="19"/>
  <c r="F26" i="19"/>
  <c r="E26" i="19"/>
  <c r="D26" i="19"/>
  <c r="C26" i="19"/>
  <c r="H276" i="18"/>
  <c r="G276" i="18"/>
  <c r="H268" i="18"/>
  <c r="G268" i="18"/>
  <c r="H263" i="18"/>
  <c r="G263" i="18"/>
  <c r="H256" i="18"/>
  <c r="G256" i="18"/>
  <c r="H281" i="18"/>
  <c r="G281" i="18"/>
  <c r="H251" i="18"/>
  <c r="G251" i="18"/>
  <c r="H269" i="18"/>
  <c r="G269" i="18"/>
  <c r="H261" i="18"/>
  <c r="G261" i="18"/>
  <c r="H270" i="18"/>
  <c r="G270" i="18"/>
  <c r="H257" i="18"/>
  <c r="G257" i="18"/>
  <c r="C257" i="18"/>
  <c r="H272" i="18"/>
  <c r="G272" i="18"/>
  <c r="H252" i="18"/>
  <c r="G252" i="18"/>
  <c r="H267" i="18"/>
  <c r="G267" i="18"/>
  <c r="H280" i="18"/>
  <c r="G280" i="18"/>
  <c r="H253" i="18"/>
  <c r="G253" i="18"/>
  <c r="H250" i="18"/>
  <c r="G250" i="18"/>
  <c r="H279" i="18"/>
  <c r="G279" i="18"/>
  <c r="H254" i="18"/>
  <c r="G254" i="18"/>
  <c r="H265" i="18"/>
  <c r="G265" i="18"/>
  <c r="H264" i="18"/>
  <c r="G264" i="18"/>
  <c r="H259" i="18"/>
  <c r="G259" i="18"/>
  <c r="H275" i="18"/>
  <c r="G275" i="18"/>
  <c r="H255" i="18"/>
  <c r="G255" i="18"/>
  <c r="H278" i="18"/>
  <c r="G278" i="18"/>
  <c r="H25" i="18"/>
  <c r="G25" i="18"/>
  <c r="H27" i="18"/>
  <c r="G27" i="18"/>
  <c r="H26" i="18"/>
  <c r="G26" i="18"/>
  <c r="H28" i="18"/>
  <c r="G28" i="18"/>
  <c r="H280" i="17"/>
  <c r="G280" i="17"/>
  <c r="H255" i="17"/>
  <c r="G255" i="17"/>
  <c r="H269" i="17"/>
  <c r="G269" i="17"/>
  <c r="H257" i="17"/>
  <c r="G257" i="17"/>
  <c r="H267" i="17"/>
  <c r="G267" i="17"/>
  <c r="H253" i="17"/>
  <c r="G253" i="17"/>
  <c r="H261" i="17"/>
  <c r="G261" i="17"/>
  <c r="H275" i="17"/>
  <c r="G275" i="17"/>
  <c r="H260" i="17"/>
  <c r="G260" i="17"/>
  <c r="H264" i="17"/>
  <c r="G264" i="17"/>
  <c r="H278" i="17"/>
  <c r="G278" i="17"/>
  <c r="H263" i="17"/>
  <c r="G263" i="17"/>
  <c r="H272" i="17"/>
  <c r="G272" i="17"/>
  <c r="H249" i="17"/>
  <c r="G249" i="17"/>
  <c r="H256" i="17"/>
  <c r="G256" i="17"/>
  <c r="H274" i="17"/>
  <c r="G274" i="17"/>
  <c r="H271" i="17"/>
  <c r="G271" i="17"/>
  <c r="H273" i="17"/>
  <c r="G273" i="17"/>
  <c r="H266" i="17"/>
  <c r="G266" i="17"/>
  <c r="H254" i="17"/>
  <c r="G254" i="17"/>
  <c r="H262" i="17"/>
  <c r="G262" i="17"/>
  <c r="H265" i="17"/>
  <c r="G265" i="17"/>
  <c r="H276" i="17"/>
  <c r="G276" i="17"/>
  <c r="H250" i="17"/>
  <c r="G250" i="17"/>
  <c r="C250" i="17"/>
  <c r="H27" i="17"/>
  <c r="G27" i="17"/>
  <c r="H28" i="17"/>
  <c r="G28" i="17"/>
  <c r="H29" i="17"/>
  <c r="G29" i="17"/>
  <c r="H26" i="17"/>
  <c r="G26" i="17"/>
  <c r="I251" i="19" l="1"/>
  <c r="I277" i="19"/>
  <c r="I253" i="19"/>
  <c r="I264" i="19"/>
  <c r="I254" i="19"/>
  <c r="I274" i="19"/>
  <c r="I26" i="19"/>
  <c r="I271" i="19"/>
  <c r="I249" i="19"/>
  <c r="I263" i="19"/>
  <c r="I260" i="19"/>
  <c r="I269" i="19"/>
  <c r="I266" i="19"/>
  <c r="I262" i="19"/>
  <c r="I259" i="19"/>
  <c r="I261" i="19"/>
  <c r="I279" i="19"/>
  <c r="I278" i="19"/>
  <c r="I268" i="19"/>
  <c r="I273" i="19"/>
  <c r="I255" i="19"/>
  <c r="I267" i="19"/>
  <c r="I275" i="19"/>
  <c r="AH18" i="28"/>
  <c r="AG18" i="28"/>
  <c r="AF18" i="28"/>
  <c r="AE18" i="28"/>
  <c r="AD18" i="28"/>
  <c r="AC18" i="28"/>
  <c r="AB18" i="28"/>
  <c r="AA18" i="28"/>
  <c r="Z18" i="28"/>
  <c r="Y18" i="28"/>
  <c r="X18" i="28"/>
  <c r="W18" i="28"/>
  <c r="V18" i="28"/>
  <c r="U18" i="28"/>
  <c r="T18" i="28"/>
  <c r="AH14" i="28"/>
  <c r="AG14" i="28"/>
  <c r="AF14" i="28"/>
  <c r="AE14" i="28"/>
  <c r="AD14" i="28"/>
  <c r="AC14" i="28"/>
  <c r="AB14" i="28"/>
  <c r="AA14" i="28"/>
  <c r="Z14" i="28"/>
  <c r="Y14" i="28"/>
  <c r="X14" i="28"/>
  <c r="W14" i="28"/>
  <c r="V14" i="28"/>
  <c r="U14" i="28"/>
  <c r="T14" i="28"/>
  <c r="V16" i="28"/>
  <c r="AH16" i="28"/>
  <c r="AG16" i="28"/>
  <c r="AF16" i="28"/>
  <c r="AE16" i="28"/>
  <c r="AD16" i="28"/>
  <c r="AC16" i="28"/>
  <c r="AB16" i="28"/>
  <c r="AA16" i="28"/>
  <c r="Z16" i="28"/>
  <c r="Y16" i="28"/>
  <c r="X16" i="28"/>
  <c r="W16" i="28"/>
  <c r="U16" i="28"/>
  <c r="T16" i="28"/>
  <c r="AH12" i="28"/>
  <c r="AG12" i="28"/>
  <c r="AF12" i="28"/>
  <c r="AE12" i="28"/>
  <c r="AD12" i="28"/>
  <c r="AC12" i="28"/>
  <c r="AB12" i="28"/>
  <c r="AA12" i="28"/>
  <c r="Z12" i="28"/>
  <c r="Y12" i="28"/>
  <c r="X12" i="28"/>
  <c r="W12" i="28"/>
  <c r="V12" i="28"/>
  <c r="U12" i="28"/>
  <c r="T12" i="28"/>
  <c r="AH11" i="28"/>
  <c r="AG11" i="28"/>
  <c r="AF11" i="28"/>
  <c r="AE11" i="28"/>
  <c r="AD11" i="28"/>
  <c r="AC11" i="28"/>
  <c r="AB11" i="28"/>
  <c r="AA11" i="28"/>
  <c r="Z11" i="28"/>
  <c r="Y11" i="28"/>
  <c r="X11" i="28"/>
  <c r="W11" i="28"/>
  <c r="V11" i="28"/>
  <c r="U11" i="28"/>
  <c r="T11" i="28"/>
  <c r="AH15" i="28"/>
  <c r="AG15" i="28"/>
  <c r="AF15" i="28"/>
  <c r="AE15" i="28"/>
  <c r="AD15" i="28"/>
  <c r="AC15" i="28"/>
  <c r="AB15" i="28"/>
  <c r="AA15" i="28"/>
  <c r="Z15" i="28"/>
  <c r="Y15" i="28"/>
  <c r="X15" i="28"/>
  <c r="W15" i="28"/>
  <c r="V15" i="28"/>
  <c r="U15" i="28"/>
  <c r="T15" i="28"/>
  <c r="V8" i="28"/>
  <c r="U8" i="28"/>
  <c r="T8" i="28"/>
  <c r="AH8" i="28"/>
  <c r="AG8" i="28"/>
  <c r="AF8" i="28"/>
  <c r="AE8" i="28"/>
  <c r="AD8" i="28"/>
  <c r="AC8" i="28"/>
  <c r="AB8" i="28"/>
  <c r="AA8" i="28"/>
  <c r="Z8" i="28"/>
  <c r="Y8" i="28"/>
  <c r="X8" i="28"/>
  <c r="W8" i="28"/>
  <c r="AH5" i="28"/>
  <c r="AG5" i="28"/>
  <c r="AF5" i="28"/>
  <c r="AE5" i="28"/>
  <c r="AD5" i="28"/>
  <c r="AC5" i="28"/>
  <c r="AB5" i="28"/>
  <c r="AA5" i="28"/>
  <c r="Z5" i="28"/>
  <c r="Y5" i="28"/>
  <c r="X5" i="28"/>
  <c r="W5" i="28"/>
  <c r="AH6" i="28"/>
  <c r="AG6" i="28"/>
  <c r="AF6" i="28"/>
  <c r="AE6" i="28"/>
  <c r="AD6" i="28"/>
  <c r="AC6" i="28"/>
  <c r="AB6" i="28"/>
  <c r="AA6" i="28"/>
  <c r="Z6" i="28"/>
  <c r="Y6" i="28"/>
  <c r="X6" i="28"/>
  <c r="W6" i="28"/>
  <c r="V5" i="28"/>
  <c r="U5" i="28"/>
  <c r="T5" i="28"/>
  <c r="B16" i="28" l="1"/>
  <c r="B5" i="28"/>
  <c r="B14" i="28"/>
  <c r="B15" i="28"/>
  <c r="B8" i="28"/>
  <c r="B12" i="28"/>
  <c r="B18" i="28"/>
  <c r="B11" i="28"/>
  <c r="B6" i="28"/>
  <c r="N21" i="28" l="1"/>
  <c r="O21" i="28"/>
  <c r="P21" i="28"/>
  <c r="N22" i="28"/>
  <c r="O22" i="28"/>
  <c r="P22" i="28"/>
  <c r="Y242" i="18"/>
  <c r="X242" i="18"/>
  <c r="Y233" i="18"/>
  <c r="X233" i="18"/>
  <c r="Y226" i="18"/>
  <c r="X226" i="18"/>
  <c r="Y225" i="18"/>
  <c r="X225" i="18"/>
  <c r="Y213" i="18"/>
  <c r="X213" i="18"/>
  <c r="Y212" i="18"/>
  <c r="X212" i="18"/>
  <c r="Y211" i="18"/>
  <c r="X211" i="18"/>
  <c r="Y210" i="18"/>
  <c r="X210" i="18"/>
  <c r="Y193" i="18"/>
  <c r="X193" i="18"/>
  <c r="Y192" i="18"/>
  <c r="X192" i="18"/>
  <c r="Y190" i="18"/>
  <c r="X190" i="18"/>
  <c r="Y189" i="18"/>
  <c r="X189" i="18"/>
  <c r="Y188" i="18"/>
  <c r="X188" i="18"/>
  <c r="Y187" i="18"/>
  <c r="X187" i="18"/>
  <c r="Y186" i="18"/>
  <c r="X186" i="18"/>
  <c r="Y126" i="18"/>
  <c r="X126" i="18"/>
  <c r="Y125" i="18"/>
  <c r="X125" i="18"/>
  <c r="Y124" i="18"/>
  <c r="X124" i="18"/>
  <c r="Y123" i="18"/>
  <c r="X123" i="18"/>
  <c r="Y122" i="18"/>
  <c r="X122" i="18"/>
  <c r="Y121" i="18"/>
  <c r="X121" i="18"/>
  <c r="Y104" i="18"/>
  <c r="X104" i="18"/>
  <c r="Y103" i="18"/>
  <c r="X103" i="18"/>
  <c r="Y102" i="18"/>
  <c r="X102" i="18"/>
  <c r="Y101" i="18"/>
  <c r="X101" i="18"/>
  <c r="Y100" i="18"/>
  <c r="X100" i="18"/>
  <c r="Y99" i="18"/>
  <c r="X99" i="18"/>
  <c r="Y82" i="18"/>
  <c r="X82" i="18"/>
  <c r="Y81" i="18"/>
  <c r="X81" i="18"/>
  <c r="Y80" i="18"/>
  <c r="X80" i="18"/>
  <c r="Y79" i="18"/>
  <c r="X79" i="18"/>
  <c r="Y78" i="18"/>
  <c r="X78" i="18"/>
  <c r="Y77" i="18"/>
  <c r="X77" i="18"/>
  <c r="Y60" i="18"/>
  <c r="X60" i="18"/>
  <c r="Y59" i="18"/>
  <c r="X59" i="18"/>
  <c r="Y58" i="18"/>
  <c r="X58" i="18"/>
  <c r="Y57" i="18"/>
  <c r="X57" i="18"/>
  <c r="Y56" i="18"/>
  <c r="X56" i="18"/>
  <c r="Y55" i="18"/>
  <c r="X55" i="18"/>
  <c r="Y38" i="18"/>
  <c r="X38" i="18"/>
  <c r="Y37" i="18"/>
  <c r="X37" i="18"/>
  <c r="Y36" i="18"/>
  <c r="X36" i="18"/>
  <c r="Y35" i="18"/>
  <c r="X35" i="18"/>
  <c r="Y34" i="18"/>
  <c r="X34" i="18"/>
  <c r="Y33" i="18"/>
  <c r="X33" i="18"/>
  <c r="Y17" i="18"/>
  <c r="X17" i="18"/>
  <c r="Y16" i="18"/>
  <c r="X16" i="18"/>
  <c r="Y15" i="18"/>
  <c r="X15" i="18"/>
  <c r="Y14" i="18"/>
  <c r="X14" i="18"/>
  <c r="Y13" i="18"/>
  <c r="X13" i="18"/>
  <c r="Y12" i="18"/>
  <c r="X12" i="18"/>
  <c r="Y192" i="17"/>
  <c r="X192" i="17"/>
  <c r="Y191" i="17"/>
  <c r="X191" i="17"/>
  <c r="Y189" i="17"/>
  <c r="X189" i="17"/>
  <c r="Y188" i="17"/>
  <c r="X188" i="17"/>
  <c r="Y187" i="17"/>
  <c r="X187" i="17"/>
  <c r="Y124" i="17"/>
  <c r="X124" i="17"/>
  <c r="Y123" i="17"/>
  <c r="X123" i="17"/>
  <c r="Y122" i="17"/>
  <c r="X122" i="17"/>
  <c r="Y121" i="17"/>
  <c r="X121" i="17"/>
  <c r="Y103" i="17"/>
  <c r="X103" i="17"/>
  <c r="Y102" i="17"/>
  <c r="X102" i="17"/>
  <c r="Y101" i="17"/>
  <c r="X101" i="17"/>
  <c r="Y100" i="17"/>
  <c r="X100" i="17"/>
  <c r="Y83" i="17"/>
  <c r="X83" i="17"/>
  <c r="Y82" i="17"/>
  <c r="X82" i="17"/>
  <c r="Y81" i="17"/>
  <c r="X81" i="17"/>
  <c r="Y80" i="17"/>
  <c r="X80" i="17"/>
  <c r="Y79" i="17"/>
  <c r="X79" i="17"/>
  <c r="Y61" i="17"/>
  <c r="X61" i="17"/>
  <c r="Y60" i="17"/>
  <c r="X60" i="17"/>
  <c r="Y59" i="17"/>
  <c r="X59" i="17"/>
  <c r="Y58" i="17"/>
  <c r="X58" i="17"/>
  <c r="Y39" i="17"/>
  <c r="X39" i="17"/>
  <c r="Y38" i="17"/>
  <c r="X38" i="17"/>
  <c r="Y37" i="17"/>
  <c r="X37" i="17"/>
  <c r="Y36" i="17"/>
  <c r="X36" i="17"/>
  <c r="Y17" i="17"/>
  <c r="X17" i="17"/>
  <c r="Y16" i="17"/>
  <c r="X16" i="17"/>
  <c r="Y15" i="17"/>
  <c r="X15" i="17"/>
  <c r="Y14" i="17"/>
  <c r="X14" i="17"/>
  <c r="E260" i="18" l="1"/>
  <c r="D262" i="18"/>
  <c r="E271" i="18"/>
  <c r="F277" i="18"/>
  <c r="D273" i="18"/>
  <c r="F260" i="18"/>
  <c r="D258" i="18"/>
  <c r="E262" i="18"/>
  <c r="F271" i="18"/>
  <c r="E273" i="18"/>
  <c r="E258" i="18"/>
  <c r="F262" i="18"/>
  <c r="F273" i="18"/>
  <c r="D274" i="18"/>
  <c r="F258" i="18"/>
  <c r="E274" i="18"/>
  <c r="E277" i="18"/>
  <c r="D266" i="18"/>
  <c r="F274" i="18"/>
  <c r="F266" i="18"/>
  <c r="D271" i="18"/>
  <c r="E266" i="18"/>
  <c r="D277" i="18"/>
  <c r="D260" i="18"/>
  <c r="I260" i="18" s="1"/>
  <c r="E256" i="18"/>
  <c r="E261" i="18"/>
  <c r="E252" i="18"/>
  <c r="E250" i="18"/>
  <c r="E264" i="18"/>
  <c r="E278" i="18"/>
  <c r="F28" i="18"/>
  <c r="F265" i="18"/>
  <c r="D278" i="18"/>
  <c r="F278" i="18"/>
  <c r="F263" i="18"/>
  <c r="D256" i="18"/>
  <c r="F269" i="18"/>
  <c r="D261" i="18"/>
  <c r="F272" i="18"/>
  <c r="D252" i="18"/>
  <c r="I252" i="18" s="1"/>
  <c r="F253" i="18"/>
  <c r="D250" i="18"/>
  <c r="D264" i="18"/>
  <c r="F255" i="18"/>
  <c r="E28" i="18"/>
  <c r="F252" i="18"/>
  <c r="D259" i="18"/>
  <c r="E263" i="18"/>
  <c r="E269" i="18"/>
  <c r="E272" i="18"/>
  <c r="E253" i="18"/>
  <c r="E265" i="18"/>
  <c r="E255" i="18"/>
  <c r="F26" i="18"/>
  <c r="D28" i="18"/>
  <c r="D255" i="18"/>
  <c r="F264" i="18"/>
  <c r="F268" i="18"/>
  <c r="D263" i="18"/>
  <c r="F251" i="18"/>
  <c r="D269" i="18"/>
  <c r="F257" i="18"/>
  <c r="D272" i="18"/>
  <c r="F280" i="18"/>
  <c r="D253" i="18"/>
  <c r="F254" i="18"/>
  <c r="D265" i="18"/>
  <c r="F275" i="18"/>
  <c r="E26" i="18"/>
  <c r="D267" i="18"/>
  <c r="E268" i="18"/>
  <c r="E251" i="18"/>
  <c r="E257" i="18"/>
  <c r="E280" i="18"/>
  <c r="E254" i="18"/>
  <c r="E275" i="18"/>
  <c r="F27" i="18"/>
  <c r="D26" i="18"/>
  <c r="D281" i="18"/>
  <c r="F250" i="18"/>
  <c r="F276" i="18"/>
  <c r="D268" i="18"/>
  <c r="F281" i="18"/>
  <c r="D251" i="18"/>
  <c r="F270" i="18"/>
  <c r="D257" i="18"/>
  <c r="F267" i="18"/>
  <c r="D280" i="18"/>
  <c r="F279" i="18"/>
  <c r="D254" i="18"/>
  <c r="F259" i="18"/>
  <c r="D275" i="18"/>
  <c r="I275" i="18" s="1"/>
  <c r="F25" i="18"/>
  <c r="E27" i="18"/>
  <c r="F256" i="18"/>
  <c r="F261" i="18"/>
  <c r="D279" i="18"/>
  <c r="E276" i="18"/>
  <c r="E281" i="18"/>
  <c r="E270" i="18"/>
  <c r="E267" i="18"/>
  <c r="E279" i="18"/>
  <c r="E259" i="18"/>
  <c r="E25" i="18"/>
  <c r="D27" i="18"/>
  <c r="D276" i="18"/>
  <c r="D270" i="18"/>
  <c r="D25" i="18"/>
  <c r="D277" i="17"/>
  <c r="F258" i="17"/>
  <c r="D279" i="17"/>
  <c r="F268" i="17"/>
  <c r="D259" i="17"/>
  <c r="E277" i="17"/>
  <c r="E279" i="17"/>
  <c r="F277" i="17"/>
  <c r="E259" i="17"/>
  <c r="F259" i="17"/>
  <c r="E252" i="17"/>
  <c r="D251" i="17"/>
  <c r="F279" i="17"/>
  <c r="D270" i="17"/>
  <c r="F252" i="17"/>
  <c r="E270" i="17"/>
  <c r="E251" i="17"/>
  <c r="F251" i="17"/>
  <c r="D252" i="17"/>
  <c r="D258" i="17"/>
  <c r="F270" i="17"/>
  <c r="D268" i="17"/>
  <c r="E268" i="17"/>
  <c r="E258" i="17"/>
  <c r="E255" i="17"/>
  <c r="E253" i="17"/>
  <c r="D261" i="17"/>
  <c r="F264" i="17"/>
  <c r="D278" i="17"/>
  <c r="F249" i="17"/>
  <c r="D256" i="17"/>
  <c r="F273" i="17"/>
  <c r="D266" i="17"/>
  <c r="F265" i="17"/>
  <c r="D276" i="17"/>
  <c r="F28" i="17"/>
  <c r="D29" i="17"/>
  <c r="F280" i="17"/>
  <c r="D255" i="17"/>
  <c r="F267" i="17"/>
  <c r="D253" i="17"/>
  <c r="E264" i="17"/>
  <c r="E249" i="17"/>
  <c r="E273" i="17"/>
  <c r="E265" i="17"/>
  <c r="E28" i="17"/>
  <c r="D265" i="17"/>
  <c r="F27" i="17"/>
  <c r="D28" i="17"/>
  <c r="D27" i="17"/>
  <c r="F26" i="17"/>
  <c r="D254" i="17"/>
  <c r="E278" i="17"/>
  <c r="E276" i="17"/>
  <c r="E280" i="17"/>
  <c r="E267" i="17"/>
  <c r="F260" i="17"/>
  <c r="D264" i="17"/>
  <c r="F272" i="17"/>
  <c r="D249" i="17"/>
  <c r="F271" i="17"/>
  <c r="D273" i="17"/>
  <c r="F262" i="17"/>
  <c r="F29" i="17"/>
  <c r="E29" i="17"/>
  <c r="D280" i="17"/>
  <c r="F257" i="17"/>
  <c r="P20" i="28" s="1"/>
  <c r="D267" i="17"/>
  <c r="E260" i="17"/>
  <c r="E272" i="17"/>
  <c r="E271" i="17"/>
  <c r="E262" i="17"/>
  <c r="E27" i="17"/>
  <c r="F266" i="17"/>
  <c r="D26" i="17"/>
  <c r="F255" i="17"/>
  <c r="E266" i="17"/>
  <c r="E257" i="17"/>
  <c r="O20" i="28" s="1"/>
  <c r="F275" i="17"/>
  <c r="D260" i="17"/>
  <c r="F263" i="17"/>
  <c r="D272" i="17"/>
  <c r="F274" i="17"/>
  <c r="D271" i="17"/>
  <c r="F254" i="17"/>
  <c r="D262" i="17"/>
  <c r="F250" i="17"/>
  <c r="F276" i="17"/>
  <c r="F253" i="17"/>
  <c r="E256" i="17"/>
  <c r="F269" i="17"/>
  <c r="D257" i="17"/>
  <c r="N20" i="28" s="1"/>
  <c r="E275" i="17"/>
  <c r="E263" i="17"/>
  <c r="E274" i="17"/>
  <c r="E254" i="17"/>
  <c r="E250" i="17"/>
  <c r="E26" i="17"/>
  <c r="D274" i="17"/>
  <c r="D250" i="17"/>
  <c r="E261" i="17"/>
  <c r="E269" i="17"/>
  <c r="F261" i="17"/>
  <c r="D275" i="17"/>
  <c r="F278" i="17"/>
  <c r="D263" i="17"/>
  <c r="F256" i="17"/>
  <c r="D269" i="17"/>
  <c r="I271" i="18" l="1"/>
  <c r="I253" i="18"/>
  <c r="I280" i="18"/>
  <c r="I279" i="18"/>
  <c r="I261" i="18"/>
  <c r="I255" i="18"/>
  <c r="I250" i="18"/>
  <c r="I278" i="18"/>
  <c r="I28" i="18"/>
  <c r="I26" i="18"/>
  <c r="I264" i="18"/>
  <c r="I277" i="18"/>
  <c r="I265" i="18"/>
  <c r="I269" i="18"/>
  <c r="I256" i="18"/>
  <c r="I254" i="18"/>
  <c r="I268" i="18"/>
  <c r="I274" i="18"/>
  <c r="I257" i="18"/>
  <c r="I270" i="18"/>
  <c r="I276" i="18"/>
  <c r="I25" i="18"/>
  <c r="I27" i="18"/>
  <c r="I281" i="18"/>
  <c r="I272" i="18"/>
  <c r="I259" i="18"/>
  <c r="I258" i="18"/>
  <c r="I267" i="18"/>
  <c r="I273" i="18"/>
  <c r="I251" i="18"/>
  <c r="I263" i="18"/>
  <c r="I266" i="18"/>
  <c r="I262" i="18"/>
  <c r="I264" i="17"/>
  <c r="Q11" i="28"/>
  <c r="I250" i="17"/>
  <c r="I273" i="17"/>
  <c r="I28" i="17"/>
  <c r="I258" i="17"/>
  <c r="I268" i="17"/>
  <c r="I270" i="17"/>
  <c r="I259" i="17"/>
  <c r="I251" i="17"/>
  <c r="I252" i="17"/>
  <c r="I279" i="17"/>
  <c r="I277" i="17"/>
  <c r="I271" i="17"/>
  <c r="I275" i="17"/>
  <c r="I272" i="17"/>
  <c r="I265" i="17"/>
  <c r="I255" i="17"/>
  <c r="I249" i="17"/>
  <c r="I253" i="17"/>
  <c r="I280" i="17"/>
  <c r="I257" i="17"/>
  <c r="I260" i="17"/>
  <c r="I256" i="17"/>
  <c r="I262" i="17"/>
  <c r="I29" i="17"/>
  <c r="I278" i="17"/>
  <c r="I267" i="17"/>
  <c r="I254" i="17"/>
  <c r="I274" i="17"/>
  <c r="I26" i="17"/>
  <c r="I276" i="17"/>
  <c r="I261" i="17"/>
  <c r="I27" i="17"/>
  <c r="I269" i="17"/>
  <c r="I263" i="17"/>
  <c r="I266" i="17"/>
  <c r="Q6" i="28"/>
  <c r="Q8" i="28"/>
  <c r="Q7" i="28"/>
  <c r="Q10" i="28"/>
  <c r="Q13" i="28"/>
  <c r="Q9" i="28"/>
  <c r="Q21" i="28"/>
  <c r="Q22" i="28"/>
  <c r="Q19" i="28"/>
  <c r="Q15" i="28"/>
  <c r="Q20" i="28"/>
  <c r="Q12" i="28"/>
  <c r="Q23" i="28"/>
  <c r="Q16" i="28"/>
  <c r="Q14" i="28"/>
  <c r="Q17" i="28"/>
  <c r="Q18" i="28"/>
  <c r="Q24" i="28"/>
  <c r="Q5" i="28"/>
  <c r="X129" i="16"/>
  <c r="Y129" i="16"/>
  <c r="X128" i="16"/>
  <c r="Y128" i="16"/>
  <c r="X77" i="16"/>
  <c r="Y77" i="16"/>
  <c r="X78" i="16"/>
  <c r="Y78" i="16"/>
  <c r="X56" i="16"/>
  <c r="Y56" i="16"/>
  <c r="X34" i="16"/>
  <c r="Y34" i="16"/>
  <c r="C245" i="16"/>
  <c r="C234" i="16"/>
  <c r="C233" i="16"/>
  <c r="C229" i="16"/>
  <c r="C239" i="16"/>
  <c r="C225" i="16"/>
  <c r="C238" i="16"/>
  <c r="C236" i="16"/>
  <c r="C246" i="16"/>
  <c r="C231" i="16"/>
  <c r="C226" i="16"/>
  <c r="C232" i="16" l="1"/>
  <c r="C244" i="16"/>
  <c r="C242" i="16"/>
  <c r="C230" i="16"/>
  <c r="C227" i="16"/>
  <c r="C243" i="16"/>
  <c r="C240" i="16"/>
  <c r="C224" i="16"/>
  <c r="C223" i="16"/>
  <c r="C241" i="16"/>
  <c r="C237" i="16"/>
  <c r="C235" i="16"/>
  <c r="G235" i="16"/>
  <c r="H235" i="16"/>
  <c r="G237" i="16"/>
  <c r="H237" i="16"/>
  <c r="G241" i="16"/>
  <c r="H241" i="16"/>
  <c r="G223" i="16"/>
  <c r="H223" i="16"/>
  <c r="G224" i="16"/>
  <c r="H224" i="16"/>
  <c r="G240" i="16"/>
  <c r="H240" i="16"/>
  <c r="G243" i="16"/>
  <c r="H243" i="16"/>
  <c r="G227" i="16"/>
  <c r="H227" i="16"/>
  <c r="G230" i="16"/>
  <c r="H230" i="16"/>
  <c r="G242" i="16"/>
  <c r="H242" i="16"/>
  <c r="G244" i="16"/>
  <c r="H244" i="16"/>
  <c r="G232" i="16"/>
  <c r="H232" i="16"/>
  <c r="G226" i="16"/>
  <c r="H226" i="16"/>
  <c r="G231" i="16"/>
  <c r="H231" i="16"/>
  <c r="G246" i="16"/>
  <c r="H246" i="16"/>
  <c r="G236" i="16"/>
  <c r="H236" i="16"/>
  <c r="G238" i="16"/>
  <c r="H238" i="16"/>
  <c r="G225" i="16"/>
  <c r="H225" i="16"/>
  <c r="G239" i="16"/>
  <c r="H239" i="16"/>
  <c r="G229" i="16"/>
  <c r="H229" i="16"/>
  <c r="G233" i="16"/>
  <c r="H233" i="16"/>
  <c r="G234" i="16"/>
  <c r="H234" i="16"/>
  <c r="G245" i="16"/>
  <c r="H245" i="16"/>
  <c r="H228" i="16"/>
  <c r="G228" i="16"/>
  <c r="C228" i="16"/>
  <c r="X166" i="16"/>
  <c r="Y166" i="16"/>
  <c r="X165" i="16"/>
  <c r="Y165" i="16"/>
  <c r="X164" i="16"/>
  <c r="Y164" i="16"/>
  <c r="X163" i="16"/>
  <c r="Y163" i="16"/>
  <c r="X182" i="16"/>
  <c r="Y182" i="16"/>
  <c r="X183" i="16"/>
  <c r="Y183" i="16"/>
  <c r="X184" i="16"/>
  <c r="Y184" i="16"/>
  <c r="X185" i="16"/>
  <c r="Y185" i="16"/>
  <c r="Y204" i="16"/>
  <c r="X204" i="16"/>
  <c r="Y197" i="16"/>
  <c r="X197" i="16"/>
  <c r="Y196" i="16"/>
  <c r="X196" i="16"/>
  <c r="Y213" i="16"/>
  <c r="X213" i="16"/>
  <c r="C29" i="16"/>
  <c r="C28" i="16"/>
  <c r="C27" i="16"/>
  <c r="G27" i="16"/>
  <c r="H27" i="16"/>
  <c r="G28" i="16"/>
  <c r="H28" i="16"/>
  <c r="G29" i="16"/>
  <c r="H29" i="16"/>
  <c r="C26" i="16"/>
  <c r="H26" i="16"/>
  <c r="G26" i="16"/>
  <c r="X12" i="16"/>
  <c r="Y12" i="16"/>
  <c r="Y162" i="16"/>
  <c r="X162" i="16"/>
  <c r="Y161" i="16"/>
  <c r="X161" i="16"/>
  <c r="Y160" i="16"/>
  <c r="X160" i="16"/>
  <c r="Y159" i="16"/>
  <c r="X159" i="16"/>
  <c r="Y127" i="16"/>
  <c r="X127" i="16"/>
  <c r="Y126" i="16"/>
  <c r="X126" i="16"/>
  <c r="Y125" i="16"/>
  <c r="X125" i="16"/>
  <c r="Y124" i="16"/>
  <c r="X124" i="16"/>
  <c r="Y106" i="16"/>
  <c r="X106" i="16"/>
  <c r="Y105" i="16"/>
  <c r="X105" i="16"/>
  <c r="Y104" i="16"/>
  <c r="X104" i="16"/>
  <c r="Y103" i="16"/>
  <c r="X103" i="16"/>
  <c r="Y102" i="16"/>
  <c r="X102" i="16"/>
  <c r="Y101" i="16"/>
  <c r="X101" i="16"/>
  <c r="Y82" i="16"/>
  <c r="X82" i="16"/>
  <c r="Y81" i="16"/>
  <c r="X81" i="16"/>
  <c r="Y80" i="16"/>
  <c r="X80" i="16"/>
  <c r="Y79" i="16"/>
  <c r="X79" i="16"/>
  <c r="Y61" i="16"/>
  <c r="X61" i="16"/>
  <c r="Y60" i="16"/>
  <c r="X60" i="16"/>
  <c r="Y59" i="16"/>
  <c r="X59" i="16"/>
  <c r="Y58" i="16"/>
  <c r="X58" i="16"/>
  <c r="Y57" i="16"/>
  <c r="X57" i="16"/>
  <c r="Y39" i="16"/>
  <c r="X39" i="16"/>
  <c r="Y38" i="16"/>
  <c r="X38" i="16"/>
  <c r="Y37" i="16"/>
  <c r="X37" i="16"/>
  <c r="Y36" i="16"/>
  <c r="X36" i="16"/>
  <c r="Y35" i="16"/>
  <c r="X35" i="16"/>
  <c r="Y17" i="16"/>
  <c r="X17" i="16"/>
  <c r="Y16" i="16"/>
  <c r="X16" i="16"/>
  <c r="Y15" i="16"/>
  <c r="X15" i="16"/>
  <c r="Y14" i="16"/>
  <c r="X14" i="16"/>
  <c r="Y13" i="16"/>
  <c r="X13" i="16"/>
  <c r="F228" i="16" l="1"/>
  <c r="D228" i="16"/>
  <c r="E228" i="16"/>
  <c r="F245" i="16"/>
  <c r="F234" i="16"/>
  <c r="E239" i="16"/>
  <c r="D236" i="16"/>
  <c r="F231" i="16"/>
  <c r="E244" i="16"/>
  <c r="D227" i="16"/>
  <c r="F240" i="16"/>
  <c r="E234" i="16"/>
  <c r="D239" i="16"/>
  <c r="I239" i="16" s="1"/>
  <c r="F238" i="16"/>
  <c r="E231" i="16"/>
  <c r="D244" i="16"/>
  <c r="F230" i="16"/>
  <c r="E240" i="16"/>
  <c r="F235" i="16"/>
  <c r="D234" i="16"/>
  <c r="F229" i="16"/>
  <c r="E238" i="16"/>
  <c r="D231" i="16"/>
  <c r="F232" i="16"/>
  <c r="E230" i="16"/>
  <c r="D240" i="16"/>
  <c r="F223" i="16"/>
  <c r="E235" i="16"/>
  <c r="E229" i="16"/>
  <c r="D238" i="16"/>
  <c r="F246" i="16"/>
  <c r="E232" i="16"/>
  <c r="D230" i="16"/>
  <c r="F243" i="16"/>
  <c r="E223" i="16"/>
  <c r="D235" i="16"/>
  <c r="I235" i="16" s="1"/>
  <c r="E245" i="16"/>
  <c r="D229" i="16"/>
  <c r="F225" i="16"/>
  <c r="E246" i="16"/>
  <c r="D232" i="16"/>
  <c r="F242" i="16"/>
  <c r="E243" i="16"/>
  <c r="D223" i="16"/>
  <c r="F237" i="16"/>
  <c r="D245" i="16"/>
  <c r="F233" i="16"/>
  <c r="E225" i="16"/>
  <c r="D246" i="16"/>
  <c r="F226" i="16"/>
  <c r="E242" i="16"/>
  <c r="D243" i="16"/>
  <c r="F224" i="16"/>
  <c r="E233" i="16"/>
  <c r="D225" i="16"/>
  <c r="I225" i="16" s="1"/>
  <c r="F236" i="16"/>
  <c r="E226" i="16"/>
  <c r="D242" i="16"/>
  <c r="I242" i="16" s="1"/>
  <c r="F227" i="16"/>
  <c r="E224" i="16"/>
  <c r="D233" i="16"/>
  <c r="I233" i="16" s="1"/>
  <c r="F239" i="16"/>
  <c r="E236" i="16"/>
  <c r="D226" i="16"/>
  <c r="I226" i="16" s="1"/>
  <c r="F244" i="16"/>
  <c r="E227" i="16"/>
  <c r="D224" i="16"/>
  <c r="I244" i="16"/>
  <c r="I241" i="16"/>
  <c r="I240" i="16"/>
  <c r="I230" i="16"/>
  <c r="F26" i="16"/>
  <c r="E28" i="16"/>
  <c r="E26" i="16"/>
  <c r="D29" i="16"/>
  <c r="D27" i="16"/>
  <c r="F28" i="16"/>
  <c r="D28" i="16"/>
  <c r="F27" i="16"/>
  <c r="E27" i="16"/>
  <c r="D26" i="16"/>
  <c r="F29" i="16"/>
  <c r="E29" i="16"/>
  <c r="C247" i="15"/>
  <c r="C242" i="15"/>
  <c r="C237" i="15"/>
  <c r="C231" i="15"/>
  <c r="C141" i="15"/>
  <c r="C140" i="15"/>
  <c r="C139" i="15"/>
  <c r="G139" i="15"/>
  <c r="H139" i="15"/>
  <c r="G140" i="15"/>
  <c r="H140" i="15"/>
  <c r="G141" i="15"/>
  <c r="H141" i="15"/>
  <c r="H138" i="15"/>
  <c r="G138" i="15"/>
  <c r="C138" i="15"/>
  <c r="C251" i="15"/>
  <c r="C243" i="15"/>
  <c r="C238" i="15"/>
  <c r="C236" i="15"/>
  <c r="C121" i="15"/>
  <c r="C120" i="15"/>
  <c r="C119" i="15"/>
  <c r="G119" i="15"/>
  <c r="H119" i="15"/>
  <c r="G120" i="15"/>
  <c r="H120" i="15"/>
  <c r="G121" i="15"/>
  <c r="H121" i="15"/>
  <c r="H118" i="15"/>
  <c r="G118" i="15"/>
  <c r="C118" i="15"/>
  <c r="C250" i="15"/>
  <c r="C241" i="15"/>
  <c r="C234" i="15"/>
  <c r="C228" i="15"/>
  <c r="C99" i="15"/>
  <c r="C98" i="15"/>
  <c r="C97" i="15"/>
  <c r="G97" i="15"/>
  <c r="H97" i="15"/>
  <c r="G98" i="15"/>
  <c r="H98" i="15"/>
  <c r="G99" i="15"/>
  <c r="H99" i="15"/>
  <c r="H96" i="15"/>
  <c r="G96" i="15"/>
  <c r="C96" i="15"/>
  <c r="C248" i="15"/>
  <c r="C246" i="15"/>
  <c r="C239" i="15"/>
  <c r="C232" i="15"/>
  <c r="C76" i="15"/>
  <c r="C75" i="15"/>
  <c r="C74" i="15"/>
  <c r="G74" i="15"/>
  <c r="H74" i="15"/>
  <c r="G75" i="15"/>
  <c r="H75" i="15"/>
  <c r="G76" i="15"/>
  <c r="H76" i="15"/>
  <c r="H73" i="15"/>
  <c r="G73" i="15"/>
  <c r="C73" i="15"/>
  <c r="C53" i="15"/>
  <c r="C52" i="15"/>
  <c r="C51" i="15"/>
  <c r="C244" i="15"/>
  <c r="C230" i="15"/>
  <c r="C240" i="15"/>
  <c r="C235" i="15"/>
  <c r="C249" i="15"/>
  <c r="C245" i="15"/>
  <c r="C233" i="15"/>
  <c r="G51" i="15"/>
  <c r="H51" i="15"/>
  <c r="G52" i="15"/>
  <c r="H52" i="15"/>
  <c r="G53" i="15"/>
  <c r="H53" i="15"/>
  <c r="H50" i="15"/>
  <c r="G50" i="15"/>
  <c r="C50" i="15"/>
  <c r="G233" i="15"/>
  <c r="H233" i="15"/>
  <c r="G245" i="15"/>
  <c r="H245" i="15"/>
  <c r="G249" i="15"/>
  <c r="H249" i="15"/>
  <c r="G235" i="15"/>
  <c r="H235" i="15"/>
  <c r="G240" i="15"/>
  <c r="H240" i="15"/>
  <c r="G230" i="15"/>
  <c r="H230" i="15"/>
  <c r="G244" i="15"/>
  <c r="H244" i="15"/>
  <c r="G232" i="15"/>
  <c r="H232" i="15"/>
  <c r="G239" i="15"/>
  <c r="H239" i="15"/>
  <c r="G246" i="15"/>
  <c r="H246" i="15"/>
  <c r="G248" i="15"/>
  <c r="H248" i="15"/>
  <c r="G228" i="15"/>
  <c r="H228" i="15"/>
  <c r="G234" i="15"/>
  <c r="H234" i="15"/>
  <c r="G241" i="15"/>
  <c r="H241" i="15"/>
  <c r="G250" i="15"/>
  <c r="H250" i="15"/>
  <c r="G236" i="15"/>
  <c r="H236" i="15"/>
  <c r="G238" i="15"/>
  <c r="H238" i="15"/>
  <c r="G243" i="15"/>
  <c r="H243" i="15"/>
  <c r="G251" i="15"/>
  <c r="H251" i="15"/>
  <c r="G231" i="15"/>
  <c r="H231" i="15"/>
  <c r="G237" i="15"/>
  <c r="H237" i="15"/>
  <c r="G242" i="15"/>
  <c r="H242" i="15"/>
  <c r="G247" i="15"/>
  <c r="H247" i="15"/>
  <c r="H229" i="15"/>
  <c r="G229" i="15"/>
  <c r="C229" i="15"/>
  <c r="C30" i="15"/>
  <c r="C29" i="15"/>
  <c r="C28" i="15"/>
  <c r="I28" i="16" l="1"/>
  <c r="I246" i="16"/>
  <c r="I234" i="16"/>
  <c r="I245" i="16"/>
  <c r="I237" i="16"/>
  <c r="I238" i="16"/>
  <c r="I231" i="16"/>
  <c r="I243" i="16"/>
  <c r="I232" i="16"/>
  <c r="I227" i="16"/>
  <c r="I224" i="16"/>
  <c r="I229" i="16"/>
  <c r="I236" i="16"/>
  <c r="I223" i="16"/>
  <c r="I26" i="16"/>
  <c r="I27" i="16"/>
  <c r="I228" i="16"/>
  <c r="I29" i="16"/>
  <c r="G28" i="15"/>
  <c r="H28" i="15"/>
  <c r="G29" i="15"/>
  <c r="H29" i="15"/>
  <c r="G30" i="15"/>
  <c r="H30" i="15"/>
  <c r="H27" i="15"/>
  <c r="G27" i="15"/>
  <c r="C27" i="15" l="1"/>
  <c r="Y166" i="15"/>
  <c r="X166" i="15"/>
  <c r="Y165" i="15"/>
  <c r="X165" i="15"/>
  <c r="Y164" i="15"/>
  <c r="X164" i="15"/>
  <c r="Y163" i="15"/>
  <c r="X163" i="15"/>
  <c r="Y162" i="15"/>
  <c r="X162" i="15"/>
  <c r="Y161" i="15"/>
  <c r="X161" i="15"/>
  <c r="Y160" i="15"/>
  <c r="X160" i="15"/>
  <c r="Y159" i="15"/>
  <c r="X159" i="15"/>
  <c r="Y187" i="15"/>
  <c r="X187" i="15"/>
  <c r="Y186" i="15"/>
  <c r="X186" i="15"/>
  <c r="Y185" i="15"/>
  <c r="X185" i="15"/>
  <c r="Y184" i="15"/>
  <c r="X184" i="15"/>
  <c r="Y200" i="15"/>
  <c r="X200" i="15"/>
  <c r="Y199" i="15"/>
  <c r="X199" i="15"/>
  <c r="Y211" i="15"/>
  <c r="X211" i="15"/>
  <c r="Y220" i="15"/>
  <c r="X220" i="15"/>
  <c r="X126" i="15"/>
  <c r="Y126" i="15"/>
  <c r="X127" i="15"/>
  <c r="Y127" i="15"/>
  <c r="X128" i="15"/>
  <c r="Y128" i="15"/>
  <c r="X129" i="15"/>
  <c r="Y129" i="15"/>
  <c r="X130" i="15"/>
  <c r="Y130" i="15"/>
  <c r="X131" i="15"/>
  <c r="Y131" i="15"/>
  <c r="X109" i="15"/>
  <c r="Y109" i="15"/>
  <c r="X108" i="15"/>
  <c r="Y108" i="15"/>
  <c r="X107" i="15"/>
  <c r="Y107" i="15"/>
  <c r="X106" i="15"/>
  <c r="Y106" i="15"/>
  <c r="X105" i="15"/>
  <c r="Y105" i="15"/>
  <c r="X104" i="15"/>
  <c r="Y104" i="15"/>
  <c r="X86" i="15"/>
  <c r="Y86" i="15"/>
  <c r="X85" i="15"/>
  <c r="Y85" i="15"/>
  <c r="X84" i="15"/>
  <c r="Y84" i="15"/>
  <c r="X83" i="15"/>
  <c r="Y83" i="15"/>
  <c r="X63" i="15"/>
  <c r="Y63" i="15"/>
  <c r="X62" i="15"/>
  <c r="Y62" i="15"/>
  <c r="X35" i="15"/>
  <c r="Y35" i="15"/>
  <c r="E139" i="15" l="1"/>
  <c r="F138" i="15"/>
  <c r="F139" i="15"/>
  <c r="D141" i="15"/>
  <c r="E138" i="15"/>
  <c r="E141" i="15"/>
  <c r="D138" i="15"/>
  <c r="I138" i="15" s="1"/>
  <c r="F141" i="15"/>
  <c r="J141" i="15" s="1"/>
  <c r="D140" i="15"/>
  <c r="E140" i="15"/>
  <c r="F140" i="15"/>
  <c r="D139" i="15"/>
  <c r="I139" i="15" s="1"/>
  <c r="D121" i="15"/>
  <c r="D120" i="15"/>
  <c r="E121" i="15"/>
  <c r="F118" i="15"/>
  <c r="D119" i="15"/>
  <c r="E120" i="15"/>
  <c r="F121" i="15"/>
  <c r="E118" i="15"/>
  <c r="E119" i="15"/>
  <c r="F120" i="15"/>
  <c r="J120" i="15" s="1"/>
  <c r="D118" i="15"/>
  <c r="I118" i="15" s="1"/>
  <c r="F119" i="15"/>
  <c r="J119" i="15" s="1"/>
  <c r="X12" i="15"/>
  <c r="Y12" i="15"/>
  <c r="X13" i="15"/>
  <c r="Y13" i="15"/>
  <c r="I141" i="15" l="1"/>
  <c r="J121" i="15"/>
  <c r="J140" i="15"/>
  <c r="J138" i="15"/>
  <c r="I119" i="15"/>
  <c r="I140" i="15"/>
  <c r="J139" i="15"/>
  <c r="J118" i="15"/>
  <c r="I120" i="15"/>
  <c r="I121" i="15"/>
  <c r="C230" i="14"/>
  <c r="C229" i="14"/>
  <c r="C225" i="14"/>
  <c r="C228" i="14"/>
  <c r="C135" i="14"/>
  <c r="C137" i="14"/>
  <c r="C136" i="14"/>
  <c r="G136" i="14"/>
  <c r="H136" i="14"/>
  <c r="G137" i="14"/>
  <c r="H137" i="14"/>
  <c r="G135" i="14"/>
  <c r="H135" i="14"/>
  <c r="H134" i="14"/>
  <c r="G134" i="14"/>
  <c r="C134" i="14"/>
  <c r="C236" i="14"/>
  <c r="C233" i="14"/>
  <c r="C218" i="14"/>
  <c r="C222" i="14"/>
  <c r="C237" i="14"/>
  <c r="C235" i="14"/>
  <c r="C223" i="14"/>
  <c r="C219" i="14"/>
  <c r="C239" i="14"/>
  <c r="C231" i="14"/>
  <c r="C217" i="14"/>
  <c r="C224" i="14"/>
  <c r="C117" i="14"/>
  <c r="C116" i="14"/>
  <c r="C115" i="14"/>
  <c r="G115" i="14"/>
  <c r="H115" i="14"/>
  <c r="G116" i="14"/>
  <c r="H116" i="14"/>
  <c r="G117" i="14"/>
  <c r="H117" i="14"/>
  <c r="H114" i="14"/>
  <c r="G114" i="14"/>
  <c r="C114" i="14"/>
  <c r="C95" i="14" l="1"/>
  <c r="C94" i="14"/>
  <c r="C93" i="14"/>
  <c r="G93" i="14"/>
  <c r="H93" i="14"/>
  <c r="G94" i="14"/>
  <c r="H94" i="14"/>
  <c r="G95" i="14"/>
  <c r="H95" i="14"/>
  <c r="H92" i="14"/>
  <c r="G92" i="14"/>
  <c r="C92" i="14" l="1"/>
  <c r="C72" i="14"/>
  <c r="C70" i="14"/>
  <c r="C71" i="14"/>
  <c r="G71" i="14"/>
  <c r="H71" i="14"/>
  <c r="G70" i="14"/>
  <c r="H70" i="14"/>
  <c r="G72" i="14"/>
  <c r="H72" i="14"/>
  <c r="H73" i="14"/>
  <c r="G73" i="14"/>
  <c r="C73" i="14"/>
  <c r="C238" i="14" l="1"/>
  <c r="C221" i="14"/>
  <c r="C227" i="14"/>
  <c r="C220" i="14"/>
  <c r="C234" i="14"/>
  <c r="C232" i="14"/>
  <c r="C226" i="14"/>
  <c r="G226" i="14"/>
  <c r="H226" i="14"/>
  <c r="G232" i="14"/>
  <c r="H232" i="14"/>
  <c r="G234" i="14"/>
  <c r="H234" i="14"/>
  <c r="G220" i="14"/>
  <c r="H220" i="14"/>
  <c r="G227" i="14"/>
  <c r="H227" i="14"/>
  <c r="G221" i="14"/>
  <c r="H221" i="14"/>
  <c r="G238" i="14"/>
  <c r="H238" i="14"/>
  <c r="G224" i="14"/>
  <c r="H224" i="14"/>
  <c r="G217" i="14"/>
  <c r="H217" i="14"/>
  <c r="G231" i="14"/>
  <c r="H231" i="14"/>
  <c r="G239" i="14"/>
  <c r="H239" i="14"/>
  <c r="G219" i="14"/>
  <c r="H219" i="14"/>
  <c r="G223" i="14"/>
  <c r="H223" i="14"/>
  <c r="G235" i="14"/>
  <c r="H235" i="14"/>
  <c r="G237" i="14"/>
  <c r="H237" i="14"/>
  <c r="G222" i="14"/>
  <c r="H222" i="14"/>
  <c r="G218" i="14"/>
  <c r="H218" i="14"/>
  <c r="G233" i="14"/>
  <c r="H233" i="14"/>
  <c r="G236" i="14"/>
  <c r="H236" i="14"/>
  <c r="G228" i="14"/>
  <c r="H228" i="14"/>
  <c r="G225" i="14"/>
  <c r="H225" i="14"/>
  <c r="G229" i="14"/>
  <c r="H229" i="14"/>
  <c r="G230" i="14"/>
  <c r="H230" i="14"/>
  <c r="H216" i="14"/>
  <c r="G216" i="14"/>
  <c r="C216" i="14"/>
  <c r="Y160" i="14"/>
  <c r="X160" i="14"/>
  <c r="Y159" i="14"/>
  <c r="X159" i="14"/>
  <c r="Y158" i="14"/>
  <c r="X158" i="14"/>
  <c r="Y157" i="14"/>
  <c r="X157" i="14"/>
  <c r="Y156" i="14"/>
  <c r="X156" i="14"/>
  <c r="Y155" i="14"/>
  <c r="X155" i="14"/>
  <c r="Y154" i="14"/>
  <c r="X154" i="14"/>
  <c r="Y153" i="14"/>
  <c r="X153" i="14"/>
  <c r="X199" i="14" l="1"/>
  <c r="Y199" i="14"/>
  <c r="X208" i="14"/>
  <c r="Y208" i="14"/>
  <c r="X192" i="14"/>
  <c r="Y192" i="14"/>
  <c r="X193" i="14"/>
  <c r="Y193" i="14"/>
  <c r="X174" i="14"/>
  <c r="Y174" i="14"/>
  <c r="X175" i="14"/>
  <c r="Y175" i="14"/>
  <c r="X176" i="14"/>
  <c r="Y176" i="14"/>
  <c r="X177" i="14"/>
  <c r="Y177" i="14"/>
  <c r="C51" i="14" l="1"/>
  <c r="C49" i="14"/>
  <c r="C48" i="14"/>
  <c r="C29" i="14"/>
  <c r="C26" i="14"/>
  <c r="C27" i="14"/>
  <c r="G48" i="14"/>
  <c r="H48" i="14"/>
  <c r="G49" i="14"/>
  <c r="H49" i="14"/>
  <c r="G51" i="14"/>
  <c r="H51" i="14"/>
  <c r="H50" i="14"/>
  <c r="G50" i="14"/>
  <c r="C50" i="14"/>
  <c r="G27" i="14"/>
  <c r="H27" i="14"/>
  <c r="G26" i="14"/>
  <c r="H26" i="14"/>
  <c r="G29" i="14"/>
  <c r="H29" i="14"/>
  <c r="C28" i="14"/>
  <c r="X122" i="14"/>
  <c r="Y122" i="14"/>
  <c r="X123" i="14"/>
  <c r="Y123" i="14"/>
  <c r="X124" i="14"/>
  <c r="Y124" i="14"/>
  <c r="X125" i="14"/>
  <c r="Y125" i="14"/>
  <c r="X126" i="14"/>
  <c r="Y126" i="14"/>
  <c r="X127" i="14"/>
  <c r="Y127" i="14"/>
  <c r="X101" i="14"/>
  <c r="Y101" i="14"/>
  <c r="X102" i="14"/>
  <c r="Y102" i="14"/>
  <c r="X103" i="14"/>
  <c r="Y103" i="14"/>
  <c r="X104" i="14"/>
  <c r="Y104" i="14"/>
  <c r="X105" i="14"/>
  <c r="Y105" i="14"/>
  <c r="X80" i="14"/>
  <c r="Y80" i="14"/>
  <c r="X81" i="14"/>
  <c r="Y81" i="14"/>
  <c r="X82" i="14"/>
  <c r="Y82" i="14"/>
  <c r="X83" i="14"/>
  <c r="Y83" i="14"/>
  <c r="Y79" i="14"/>
  <c r="X79" i="14"/>
  <c r="Y78" i="14"/>
  <c r="X78" i="14"/>
  <c r="X56" i="14"/>
  <c r="Y56" i="14"/>
  <c r="X57" i="14"/>
  <c r="Y57" i="14"/>
  <c r="X58" i="14"/>
  <c r="Y58" i="14"/>
  <c r="X59" i="14"/>
  <c r="Y59" i="14"/>
  <c r="X60" i="14"/>
  <c r="Y60" i="14"/>
  <c r="X61" i="14"/>
  <c r="Y61" i="14"/>
  <c r="X34" i="14"/>
  <c r="Y34" i="14"/>
  <c r="X35" i="14"/>
  <c r="Y35" i="14"/>
  <c r="X36" i="14"/>
  <c r="Y36" i="14"/>
  <c r="X37" i="14"/>
  <c r="Y37" i="14"/>
  <c r="X38" i="14"/>
  <c r="Y38" i="14"/>
  <c r="H28" i="14"/>
  <c r="G28" i="14"/>
  <c r="C70" i="13"/>
  <c r="C69" i="13"/>
  <c r="C67" i="13"/>
  <c r="D67" i="13"/>
  <c r="I67" i="13" s="1"/>
  <c r="E67" i="13"/>
  <c r="F67" i="13"/>
  <c r="J67" i="13" s="1"/>
  <c r="G67" i="13"/>
  <c r="H67" i="13"/>
  <c r="D69" i="13"/>
  <c r="I69" i="13" s="1"/>
  <c r="E69" i="13"/>
  <c r="F69" i="13"/>
  <c r="J69" i="13" s="1"/>
  <c r="G69" i="13"/>
  <c r="H69" i="13"/>
  <c r="D70" i="13"/>
  <c r="E70" i="13"/>
  <c r="F70" i="13"/>
  <c r="G70" i="13"/>
  <c r="H70" i="13"/>
  <c r="H68" i="13"/>
  <c r="G68" i="13"/>
  <c r="F68" i="13"/>
  <c r="E68" i="13"/>
  <c r="D68" i="13"/>
  <c r="C68" i="13"/>
  <c r="C47" i="13"/>
  <c r="C48" i="13"/>
  <c r="C46" i="13"/>
  <c r="D46" i="13"/>
  <c r="I46" i="13" s="1"/>
  <c r="E46" i="13"/>
  <c r="F46" i="13"/>
  <c r="J46" i="13" s="1"/>
  <c r="G46" i="13"/>
  <c r="H46" i="13"/>
  <c r="D48" i="13"/>
  <c r="E48" i="13"/>
  <c r="F48" i="13"/>
  <c r="G48" i="13"/>
  <c r="H48" i="13"/>
  <c r="D47" i="13"/>
  <c r="E47" i="13"/>
  <c r="F47" i="13"/>
  <c r="G47" i="13"/>
  <c r="H47" i="13"/>
  <c r="H45" i="13"/>
  <c r="G45" i="13"/>
  <c r="F45" i="13"/>
  <c r="E45" i="13"/>
  <c r="D45" i="13"/>
  <c r="C45" i="13"/>
  <c r="H192" i="13"/>
  <c r="G192" i="13"/>
  <c r="F192" i="13"/>
  <c r="J192" i="13" s="1"/>
  <c r="E192" i="13"/>
  <c r="D192" i="13"/>
  <c r="I192" i="13" s="1"/>
  <c r="C192" i="13"/>
  <c r="H177" i="13"/>
  <c r="G177" i="13"/>
  <c r="F177" i="13"/>
  <c r="J177" i="13" s="1"/>
  <c r="E177" i="13"/>
  <c r="D177" i="13"/>
  <c r="I177" i="13" s="1"/>
  <c r="C177" i="13"/>
  <c r="H162" i="13"/>
  <c r="G162" i="13"/>
  <c r="F162" i="13"/>
  <c r="J162" i="13" s="1"/>
  <c r="E162" i="13"/>
  <c r="D162" i="13"/>
  <c r="I162" i="13" s="1"/>
  <c r="C162" i="13"/>
  <c r="H148" i="13"/>
  <c r="G148" i="13"/>
  <c r="F148" i="13"/>
  <c r="J148" i="13" s="1"/>
  <c r="E148" i="13"/>
  <c r="D148" i="13"/>
  <c r="I148" i="13" s="1"/>
  <c r="C148" i="13"/>
  <c r="H132" i="13"/>
  <c r="G132" i="13"/>
  <c r="F132" i="13"/>
  <c r="J132" i="13" s="1"/>
  <c r="E132" i="13"/>
  <c r="D132" i="13"/>
  <c r="I132" i="13" s="1"/>
  <c r="C132" i="13"/>
  <c r="H110" i="13"/>
  <c r="G110" i="13"/>
  <c r="F110" i="13"/>
  <c r="J110" i="13" s="1"/>
  <c r="E110" i="13"/>
  <c r="D110" i="13"/>
  <c r="I110" i="13" s="1"/>
  <c r="C110" i="13"/>
  <c r="H89" i="13"/>
  <c r="G89" i="13"/>
  <c r="F89" i="13"/>
  <c r="J89" i="13" s="1"/>
  <c r="E89" i="13"/>
  <c r="D89" i="13"/>
  <c r="I89" i="13" s="1"/>
  <c r="C89" i="13"/>
  <c r="C25" i="13"/>
  <c r="C26" i="13"/>
  <c r="C23" i="13"/>
  <c r="D23" i="13"/>
  <c r="E23" i="13"/>
  <c r="F23" i="13"/>
  <c r="G23" i="13"/>
  <c r="H23" i="13"/>
  <c r="D26" i="13"/>
  <c r="I26" i="13" s="1"/>
  <c r="E26" i="13"/>
  <c r="F26" i="13"/>
  <c r="J26" i="13" s="1"/>
  <c r="G26" i="13"/>
  <c r="H26" i="13"/>
  <c r="D25" i="13"/>
  <c r="E25" i="13"/>
  <c r="F25" i="13"/>
  <c r="G25" i="13"/>
  <c r="H25" i="13"/>
  <c r="H24" i="13"/>
  <c r="G24" i="13"/>
  <c r="F24" i="13"/>
  <c r="E24" i="13"/>
  <c r="D24" i="13"/>
  <c r="C24" i="13"/>
  <c r="D93" i="14" l="1"/>
  <c r="I93" i="14" s="1"/>
  <c r="E93" i="14"/>
  <c r="F92" i="14"/>
  <c r="F94" i="14"/>
  <c r="F93" i="14"/>
  <c r="J93" i="14" s="1"/>
  <c r="D95" i="14"/>
  <c r="E92" i="14"/>
  <c r="E95" i="14"/>
  <c r="D92" i="14"/>
  <c r="F95" i="14"/>
  <c r="D94" i="14"/>
  <c r="E94" i="14"/>
  <c r="E136" i="14"/>
  <c r="F134" i="14"/>
  <c r="F136" i="14"/>
  <c r="J136" i="14" s="1"/>
  <c r="D135" i="14"/>
  <c r="I135" i="14" s="1"/>
  <c r="E134" i="14"/>
  <c r="E135" i="14"/>
  <c r="D134" i="14"/>
  <c r="F135" i="14"/>
  <c r="J135" i="14" s="1"/>
  <c r="D137" i="14"/>
  <c r="E137" i="14"/>
  <c r="D136" i="14"/>
  <c r="I136" i="14" s="1"/>
  <c r="F137" i="14"/>
  <c r="J137" i="14" s="1"/>
  <c r="E71" i="14"/>
  <c r="F73" i="14"/>
  <c r="F71" i="14"/>
  <c r="J71" i="14" s="1"/>
  <c r="D72" i="14"/>
  <c r="E73" i="14"/>
  <c r="E72" i="14"/>
  <c r="D73" i="14"/>
  <c r="F72" i="14"/>
  <c r="J72" i="14" s="1"/>
  <c r="D70" i="14"/>
  <c r="F70" i="14"/>
  <c r="E70" i="14"/>
  <c r="D71" i="14"/>
  <c r="I71" i="14" s="1"/>
  <c r="I47" i="13"/>
  <c r="J48" i="13"/>
  <c r="I48" i="13"/>
  <c r="J47" i="13"/>
  <c r="I70" i="13"/>
  <c r="J70" i="13"/>
  <c r="J68" i="13"/>
  <c r="I68" i="13"/>
  <c r="I25" i="13"/>
  <c r="J23" i="13"/>
  <c r="I23" i="13"/>
  <c r="J25" i="13"/>
  <c r="J45" i="13"/>
  <c r="I45" i="13"/>
  <c r="J24" i="13"/>
  <c r="I24" i="13"/>
  <c r="X12" i="14"/>
  <c r="Y12" i="14"/>
  <c r="X13" i="14"/>
  <c r="Y13" i="14"/>
  <c r="I95" i="14" l="1"/>
  <c r="I137" i="14"/>
  <c r="I72" i="14"/>
  <c r="J94" i="14"/>
  <c r="I94" i="14"/>
  <c r="J70" i="14"/>
  <c r="J95" i="14"/>
  <c r="I70" i="14"/>
  <c r="G226" i="13" l="1"/>
  <c r="H226" i="13"/>
  <c r="G243" i="13"/>
  <c r="H243" i="13"/>
  <c r="G240" i="13"/>
  <c r="H240" i="13"/>
  <c r="G225" i="13"/>
  <c r="H225" i="13"/>
  <c r="G234" i="13"/>
  <c r="H234" i="13"/>
  <c r="G245" i="13"/>
  <c r="H245" i="13"/>
  <c r="G231" i="13"/>
  <c r="H231" i="13"/>
  <c r="G235" i="13"/>
  <c r="H235" i="13"/>
  <c r="G233" i="13"/>
  <c r="H233" i="13"/>
  <c r="G237" i="13"/>
  <c r="H237" i="13"/>
  <c r="G247" i="13"/>
  <c r="H247" i="13"/>
  <c r="G228" i="13"/>
  <c r="H228" i="13"/>
  <c r="G229" i="13"/>
  <c r="H229" i="13"/>
  <c r="G242" i="13"/>
  <c r="H242" i="13"/>
  <c r="G244" i="13"/>
  <c r="H244" i="13"/>
  <c r="G236" i="13"/>
  <c r="H236" i="13"/>
  <c r="G241" i="13"/>
  <c r="H241" i="13"/>
  <c r="G239" i="13"/>
  <c r="H239" i="13"/>
  <c r="G232" i="13"/>
  <c r="H232" i="13"/>
  <c r="G227" i="13"/>
  <c r="H227" i="13"/>
  <c r="G230" i="13"/>
  <c r="H230" i="13"/>
  <c r="G238" i="13"/>
  <c r="H238" i="13"/>
  <c r="G246" i="13"/>
  <c r="H246" i="13"/>
  <c r="H224" i="13"/>
  <c r="G224" i="13"/>
  <c r="F224" i="13"/>
  <c r="D224" i="13"/>
  <c r="C246" i="13"/>
  <c r="C238" i="13"/>
  <c r="C230" i="13"/>
  <c r="C227" i="13"/>
  <c r="C232" i="13"/>
  <c r="C239" i="13"/>
  <c r="C241" i="13"/>
  <c r="C236" i="13"/>
  <c r="C244" i="13"/>
  <c r="C242" i="13"/>
  <c r="C229" i="13"/>
  <c r="C228" i="13"/>
  <c r="C247" i="13"/>
  <c r="C237" i="13"/>
  <c r="C233" i="13"/>
  <c r="C235" i="13"/>
  <c r="C231" i="13"/>
  <c r="C245" i="13"/>
  <c r="C234" i="13"/>
  <c r="C225" i="13"/>
  <c r="C240" i="13"/>
  <c r="C243" i="13"/>
  <c r="C226" i="13"/>
  <c r="C224" i="13"/>
  <c r="Y216" i="13"/>
  <c r="X216" i="13"/>
  <c r="Y208" i="13"/>
  <c r="X208" i="13"/>
  <c r="X199" i="13"/>
  <c r="Y199" i="13"/>
  <c r="X200" i="13"/>
  <c r="D226" i="13" s="1"/>
  <c r="Y200" i="13"/>
  <c r="D246" i="13" s="1"/>
  <c r="Y186" i="13"/>
  <c r="X186" i="13"/>
  <c r="Y185" i="13"/>
  <c r="X185" i="13"/>
  <c r="Y184" i="13"/>
  <c r="X184" i="13"/>
  <c r="X170" i="13"/>
  <c r="Y170" i="13"/>
  <c r="Y157" i="13"/>
  <c r="X157" i="13"/>
  <c r="Y156" i="13"/>
  <c r="X156" i="13"/>
  <c r="Y155" i="13"/>
  <c r="X155" i="13"/>
  <c r="X141" i="13"/>
  <c r="Y141" i="13"/>
  <c r="Y123" i="13"/>
  <c r="X123" i="13"/>
  <c r="Y122" i="13"/>
  <c r="X122" i="13"/>
  <c r="Y121" i="13"/>
  <c r="X121" i="13"/>
  <c r="Y120" i="13"/>
  <c r="X120" i="13"/>
  <c r="Y119" i="13"/>
  <c r="X119" i="13"/>
  <c r="Y118" i="13"/>
  <c r="X118" i="13"/>
  <c r="X97" i="13"/>
  <c r="Y97" i="13"/>
  <c r="X98" i="13"/>
  <c r="Y98" i="13"/>
  <c r="X99" i="13"/>
  <c r="Y99" i="13"/>
  <c r="X100" i="13"/>
  <c r="Y100" i="13"/>
  <c r="X101" i="13"/>
  <c r="Y101" i="13"/>
  <c r="X102" i="13"/>
  <c r="Y102" i="13"/>
  <c r="X76" i="13"/>
  <c r="Y76" i="13"/>
  <c r="X77" i="13"/>
  <c r="Y77" i="13"/>
  <c r="X78" i="13"/>
  <c r="Y78" i="13"/>
  <c r="X79" i="13"/>
  <c r="Y79" i="13"/>
  <c r="X80" i="13"/>
  <c r="Y80" i="13"/>
  <c r="X54" i="13"/>
  <c r="Y54" i="13"/>
  <c r="X55" i="13"/>
  <c r="Y55" i="13"/>
  <c r="X56" i="13"/>
  <c r="Y56" i="13"/>
  <c r="X57" i="13"/>
  <c r="Y57" i="13"/>
  <c r="X58" i="13"/>
  <c r="Y58" i="13"/>
  <c r="X31" i="13"/>
  <c r="Y31" i="13"/>
  <c r="X32" i="13"/>
  <c r="Y32" i="13"/>
  <c r="X33" i="13"/>
  <c r="Y33" i="13"/>
  <c r="X34" i="13"/>
  <c r="Y34" i="13"/>
  <c r="X35" i="13"/>
  <c r="Y35" i="13"/>
  <c r="X36" i="13"/>
  <c r="Y36" i="13"/>
  <c r="X12" i="13"/>
  <c r="Y12" i="13"/>
  <c r="X13" i="13"/>
  <c r="Y13" i="13"/>
  <c r="X14" i="13"/>
  <c r="Y14" i="13"/>
  <c r="X15" i="13"/>
  <c r="Y15" i="13"/>
  <c r="F238" i="13" l="1"/>
  <c r="E232" i="13"/>
  <c r="E236" i="13"/>
  <c r="E229" i="13"/>
  <c r="E237" i="13"/>
  <c r="D231" i="13"/>
  <c r="D225" i="13"/>
  <c r="F243" i="13"/>
  <c r="E238" i="13"/>
  <c r="D232" i="13"/>
  <c r="F241" i="13"/>
  <c r="D236" i="13"/>
  <c r="F242" i="13"/>
  <c r="D229" i="13"/>
  <c r="D237" i="13"/>
  <c r="F235" i="13"/>
  <c r="F234" i="13"/>
  <c r="E243" i="13"/>
  <c r="D238" i="13"/>
  <c r="I238" i="13" s="1"/>
  <c r="F227" i="13"/>
  <c r="E241" i="13"/>
  <c r="E242" i="13"/>
  <c r="F247" i="13"/>
  <c r="E235" i="13"/>
  <c r="E234" i="13"/>
  <c r="D243" i="13"/>
  <c r="F246" i="13"/>
  <c r="E227" i="13"/>
  <c r="D241" i="13"/>
  <c r="I241" i="13" s="1"/>
  <c r="D242" i="13"/>
  <c r="E247" i="13"/>
  <c r="D235" i="13"/>
  <c r="F245" i="13"/>
  <c r="D234" i="13"/>
  <c r="I234" i="13" s="1"/>
  <c r="F240" i="13"/>
  <c r="E224" i="13"/>
  <c r="E246" i="13"/>
  <c r="I246" i="13" s="1"/>
  <c r="D227" i="13"/>
  <c r="I227" i="13" s="1"/>
  <c r="F239" i="13"/>
  <c r="F244" i="13"/>
  <c r="D247" i="13"/>
  <c r="F233" i="13"/>
  <c r="E245" i="13"/>
  <c r="E240" i="13"/>
  <c r="F230" i="13"/>
  <c r="E239" i="13"/>
  <c r="E244" i="13"/>
  <c r="F228" i="13"/>
  <c r="E233" i="13"/>
  <c r="D245" i="13"/>
  <c r="D240" i="13"/>
  <c r="F226" i="13"/>
  <c r="E230" i="13"/>
  <c r="D239" i="13"/>
  <c r="D244" i="13"/>
  <c r="E228" i="13"/>
  <c r="D233" i="13"/>
  <c r="F231" i="13"/>
  <c r="F225" i="13"/>
  <c r="E226" i="13"/>
  <c r="I226" i="13" s="1"/>
  <c r="D230" i="13"/>
  <c r="I230" i="13" s="1"/>
  <c r="F232" i="13"/>
  <c r="J232" i="13" s="1"/>
  <c r="F236" i="13"/>
  <c r="J236" i="13" s="1"/>
  <c r="F229" i="13"/>
  <c r="D228" i="13"/>
  <c r="F237" i="13"/>
  <c r="J237" i="13" s="1"/>
  <c r="E231" i="13"/>
  <c r="J231" i="13" s="1"/>
  <c r="E225" i="13"/>
  <c r="J225" i="13" s="1"/>
  <c r="J241" i="13"/>
  <c r="I236" i="13"/>
  <c r="I244" i="13"/>
  <c r="I240" i="13"/>
  <c r="I237" i="13"/>
  <c r="I242" i="13"/>
  <c r="I247" i="13"/>
  <c r="J224" i="13"/>
  <c r="I224" i="13"/>
  <c r="Y82" i="15"/>
  <c r="X82" i="15"/>
  <c r="Y81" i="15"/>
  <c r="X81" i="15"/>
  <c r="Y61" i="15"/>
  <c r="X61" i="15"/>
  <c r="Y60" i="15"/>
  <c r="X60" i="15"/>
  <c r="Y59" i="15"/>
  <c r="X59" i="15"/>
  <c r="Y58" i="15"/>
  <c r="X58" i="15"/>
  <c r="Y40" i="15"/>
  <c r="X40" i="15"/>
  <c r="Y39" i="15"/>
  <c r="X39" i="15"/>
  <c r="Y38" i="15"/>
  <c r="X38" i="15"/>
  <c r="Y37" i="15"/>
  <c r="X37" i="15"/>
  <c r="Y36" i="15"/>
  <c r="X36" i="15"/>
  <c r="Y17" i="15"/>
  <c r="X17" i="15"/>
  <c r="Y16" i="15"/>
  <c r="X16" i="15"/>
  <c r="Y15" i="15"/>
  <c r="X15" i="15"/>
  <c r="Y14" i="15"/>
  <c r="X14" i="15"/>
  <c r="Y100" i="14"/>
  <c r="X100" i="14"/>
  <c r="Y39" i="14"/>
  <c r="X39" i="14"/>
  <c r="Y17" i="14"/>
  <c r="X17" i="14"/>
  <c r="Y16" i="14"/>
  <c r="X16" i="14"/>
  <c r="Y15" i="14"/>
  <c r="X15" i="14"/>
  <c r="Y14" i="14"/>
  <c r="X14" i="14"/>
  <c r="Y171" i="13"/>
  <c r="X171" i="13"/>
  <c r="Y169" i="13"/>
  <c r="X169" i="13"/>
  <c r="Y142" i="13"/>
  <c r="X142" i="13"/>
  <c r="Y140" i="13"/>
  <c r="X140" i="13"/>
  <c r="Y75" i="13"/>
  <c r="X75" i="13"/>
  <c r="Y53" i="13"/>
  <c r="X53" i="13"/>
  <c r="Y17" i="13"/>
  <c r="X17" i="13"/>
  <c r="Y16" i="13"/>
  <c r="X16" i="13"/>
  <c r="G158" i="12"/>
  <c r="H158" i="12"/>
  <c r="G170" i="12"/>
  <c r="H170" i="12"/>
  <c r="G156" i="12"/>
  <c r="H156" i="12"/>
  <c r="G161" i="12"/>
  <c r="H161" i="12"/>
  <c r="G160" i="12"/>
  <c r="H160" i="12"/>
  <c r="G165" i="12"/>
  <c r="H165" i="12"/>
  <c r="G171" i="12"/>
  <c r="H171" i="12"/>
  <c r="G166" i="12"/>
  <c r="H166" i="12"/>
  <c r="G162" i="12"/>
  <c r="H162" i="12"/>
  <c r="G169" i="12"/>
  <c r="H169" i="12"/>
  <c r="G157" i="12"/>
  <c r="H157" i="12"/>
  <c r="G163" i="12"/>
  <c r="H163" i="12"/>
  <c r="G164" i="12"/>
  <c r="H164" i="12"/>
  <c r="G168" i="12"/>
  <c r="H168" i="12"/>
  <c r="G159" i="12"/>
  <c r="H159" i="12"/>
  <c r="H167" i="12"/>
  <c r="G167" i="12"/>
  <c r="C159" i="12"/>
  <c r="C168" i="12"/>
  <c r="C164" i="12"/>
  <c r="C163" i="12"/>
  <c r="C157" i="12"/>
  <c r="C169" i="12"/>
  <c r="C162" i="12"/>
  <c r="C166" i="12"/>
  <c r="C171" i="12"/>
  <c r="C165" i="12"/>
  <c r="C160" i="12"/>
  <c r="C161" i="12"/>
  <c r="C156" i="12"/>
  <c r="C170" i="12"/>
  <c r="C158" i="12"/>
  <c r="D233" i="15" l="1"/>
  <c r="F247" i="15"/>
  <c r="F231" i="15"/>
  <c r="E241" i="15"/>
  <c r="E248" i="15"/>
  <c r="D240" i="15"/>
  <c r="D245" i="15"/>
  <c r="F229" i="15"/>
  <c r="E243" i="15"/>
  <c r="D29" i="15"/>
  <c r="E30" i="15"/>
  <c r="E235" i="15"/>
  <c r="E233" i="15"/>
  <c r="D242" i="15"/>
  <c r="F238" i="15"/>
  <c r="F241" i="15"/>
  <c r="J241" i="15" s="1"/>
  <c r="E232" i="15"/>
  <c r="E240" i="15"/>
  <c r="D228" i="15"/>
  <c r="F237" i="15"/>
  <c r="E29" i="15"/>
  <c r="F30" i="15"/>
  <c r="J30" i="15" s="1"/>
  <c r="F244" i="15"/>
  <c r="F235" i="15"/>
  <c r="J235" i="15" s="1"/>
  <c r="E247" i="15"/>
  <c r="D251" i="15"/>
  <c r="D236" i="15"/>
  <c r="F248" i="15"/>
  <c r="J248" i="15" s="1"/>
  <c r="F232" i="15"/>
  <c r="J232" i="15" s="1"/>
  <c r="E245" i="15"/>
  <c r="D247" i="15"/>
  <c r="F27" i="15"/>
  <c r="D239" i="15"/>
  <c r="D230" i="15"/>
  <c r="F233" i="15"/>
  <c r="E242" i="15"/>
  <c r="E251" i="15"/>
  <c r="D234" i="15"/>
  <c r="D246" i="15"/>
  <c r="F240" i="15"/>
  <c r="J240" i="15" s="1"/>
  <c r="E229" i="15"/>
  <c r="F29" i="15"/>
  <c r="J29" i="15" s="1"/>
  <c r="E228" i="15"/>
  <c r="E239" i="15"/>
  <c r="D249" i="15"/>
  <c r="F243" i="15"/>
  <c r="J243" i="15" s="1"/>
  <c r="F242" i="15"/>
  <c r="J242" i="15" s="1"/>
  <c r="E236" i="15"/>
  <c r="E234" i="15"/>
  <c r="D244" i="15"/>
  <c r="D231" i="15"/>
  <c r="D28" i="15"/>
  <c r="D27" i="15"/>
  <c r="F250" i="15"/>
  <c r="F228" i="15"/>
  <c r="J228" i="15" s="1"/>
  <c r="E230" i="15"/>
  <c r="E249" i="15"/>
  <c r="F246" i="15"/>
  <c r="F251" i="15"/>
  <c r="F236" i="15"/>
  <c r="E246" i="15"/>
  <c r="F245" i="15"/>
  <c r="J245" i="15" s="1"/>
  <c r="E28" i="15"/>
  <c r="E27" i="15"/>
  <c r="D238" i="15"/>
  <c r="D241" i="15"/>
  <c r="I241" i="15" s="1"/>
  <c r="F239" i="15"/>
  <c r="J239" i="15" s="1"/>
  <c r="F230" i="15"/>
  <c r="D229" i="15"/>
  <c r="I229" i="15" s="1"/>
  <c r="D237" i="15"/>
  <c r="D243" i="15"/>
  <c r="I243" i="15" s="1"/>
  <c r="F234" i="15"/>
  <c r="J234" i="15" s="1"/>
  <c r="D235" i="15"/>
  <c r="I235" i="15" s="1"/>
  <c r="F28" i="15"/>
  <c r="J28" i="15" s="1"/>
  <c r="E231" i="15"/>
  <c r="E238" i="15"/>
  <c r="D248" i="15"/>
  <c r="I248" i="15" s="1"/>
  <c r="D232" i="15"/>
  <c r="I232" i="15" s="1"/>
  <c r="F249" i="15"/>
  <c r="J249" i="15" s="1"/>
  <c r="E244" i="15"/>
  <c r="E237" i="15"/>
  <c r="D250" i="15"/>
  <c r="E250" i="15"/>
  <c r="D30" i="15"/>
  <c r="I30" i="15" s="1"/>
  <c r="E75" i="15"/>
  <c r="D74" i="15"/>
  <c r="I74" i="15" s="1"/>
  <c r="F75" i="15"/>
  <c r="J75" i="15" s="1"/>
  <c r="E74" i="15"/>
  <c r="F74" i="15"/>
  <c r="J74" i="15" s="1"/>
  <c r="F73" i="15"/>
  <c r="D76" i="15"/>
  <c r="I76" i="15" s="1"/>
  <c r="E73" i="15"/>
  <c r="E76" i="15"/>
  <c r="D73" i="15"/>
  <c r="D75" i="15"/>
  <c r="I75" i="15" s="1"/>
  <c r="F76" i="15"/>
  <c r="J76" i="15" s="1"/>
  <c r="E99" i="15"/>
  <c r="D96" i="15"/>
  <c r="F99" i="15"/>
  <c r="D98" i="15"/>
  <c r="I98" i="15" s="1"/>
  <c r="E98" i="15"/>
  <c r="F98" i="15"/>
  <c r="J98" i="15" s="1"/>
  <c r="D97" i="15"/>
  <c r="I97" i="15" s="1"/>
  <c r="E97" i="15"/>
  <c r="F96" i="15"/>
  <c r="F97" i="15"/>
  <c r="D99" i="15"/>
  <c r="I99" i="15" s="1"/>
  <c r="E96" i="15"/>
  <c r="D52" i="15"/>
  <c r="E50" i="15"/>
  <c r="E52" i="15"/>
  <c r="E53" i="15"/>
  <c r="D51" i="15"/>
  <c r="I51" i="15" s="1"/>
  <c r="D50" i="15"/>
  <c r="F52" i="15"/>
  <c r="J52" i="15" s="1"/>
  <c r="F53" i="15"/>
  <c r="J53" i="15" s="1"/>
  <c r="E51" i="15"/>
  <c r="F51" i="15"/>
  <c r="J51" i="15" s="1"/>
  <c r="F50" i="15"/>
  <c r="J50" i="15" s="1"/>
  <c r="D53" i="15"/>
  <c r="I53" i="15" s="1"/>
  <c r="E228" i="14"/>
  <c r="D235" i="14"/>
  <c r="F217" i="14"/>
  <c r="F221" i="14"/>
  <c r="F234" i="14"/>
  <c r="E237" i="14"/>
  <c r="E225" i="14"/>
  <c r="E233" i="14"/>
  <c r="F233" i="14"/>
  <c r="D226" i="14"/>
  <c r="F230" i="14"/>
  <c r="E218" i="14"/>
  <c r="D239" i="14"/>
  <c r="D224" i="14"/>
  <c r="D227" i="14"/>
  <c r="D232" i="14"/>
  <c r="F216" i="14"/>
  <c r="F225" i="14"/>
  <c r="J225" i="14" s="1"/>
  <c r="E220" i="14"/>
  <c r="D219" i="14"/>
  <c r="F228" i="14"/>
  <c r="J228" i="14" s="1"/>
  <c r="E235" i="14"/>
  <c r="E239" i="14"/>
  <c r="E224" i="14"/>
  <c r="E227" i="14"/>
  <c r="E232" i="14"/>
  <c r="D230" i="14"/>
  <c r="F238" i="14"/>
  <c r="E226" i="14"/>
  <c r="D229" i="14"/>
  <c r="F218" i="14"/>
  <c r="J218" i="14" s="1"/>
  <c r="F235" i="14"/>
  <c r="J235" i="14" s="1"/>
  <c r="F239" i="14"/>
  <c r="J239" i="14" s="1"/>
  <c r="F224" i="14"/>
  <c r="J224" i="14" s="1"/>
  <c r="F227" i="14"/>
  <c r="E216" i="14"/>
  <c r="D217" i="14"/>
  <c r="F220" i="14"/>
  <c r="E230" i="14"/>
  <c r="D236" i="14"/>
  <c r="D222" i="14"/>
  <c r="D223" i="14"/>
  <c r="D231" i="14"/>
  <c r="D238" i="14"/>
  <c r="D228" i="14"/>
  <c r="I228" i="14" s="1"/>
  <c r="E219" i="14"/>
  <c r="D221" i="14"/>
  <c r="F226" i="14"/>
  <c r="J226" i="14" s="1"/>
  <c r="E229" i="14"/>
  <c r="E236" i="14"/>
  <c r="E222" i="14"/>
  <c r="E223" i="14"/>
  <c r="E231" i="14"/>
  <c r="F232" i="14"/>
  <c r="J232" i="14" s="1"/>
  <c r="F237" i="14"/>
  <c r="J237" i="14" s="1"/>
  <c r="E217" i="14"/>
  <c r="D234" i="14"/>
  <c r="D216" i="14"/>
  <c r="I216" i="14" s="1"/>
  <c r="F229" i="14"/>
  <c r="J229" i="14" s="1"/>
  <c r="F236" i="14"/>
  <c r="J236" i="14" s="1"/>
  <c r="F222" i="14"/>
  <c r="J222" i="14" s="1"/>
  <c r="F223" i="14"/>
  <c r="J223" i="14" s="1"/>
  <c r="D220" i="14"/>
  <c r="D218" i="14"/>
  <c r="I218" i="14" s="1"/>
  <c r="F219" i="14"/>
  <c r="J219" i="14" s="1"/>
  <c r="E221" i="14"/>
  <c r="E234" i="14"/>
  <c r="F231" i="14"/>
  <c r="J231" i="14" s="1"/>
  <c r="D225" i="14"/>
  <c r="I225" i="14" s="1"/>
  <c r="D233" i="14"/>
  <c r="D237" i="14"/>
  <c r="I237" i="14" s="1"/>
  <c r="E238" i="14"/>
  <c r="D116" i="14"/>
  <c r="E116" i="14"/>
  <c r="F116" i="14"/>
  <c r="D115" i="14"/>
  <c r="F117" i="14"/>
  <c r="E115" i="14"/>
  <c r="F114" i="14"/>
  <c r="F115" i="14"/>
  <c r="D117" i="14"/>
  <c r="I117" i="14" s="1"/>
  <c r="E114" i="14"/>
  <c r="E117" i="14"/>
  <c r="D114" i="14"/>
  <c r="F26" i="14"/>
  <c r="E29" i="14"/>
  <c r="D27" i="14"/>
  <c r="F29" i="14"/>
  <c r="J29" i="14" s="1"/>
  <c r="E26" i="14"/>
  <c r="E27" i="14"/>
  <c r="D26" i="14"/>
  <c r="F27" i="14"/>
  <c r="D29" i="14"/>
  <c r="I29" i="14" s="1"/>
  <c r="F51" i="14"/>
  <c r="D48" i="14"/>
  <c r="D50" i="14"/>
  <c r="F49" i="14"/>
  <c r="E51" i="14"/>
  <c r="E49" i="14"/>
  <c r="E50" i="14"/>
  <c r="I50" i="14" s="1"/>
  <c r="D49" i="14"/>
  <c r="D51" i="14"/>
  <c r="E48" i="14"/>
  <c r="F48" i="14"/>
  <c r="F50" i="14"/>
  <c r="E28" i="14"/>
  <c r="D28" i="14"/>
  <c r="F28" i="14"/>
  <c r="J228" i="13"/>
  <c r="J244" i="13"/>
  <c r="I228" i="13"/>
  <c r="J229" i="13"/>
  <c r="I239" i="13"/>
  <c r="I229" i="13"/>
  <c r="I231" i="13"/>
  <c r="J230" i="13"/>
  <c r="J242" i="13"/>
  <c r="J226" i="13"/>
  <c r="J227" i="13"/>
  <c r="J240" i="13"/>
  <c r="J246" i="13"/>
  <c r="I245" i="13"/>
  <c r="J233" i="13"/>
  <c r="I243" i="13"/>
  <c r="I232" i="13"/>
  <c r="I233" i="13"/>
  <c r="J245" i="13"/>
  <c r="J234" i="13"/>
  <c r="J238" i="13"/>
  <c r="I235" i="13"/>
  <c r="J235" i="13"/>
  <c r="J243" i="13"/>
  <c r="J239" i="13"/>
  <c r="J247" i="13"/>
  <c r="I225" i="13"/>
  <c r="C167" i="12"/>
  <c r="Y122" i="12"/>
  <c r="X122" i="12"/>
  <c r="Y121" i="12"/>
  <c r="X121" i="12"/>
  <c r="Y120" i="12"/>
  <c r="X120" i="12"/>
  <c r="Y119" i="12"/>
  <c r="X119" i="12"/>
  <c r="Y118" i="12"/>
  <c r="X118" i="12"/>
  <c r="Y117" i="12"/>
  <c r="X117" i="12"/>
  <c r="X96" i="12"/>
  <c r="Y96" i="12"/>
  <c r="X97" i="12"/>
  <c r="Y97" i="12"/>
  <c r="X98" i="12"/>
  <c r="Y98" i="12"/>
  <c r="X99" i="12"/>
  <c r="Y99" i="12"/>
  <c r="X100" i="12"/>
  <c r="Y100" i="12"/>
  <c r="X101" i="12"/>
  <c r="Y101" i="12"/>
  <c r="X76" i="12"/>
  <c r="Y76" i="12"/>
  <c r="X77" i="12"/>
  <c r="Y77" i="12"/>
  <c r="X78" i="12"/>
  <c r="Y78" i="12"/>
  <c r="X79" i="12"/>
  <c r="Y79" i="12"/>
  <c r="X80" i="12"/>
  <c r="Y80" i="12"/>
  <c r="Y59" i="12"/>
  <c r="X59" i="12"/>
  <c r="Y58" i="12"/>
  <c r="X58" i="12"/>
  <c r="Y57" i="12"/>
  <c r="X57" i="12"/>
  <c r="Y56" i="12"/>
  <c r="X56" i="12"/>
  <c r="Y55" i="12"/>
  <c r="X55" i="12"/>
  <c r="Y54" i="12"/>
  <c r="X54" i="12"/>
  <c r="X34" i="12"/>
  <c r="Y34" i="12"/>
  <c r="X35" i="12"/>
  <c r="Y35" i="12"/>
  <c r="X36" i="12"/>
  <c r="Y36" i="12"/>
  <c r="X37" i="12"/>
  <c r="Y37" i="12"/>
  <c r="X38" i="12"/>
  <c r="Y38" i="12"/>
  <c r="X39" i="12"/>
  <c r="Y39" i="12"/>
  <c r="J97" i="15" l="1"/>
  <c r="J230" i="15"/>
  <c r="J236" i="15"/>
  <c r="I247" i="15"/>
  <c r="J251" i="15"/>
  <c r="J233" i="15"/>
  <c r="J246" i="15"/>
  <c r="J27" i="15"/>
  <c r="J229" i="15"/>
  <c r="J96" i="15"/>
  <c r="I246" i="15"/>
  <c r="J244" i="15"/>
  <c r="J238" i="15"/>
  <c r="I245" i="15"/>
  <c r="I237" i="15"/>
  <c r="J250" i="15"/>
  <c r="I234" i="15"/>
  <c r="I242" i="15"/>
  <c r="I240" i="15"/>
  <c r="I73" i="15"/>
  <c r="I52" i="15"/>
  <c r="I27" i="15"/>
  <c r="I249" i="15"/>
  <c r="I28" i="15"/>
  <c r="J237" i="15"/>
  <c r="J99" i="15"/>
  <c r="I231" i="15"/>
  <c r="I236" i="15"/>
  <c r="I228" i="15"/>
  <c r="J231" i="15"/>
  <c r="I50" i="15"/>
  <c r="I96" i="15"/>
  <c r="J73" i="15"/>
  <c r="I250" i="15"/>
  <c r="I244" i="15"/>
  <c r="I230" i="15"/>
  <c r="I251" i="15"/>
  <c r="I29" i="15"/>
  <c r="J247" i="15"/>
  <c r="I238" i="15"/>
  <c r="I239" i="15"/>
  <c r="I233" i="15"/>
  <c r="I236" i="14"/>
  <c r="I232" i="14"/>
  <c r="J117" i="14"/>
  <c r="I220" i="14"/>
  <c r="I221" i="14"/>
  <c r="I227" i="14"/>
  <c r="I115" i="14"/>
  <c r="I233" i="14"/>
  <c r="J220" i="14"/>
  <c r="I229" i="14"/>
  <c r="I224" i="14"/>
  <c r="J116" i="14"/>
  <c r="I217" i="14"/>
  <c r="I239" i="14"/>
  <c r="J234" i="14"/>
  <c r="I238" i="14"/>
  <c r="J238" i="14"/>
  <c r="I219" i="14"/>
  <c r="J221" i="14"/>
  <c r="I116" i="14"/>
  <c r="I231" i="14"/>
  <c r="J227" i="14"/>
  <c r="I230" i="14"/>
  <c r="J230" i="14"/>
  <c r="J217" i="14"/>
  <c r="J115" i="14"/>
  <c r="I223" i="14"/>
  <c r="I226" i="14"/>
  <c r="I235" i="14"/>
  <c r="I234" i="14"/>
  <c r="I222" i="14"/>
  <c r="J216" i="14"/>
  <c r="J233" i="14"/>
  <c r="J92" i="14"/>
  <c r="I49" i="14"/>
  <c r="I28" i="14"/>
  <c r="I134" i="14"/>
  <c r="J48" i="14"/>
  <c r="I51" i="14"/>
  <c r="J51" i="14"/>
  <c r="I48" i="14"/>
  <c r="I27" i="14"/>
  <c r="J27" i="14"/>
  <c r="J26" i="14"/>
  <c r="J49" i="14"/>
  <c r="I26" i="14"/>
  <c r="J28" i="14"/>
  <c r="J50" i="14"/>
  <c r="I114" i="14"/>
  <c r="J114" i="14"/>
  <c r="J73" i="14"/>
  <c r="J134" i="14"/>
  <c r="I92" i="14"/>
  <c r="I73" i="14"/>
  <c r="F156" i="12"/>
  <c r="D160" i="12"/>
  <c r="E166" i="12"/>
  <c r="F157" i="12"/>
  <c r="D164" i="12"/>
  <c r="F165" i="12"/>
  <c r="D170" i="12"/>
  <c r="E160" i="12"/>
  <c r="F166" i="12"/>
  <c r="J166" i="12" s="1"/>
  <c r="D169" i="12"/>
  <c r="E164" i="12"/>
  <c r="F167" i="12"/>
  <c r="F168" i="12"/>
  <c r="E170" i="12"/>
  <c r="F160" i="12"/>
  <c r="D171" i="12"/>
  <c r="E169" i="12"/>
  <c r="F164" i="12"/>
  <c r="J164" i="12" s="1"/>
  <c r="D159" i="12"/>
  <c r="E167" i="12"/>
  <c r="F170" i="12"/>
  <c r="J170" i="12" s="1"/>
  <c r="D161" i="12"/>
  <c r="E171" i="12"/>
  <c r="F169" i="12"/>
  <c r="D163" i="12"/>
  <c r="E159" i="12"/>
  <c r="D167" i="12"/>
  <c r="D158" i="12"/>
  <c r="E161" i="12"/>
  <c r="F171" i="12"/>
  <c r="D162" i="12"/>
  <c r="E163" i="12"/>
  <c r="F159" i="12"/>
  <c r="J159" i="12" s="1"/>
  <c r="D166" i="12"/>
  <c r="I166" i="12" s="1"/>
  <c r="E158" i="12"/>
  <c r="F161" i="12"/>
  <c r="D165" i="12"/>
  <c r="E162" i="12"/>
  <c r="F163" i="12"/>
  <c r="D168" i="12"/>
  <c r="F158" i="12"/>
  <c r="D156" i="12"/>
  <c r="E165" i="12"/>
  <c r="F162" i="12"/>
  <c r="J162" i="12" s="1"/>
  <c r="D157" i="12"/>
  <c r="E168" i="12"/>
  <c r="E157" i="12"/>
  <c r="E156" i="12"/>
  <c r="X138" i="12"/>
  <c r="Y138" i="12"/>
  <c r="X147" i="12"/>
  <c r="Y147" i="12"/>
  <c r="Y75" i="12"/>
  <c r="X75" i="12"/>
  <c r="Y17" i="12"/>
  <c r="X17" i="12"/>
  <c r="Y16" i="12"/>
  <c r="X16" i="12"/>
  <c r="Y15" i="12"/>
  <c r="X15" i="12"/>
  <c r="Y14" i="12"/>
  <c r="X14" i="12"/>
  <c r="Y13" i="12"/>
  <c r="X13" i="12"/>
  <c r="Y12" i="12"/>
  <c r="X12" i="12"/>
  <c r="D167" i="11"/>
  <c r="I167" i="11" s="1"/>
  <c r="E167" i="11"/>
  <c r="F167" i="11"/>
  <c r="J167" i="11" s="1"/>
  <c r="G167" i="11"/>
  <c r="H167" i="11"/>
  <c r="D161" i="11"/>
  <c r="E161" i="11"/>
  <c r="F161" i="11"/>
  <c r="G161" i="11"/>
  <c r="H161" i="11"/>
  <c r="D169" i="11"/>
  <c r="E169" i="11"/>
  <c r="F169" i="11"/>
  <c r="G169" i="11"/>
  <c r="H169" i="11"/>
  <c r="D159" i="11"/>
  <c r="E159" i="11"/>
  <c r="F159" i="11"/>
  <c r="G159" i="11"/>
  <c r="H159" i="11"/>
  <c r="D163" i="11"/>
  <c r="I163" i="11" s="1"/>
  <c r="E163" i="11"/>
  <c r="F163" i="11"/>
  <c r="J163" i="11" s="1"/>
  <c r="G163" i="11"/>
  <c r="H163" i="11"/>
  <c r="D171" i="11"/>
  <c r="E171" i="11"/>
  <c r="F171" i="11"/>
  <c r="G171" i="11"/>
  <c r="H171" i="11"/>
  <c r="D162" i="11"/>
  <c r="I162" i="11" s="1"/>
  <c r="E162" i="11"/>
  <c r="F162" i="11"/>
  <c r="G162" i="11"/>
  <c r="H162" i="11"/>
  <c r="D160" i="11"/>
  <c r="E160" i="11"/>
  <c r="F160" i="11"/>
  <c r="J160" i="11" s="1"/>
  <c r="G160" i="11"/>
  <c r="H160" i="11"/>
  <c r="D166" i="11"/>
  <c r="E166" i="11"/>
  <c r="F166" i="11"/>
  <c r="G166" i="11"/>
  <c r="H166" i="11"/>
  <c r="D158" i="11"/>
  <c r="E158" i="11"/>
  <c r="F158" i="11"/>
  <c r="G158" i="11"/>
  <c r="H158" i="11"/>
  <c r="D168" i="11"/>
  <c r="E168" i="11"/>
  <c r="F168" i="11"/>
  <c r="G168" i="11"/>
  <c r="H168" i="11"/>
  <c r="D165" i="11"/>
  <c r="E165" i="11"/>
  <c r="I165" i="11" s="1"/>
  <c r="F165" i="11"/>
  <c r="G165" i="11"/>
  <c r="H165" i="11"/>
  <c r="D170" i="11"/>
  <c r="E170" i="11"/>
  <c r="F170" i="11"/>
  <c r="G170" i="11"/>
  <c r="H170" i="11"/>
  <c r="D156" i="11"/>
  <c r="E156" i="11"/>
  <c r="F156" i="11"/>
  <c r="G156" i="11"/>
  <c r="H156" i="11"/>
  <c r="D164" i="11"/>
  <c r="I164" i="11" s="1"/>
  <c r="E164" i="11"/>
  <c r="F164" i="11"/>
  <c r="J164" i="11" s="1"/>
  <c r="G164" i="11"/>
  <c r="H164" i="11"/>
  <c r="H157" i="11"/>
  <c r="G157" i="11"/>
  <c r="F157" i="11"/>
  <c r="E157" i="11"/>
  <c r="D157" i="11"/>
  <c r="C164" i="11"/>
  <c r="C156" i="11"/>
  <c r="C170" i="11"/>
  <c r="C165" i="11"/>
  <c r="C168" i="11"/>
  <c r="C158" i="11"/>
  <c r="C166" i="11"/>
  <c r="C160" i="11"/>
  <c r="C162" i="11"/>
  <c r="C171" i="11"/>
  <c r="C163" i="11"/>
  <c r="C159" i="11"/>
  <c r="C169" i="11"/>
  <c r="C161" i="11"/>
  <c r="C167" i="11"/>
  <c r="C157" i="11"/>
  <c r="X122" i="11"/>
  <c r="Y122" i="11"/>
  <c r="X117" i="11"/>
  <c r="Y117" i="11"/>
  <c r="X118" i="11"/>
  <c r="Y118" i="11"/>
  <c r="X119" i="11"/>
  <c r="Y119" i="11"/>
  <c r="X120" i="11"/>
  <c r="Y120" i="11"/>
  <c r="X95" i="11"/>
  <c r="Y95" i="11"/>
  <c r="X96" i="11"/>
  <c r="Y96" i="11"/>
  <c r="X97" i="11"/>
  <c r="Y97" i="11"/>
  <c r="X98" i="11"/>
  <c r="Y98" i="11"/>
  <c r="X99" i="11"/>
  <c r="Y99" i="11"/>
  <c r="X100" i="11"/>
  <c r="Y100" i="11"/>
  <c r="J156" i="11" l="1"/>
  <c r="G19" i="28"/>
  <c r="F19" i="28"/>
  <c r="J166" i="11"/>
  <c r="J169" i="11"/>
  <c r="J171" i="11"/>
  <c r="I166" i="11"/>
  <c r="I156" i="11"/>
  <c r="E19" i="28"/>
  <c r="J170" i="11"/>
  <c r="J162" i="11"/>
  <c r="I159" i="11"/>
  <c r="J161" i="11"/>
  <c r="I170" i="11"/>
  <c r="J168" i="11"/>
  <c r="I171" i="11"/>
  <c r="I168" i="12"/>
  <c r="J169" i="12"/>
  <c r="I171" i="12"/>
  <c r="J171" i="12"/>
  <c r="I157" i="12"/>
  <c r="J158" i="12"/>
  <c r="I162" i="12"/>
  <c r="J161" i="12"/>
  <c r="J163" i="12"/>
  <c r="J160" i="12"/>
  <c r="I170" i="12"/>
  <c r="I161" i="12"/>
  <c r="J165" i="12"/>
  <c r="I165" i="12"/>
  <c r="J168" i="12"/>
  <c r="I164" i="12"/>
  <c r="I158" i="12"/>
  <c r="J157" i="12"/>
  <c r="I159" i="12"/>
  <c r="I156" i="12"/>
  <c r="I169" i="12"/>
  <c r="I160" i="12"/>
  <c r="I163" i="12"/>
  <c r="J156" i="12"/>
  <c r="J158" i="11"/>
  <c r="I161" i="11"/>
  <c r="I158" i="11"/>
  <c r="I169" i="11"/>
  <c r="I168" i="11"/>
  <c r="I160" i="11"/>
  <c r="J159" i="11"/>
  <c r="J165" i="11"/>
  <c r="J157" i="11"/>
  <c r="I157" i="11"/>
  <c r="X73" i="11"/>
  <c r="Y73" i="11"/>
  <c r="X74" i="11"/>
  <c r="Y74" i="11"/>
  <c r="X75" i="11"/>
  <c r="Y75" i="11"/>
  <c r="X76" i="11"/>
  <c r="Y76" i="11"/>
  <c r="X77" i="11"/>
  <c r="Y77" i="11"/>
  <c r="X78" i="11"/>
  <c r="Y78" i="11"/>
  <c r="Y58" i="11"/>
  <c r="X58" i="11"/>
  <c r="Y57" i="11"/>
  <c r="X57" i="11"/>
  <c r="Y56" i="11"/>
  <c r="X56" i="11"/>
  <c r="Y55" i="11"/>
  <c r="X55" i="11"/>
  <c r="Y54" i="11"/>
  <c r="X54" i="11"/>
  <c r="Y53" i="11"/>
  <c r="X53" i="11"/>
  <c r="X33" i="11"/>
  <c r="Y33" i="11"/>
  <c r="X34" i="11"/>
  <c r="Y34" i="11"/>
  <c r="X35" i="11"/>
  <c r="Y35" i="11"/>
  <c r="X36" i="11"/>
  <c r="Y36" i="11"/>
  <c r="X37" i="11"/>
  <c r="Y37" i="11"/>
  <c r="X38" i="11"/>
  <c r="Y38" i="11"/>
  <c r="X12" i="11"/>
  <c r="Y12" i="11"/>
  <c r="X13" i="11"/>
  <c r="Y13" i="11"/>
  <c r="X14" i="11"/>
  <c r="Y14" i="11"/>
  <c r="X15" i="11"/>
  <c r="Y15" i="11"/>
  <c r="X16" i="11"/>
  <c r="Y16" i="11"/>
  <c r="X17" i="11"/>
  <c r="Y17" i="11"/>
  <c r="D141" i="10"/>
  <c r="E141" i="10"/>
  <c r="F141" i="10"/>
  <c r="G141" i="10"/>
  <c r="H141" i="10"/>
  <c r="D147" i="10"/>
  <c r="E147" i="10"/>
  <c r="F147" i="10"/>
  <c r="G147" i="10"/>
  <c r="H147" i="10"/>
  <c r="D153" i="10"/>
  <c r="E153" i="10"/>
  <c r="F153" i="10"/>
  <c r="G153" i="10"/>
  <c r="H153" i="10"/>
  <c r="D143" i="10"/>
  <c r="E143" i="10"/>
  <c r="F143" i="10"/>
  <c r="G143" i="10"/>
  <c r="H143" i="10"/>
  <c r="D149" i="10"/>
  <c r="E149" i="10"/>
  <c r="F149" i="10"/>
  <c r="G149" i="10"/>
  <c r="H149" i="10"/>
  <c r="D140" i="10"/>
  <c r="I140" i="10" s="1"/>
  <c r="E140" i="10"/>
  <c r="F140" i="10"/>
  <c r="J140" i="10" s="1"/>
  <c r="G140" i="10"/>
  <c r="H140" i="10"/>
  <c r="D146" i="10"/>
  <c r="I146" i="10" s="1"/>
  <c r="E146" i="10"/>
  <c r="F146" i="10"/>
  <c r="J146" i="10" s="1"/>
  <c r="G146" i="10"/>
  <c r="H146" i="10"/>
  <c r="D148" i="10"/>
  <c r="E148" i="10"/>
  <c r="F148" i="10"/>
  <c r="G148" i="10"/>
  <c r="H148" i="10"/>
  <c r="J148" i="10"/>
  <c r="D145" i="10"/>
  <c r="E145" i="10"/>
  <c r="F145" i="10"/>
  <c r="G145" i="10"/>
  <c r="H145" i="10"/>
  <c r="D152" i="10"/>
  <c r="E152" i="10"/>
  <c r="F152" i="10"/>
  <c r="J152" i="10" s="1"/>
  <c r="G152" i="10"/>
  <c r="H152" i="10"/>
  <c r="D138" i="10"/>
  <c r="E138" i="10"/>
  <c r="F138" i="10"/>
  <c r="J138" i="10" s="1"/>
  <c r="G138" i="10"/>
  <c r="H138" i="10"/>
  <c r="D144" i="10"/>
  <c r="I144" i="10" s="1"/>
  <c r="E144" i="10"/>
  <c r="F144" i="10"/>
  <c r="G144" i="10"/>
  <c r="H144" i="10"/>
  <c r="D150" i="10"/>
  <c r="E150" i="10"/>
  <c r="F150" i="10"/>
  <c r="G150" i="10"/>
  <c r="H150" i="10"/>
  <c r="D151" i="10"/>
  <c r="E151" i="10"/>
  <c r="F151" i="10"/>
  <c r="G151" i="10"/>
  <c r="H151" i="10"/>
  <c r="D139" i="10"/>
  <c r="E139" i="10"/>
  <c r="F139" i="10"/>
  <c r="G139" i="10"/>
  <c r="H139" i="10"/>
  <c r="H142" i="10"/>
  <c r="G142" i="10"/>
  <c r="F142" i="10"/>
  <c r="E142" i="10"/>
  <c r="D142" i="10"/>
  <c r="C139" i="10"/>
  <c r="C151" i="10"/>
  <c r="C150" i="10"/>
  <c r="C144" i="10"/>
  <c r="C138" i="10"/>
  <c r="C152" i="10"/>
  <c r="C145" i="10"/>
  <c r="C148" i="10"/>
  <c r="C146" i="10"/>
  <c r="C140" i="10"/>
  <c r="C149" i="10"/>
  <c r="C143" i="10"/>
  <c r="C153" i="10"/>
  <c r="C147" i="10"/>
  <c r="C141" i="10"/>
  <c r="C142" i="10"/>
  <c r="Y130" i="10"/>
  <c r="X130" i="10"/>
  <c r="Y121" i="10"/>
  <c r="X121" i="10"/>
  <c r="X113" i="10"/>
  <c r="Y113" i="10"/>
  <c r="X98" i="10"/>
  <c r="Y98" i="10"/>
  <c r="X99" i="10"/>
  <c r="Y99" i="10"/>
  <c r="X100" i="10"/>
  <c r="Y100" i="10"/>
  <c r="X101" i="10"/>
  <c r="Y101" i="10"/>
  <c r="X76" i="10"/>
  <c r="Y76" i="10"/>
  <c r="X77" i="10"/>
  <c r="Y77" i="10"/>
  <c r="X78" i="10"/>
  <c r="Y78" i="10"/>
  <c r="X79" i="10"/>
  <c r="Y79" i="10"/>
  <c r="X80" i="10"/>
  <c r="Y80" i="10"/>
  <c r="X81" i="10"/>
  <c r="Y81" i="10"/>
  <c r="X54" i="10"/>
  <c r="Y54" i="10"/>
  <c r="X55" i="10"/>
  <c r="Y55" i="10"/>
  <c r="X56" i="10"/>
  <c r="Y56" i="10"/>
  <c r="X57" i="10"/>
  <c r="Y57" i="10"/>
  <c r="X58" i="10"/>
  <c r="Y58" i="10"/>
  <c r="X59" i="10"/>
  <c r="Y59" i="10"/>
  <c r="X33" i="10"/>
  <c r="Y33" i="10"/>
  <c r="X34" i="10"/>
  <c r="Y34" i="10"/>
  <c r="X35" i="10"/>
  <c r="Y35" i="10"/>
  <c r="X36" i="10"/>
  <c r="Y36" i="10"/>
  <c r="X37" i="10"/>
  <c r="Y37" i="10"/>
  <c r="X38" i="10"/>
  <c r="Y38" i="10"/>
  <c r="X12" i="10"/>
  <c r="Y12" i="10"/>
  <c r="X13" i="10"/>
  <c r="Y13" i="10"/>
  <c r="X14" i="10"/>
  <c r="Y14" i="10"/>
  <c r="X15" i="10"/>
  <c r="Y15" i="10"/>
  <c r="X16" i="10"/>
  <c r="Y16" i="10"/>
  <c r="C101" i="4"/>
  <c r="C98" i="4"/>
  <c r="C100" i="4"/>
  <c r="D100" i="4"/>
  <c r="I100" i="4" s="1"/>
  <c r="E100" i="4"/>
  <c r="F100" i="4"/>
  <c r="J100" i="4" s="1"/>
  <c r="G100" i="4"/>
  <c r="H100" i="4"/>
  <c r="D98" i="4"/>
  <c r="E98" i="4"/>
  <c r="F98" i="4"/>
  <c r="J98" i="4" s="1"/>
  <c r="G98" i="4"/>
  <c r="H98" i="4"/>
  <c r="D101" i="4"/>
  <c r="E101" i="4"/>
  <c r="F101" i="4"/>
  <c r="G101" i="4"/>
  <c r="H101" i="4"/>
  <c r="H99" i="4"/>
  <c r="G99" i="4"/>
  <c r="F99" i="4"/>
  <c r="E99" i="4"/>
  <c r="D99" i="4"/>
  <c r="C99" i="4"/>
  <c r="C77" i="4"/>
  <c r="D77" i="4"/>
  <c r="E77" i="4"/>
  <c r="F77" i="4"/>
  <c r="G77" i="4"/>
  <c r="H77" i="4"/>
  <c r="I77" i="4"/>
  <c r="J77" i="4"/>
  <c r="H76" i="4"/>
  <c r="G76" i="4"/>
  <c r="F76" i="4"/>
  <c r="E76" i="4"/>
  <c r="D76" i="4"/>
  <c r="C76" i="4"/>
  <c r="C66" i="4"/>
  <c r="C65" i="4"/>
  <c r="D65" i="4"/>
  <c r="I65" i="4" s="1"/>
  <c r="E65" i="4"/>
  <c r="F65" i="4"/>
  <c r="G65" i="4"/>
  <c r="H65" i="4"/>
  <c r="J65" i="4"/>
  <c r="D66" i="4"/>
  <c r="I66" i="4" s="1"/>
  <c r="E66" i="4"/>
  <c r="F66" i="4"/>
  <c r="G66" i="4"/>
  <c r="H66" i="4"/>
  <c r="J66" i="4"/>
  <c r="H64" i="4"/>
  <c r="G64" i="4"/>
  <c r="F64" i="4"/>
  <c r="E64" i="4"/>
  <c r="D64" i="4"/>
  <c r="C64" i="4"/>
  <c r="C48" i="4"/>
  <c r="C50" i="4"/>
  <c r="C51" i="4"/>
  <c r="D51" i="4"/>
  <c r="I51" i="4" s="1"/>
  <c r="E51" i="4"/>
  <c r="F51" i="4"/>
  <c r="J51" i="4" s="1"/>
  <c r="G51" i="4"/>
  <c r="H51" i="4"/>
  <c r="D50" i="4"/>
  <c r="E50" i="4"/>
  <c r="F50" i="4"/>
  <c r="J50" i="4" s="1"/>
  <c r="G50" i="4"/>
  <c r="H50" i="4"/>
  <c r="D48" i="4"/>
  <c r="E48" i="4"/>
  <c r="F48" i="4"/>
  <c r="G48" i="4"/>
  <c r="H48" i="4"/>
  <c r="H49" i="4"/>
  <c r="G49" i="4"/>
  <c r="F49" i="4"/>
  <c r="E49" i="4"/>
  <c r="D49" i="4"/>
  <c r="C49" i="4"/>
  <c r="D29" i="4"/>
  <c r="I29" i="4" s="1"/>
  <c r="E29" i="4"/>
  <c r="F29" i="4"/>
  <c r="J29" i="4" s="1"/>
  <c r="G29" i="4"/>
  <c r="H29" i="4"/>
  <c r="D27" i="4"/>
  <c r="E27" i="4"/>
  <c r="F27" i="4"/>
  <c r="G27" i="4"/>
  <c r="H27" i="4"/>
  <c r="D28" i="4"/>
  <c r="I28" i="4" s="1"/>
  <c r="E28" i="4"/>
  <c r="F28" i="4"/>
  <c r="J28" i="4" s="1"/>
  <c r="G28" i="4"/>
  <c r="H28" i="4"/>
  <c r="H26" i="4"/>
  <c r="G26" i="4"/>
  <c r="F26" i="4"/>
  <c r="E26" i="4"/>
  <c r="D26" i="4"/>
  <c r="C28" i="4"/>
  <c r="C27" i="4"/>
  <c r="C29" i="4"/>
  <c r="C26" i="4"/>
  <c r="C26" i="1"/>
  <c r="D148" i="9"/>
  <c r="D141" i="9"/>
  <c r="E141" i="9"/>
  <c r="F141" i="9"/>
  <c r="J141" i="9" s="1"/>
  <c r="G141" i="9"/>
  <c r="H141" i="9"/>
  <c r="D147" i="9"/>
  <c r="E147" i="9"/>
  <c r="F147" i="9"/>
  <c r="G147" i="9"/>
  <c r="H147" i="9"/>
  <c r="D146" i="9"/>
  <c r="E146" i="9"/>
  <c r="F146" i="9"/>
  <c r="G146" i="9"/>
  <c r="H146" i="9"/>
  <c r="D137" i="9"/>
  <c r="I137" i="9" s="1"/>
  <c r="E137" i="9"/>
  <c r="F137" i="9"/>
  <c r="G137" i="9"/>
  <c r="H137" i="9"/>
  <c r="D150" i="9"/>
  <c r="E150" i="9"/>
  <c r="F150" i="9"/>
  <c r="J150" i="9" s="1"/>
  <c r="G150" i="9"/>
  <c r="H150" i="9"/>
  <c r="D143" i="9"/>
  <c r="E143" i="9"/>
  <c r="I143" i="9" s="1"/>
  <c r="F143" i="9"/>
  <c r="G143" i="9"/>
  <c r="H143" i="9"/>
  <c r="D139" i="9"/>
  <c r="I139" i="9" s="1"/>
  <c r="E139" i="9"/>
  <c r="F139" i="9"/>
  <c r="G139" i="9"/>
  <c r="H139" i="9"/>
  <c r="D144" i="9"/>
  <c r="E144" i="9"/>
  <c r="F144" i="9"/>
  <c r="G144" i="9"/>
  <c r="H144" i="9"/>
  <c r="D149" i="9"/>
  <c r="I149" i="9" s="1"/>
  <c r="E149" i="9"/>
  <c r="F149" i="9"/>
  <c r="J149" i="9" s="1"/>
  <c r="G149" i="9"/>
  <c r="H149" i="9"/>
  <c r="D136" i="9"/>
  <c r="E136" i="9"/>
  <c r="F136" i="9"/>
  <c r="G136" i="9"/>
  <c r="H136" i="9"/>
  <c r="D140" i="9"/>
  <c r="E140" i="9"/>
  <c r="F140" i="9"/>
  <c r="G140" i="9"/>
  <c r="H140" i="9"/>
  <c r="D138" i="9"/>
  <c r="E138" i="9"/>
  <c r="F138" i="9"/>
  <c r="G138" i="9"/>
  <c r="H138" i="9"/>
  <c r="D142" i="9"/>
  <c r="I142" i="9" s="1"/>
  <c r="E142" i="9"/>
  <c r="F142" i="9"/>
  <c r="G142" i="9"/>
  <c r="H142" i="9"/>
  <c r="D145" i="9"/>
  <c r="E145" i="9"/>
  <c r="F145" i="9"/>
  <c r="G145" i="9"/>
  <c r="H145" i="9"/>
  <c r="E148" i="9"/>
  <c r="F148" i="9"/>
  <c r="G148" i="9"/>
  <c r="H148" i="9"/>
  <c r="H135" i="9"/>
  <c r="G135" i="9"/>
  <c r="F135" i="9"/>
  <c r="E135" i="9"/>
  <c r="D135" i="9"/>
  <c r="C148" i="9"/>
  <c r="C145" i="9"/>
  <c r="C142" i="9"/>
  <c r="C138" i="9"/>
  <c r="C140" i="9"/>
  <c r="C136" i="9"/>
  <c r="C149" i="9"/>
  <c r="C144" i="9"/>
  <c r="C139" i="9"/>
  <c r="C143" i="9"/>
  <c r="C150" i="9"/>
  <c r="C137" i="9"/>
  <c r="C146" i="9"/>
  <c r="C147" i="9"/>
  <c r="C141" i="9"/>
  <c r="C135" i="9"/>
  <c r="Y126" i="9"/>
  <c r="X126" i="9"/>
  <c r="Y117" i="9"/>
  <c r="X117" i="9"/>
  <c r="Y110" i="9"/>
  <c r="X110" i="9"/>
  <c r="Y109" i="9"/>
  <c r="X109" i="9"/>
  <c r="X97" i="9"/>
  <c r="Y97" i="9"/>
  <c r="X98" i="9"/>
  <c r="Y98" i="9"/>
  <c r="X99" i="9"/>
  <c r="Y99" i="9"/>
  <c r="X100" i="9"/>
  <c r="Y100" i="9"/>
  <c r="X78" i="9"/>
  <c r="Y78" i="9"/>
  <c r="X79" i="9"/>
  <c r="Y79" i="9"/>
  <c r="X80" i="9"/>
  <c r="Y80" i="9"/>
  <c r="X75" i="9"/>
  <c r="Y75" i="9"/>
  <c r="X76" i="9"/>
  <c r="Y76" i="9"/>
  <c r="X53" i="9"/>
  <c r="Y53" i="9"/>
  <c r="X54" i="9"/>
  <c r="Y54" i="9"/>
  <c r="X55" i="9"/>
  <c r="Y55" i="9"/>
  <c r="X56" i="9"/>
  <c r="Y56" i="9"/>
  <c r="X57" i="9"/>
  <c r="Y57" i="9"/>
  <c r="X58" i="9"/>
  <c r="Y58" i="9"/>
  <c r="Y37" i="9"/>
  <c r="X37" i="9"/>
  <c r="Y36" i="9"/>
  <c r="X36" i="9"/>
  <c r="Y35" i="9"/>
  <c r="X35" i="9"/>
  <c r="Y34" i="9"/>
  <c r="X34" i="9"/>
  <c r="Y33" i="9"/>
  <c r="X33" i="9"/>
  <c r="Y32" i="9"/>
  <c r="X32" i="9"/>
  <c r="X12" i="9"/>
  <c r="Y12" i="9"/>
  <c r="X13" i="9"/>
  <c r="Y13" i="9"/>
  <c r="X14" i="9"/>
  <c r="Y14" i="9"/>
  <c r="X15" i="9"/>
  <c r="Y15" i="9"/>
  <c r="X16" i="9"/>
  <c r="Y16" i="9"/>
  <c r="G10" i="28" l="1"/>
  <c r="I149" i="10"/>
  <c r="G6" i="28"/>
  <c r="F10" i="28"/>
  <c r="J153" i="10"/>
  <c r="I21" i="28"/>
  <c r="F6" i="28"/>
  <c r="I145" i="10"/>
  <c r="E10" i="28"/>
  <c r="H21" i="28"/>
  <c r="E6" i="28"/>
  <c r="G21" i="28"/>
  <c r="I151" i="10"/>
  <c r="J150" i="10"/>
  <c r="F21" i="28"/>
  <c r="J139" i="10"/>
  <c r="I152" i="10"/>
  <c r="I141" i="10"/>
  <c r="E21" i="28"/>
  <c r="I139" i="10"/>
  <c r="I150" i="10"/>
  <c r="I143" i="10"/>
  <c r="J147" i="10"/>
  <c r="J151" i="10"/>
  <c r="I148" i="10"/>
  <c r="J149" i="10"/>
  <c r="I167" i="12"/>
  <c r="J167" i="12"/>
  <c r="I147" i="10"/>
  <c r="I153" i="10"/>
  <c r="I138" i="10"/>
  <c r="J141" i="10"/>
  <c r="J145" i="10"/>
  <c r="J143" i="10"/>
  <c r="J144" i="10"/>
  <c r="J142" i="10"/>
  <c r="I142" i="10"/>
  <c r="I101" i="4"/>
  <c r="I98" i="4"/>
  <c r="J101" i="4"/>
  <c r="J99" i="4"/>
  <c r="I99" i="4"/>
  <c r="J76" i="4"/>
  <c r="I76" i="4"/>
  <c r="J64" i="4"/>
  <c r="I64" i="4"/>
  <c r="I48" i="4"/>
  <c r="I50" i="4"/>
  <c r="J48" i="4"/>
  <c r="J26" i="4"/>
  <c r="J27" i="4"/>
  <c r="I27" i="4"/>
  <c r="I26" i="4"/>
  <c r="J49" i="4"/>
  <c r="I49" i="4"/>
  <c r="I136" i="9"/>
  <c r="J144" i="9"/>
  <c r="I150" i="9"/>
  <c r="J146" i="9"/>
  <c r="I140" i="9"/>
  <c r="J143" i="9"/>
  <c r="J148" i="9"/>
  <c r="J147" i="9"/>
  <c r="I148" i="9"/>
  <c r="J145" i="9"/>
  <c r="I147" i="9"/>
  <c r="I145" i="9"/>
  <c r="I138" i="9"/>
  <c r="J136" i="9"/>
  <c r="J142" i="9"/>
  <c r="J139" i="9"/>
  <c r="J137" i="9"/>
  <c r="J140" i="9"/>
  <c r="I146" i="9"/>
  <c r="I144" i="9"/>
  <c r="J138" i="9"/>
  <c r="I141" i="9"/>
  <c r="J135" i="9"/>
  <c r="I135" i="9"/>
  <c r="G146" i="8"/>
  <c r="H146" i="8"/>
  <c r="G137" i="8"/>
  <c r="H137" i="8"/>
  <c r="G136" i="8"/>
  <c r="H136" i="8"/>
  <c r="G134" i="8"/>
  <c r="H134" i="8"/>
  <c r="G148" i="8"/>
  <c r="H148" i="8"/>
  <c r="G139" i="8"/>
  <c r="H139" i="8"/>
  <c r="G140" i="8"/>
  <c r="H140" i="8"/>
  <c r="G133" i="8"/>
  <c r="H133" i="8"/>
  <c r="G144" i="8"/>
  <c r="H144" i="8"/>
  <c r="G145" i="8"/>
  <c r="H145" i="8"/>
  <c r="G135" i="8"/>
  <c r="H135" i="8"/>
  <c r="G141" i="8"/>
  <c r="H141" i="8"/>
  <c r="G147" i="8"/>
  <c r="H147" i="8"/>
  <c r="G138" i="8"/>
  <c r="H138" i="8"/>
  <c r="G142" i="8"/>
  <c r="H142" i="8"/>
  <c r="H143" i="8"/>
  <c r="G143" i="8"/>
  <c r="C142" i="8"/>
  <c r="C138" i="8"/>
  <c r="C147" i="8"/>
  <c r="C141" i="8"/>
  <c r="C135" i="8"/>
  <c r="C145" i="8"/>
  <c r="C144" i="8"/>
  <c r="C133" i="8"/>
  <c r="C140" i="8"/>
  <c r="C139" i="8"/>
  <c r="C148" i="8"/>
  <c r="C134" i="8"/>
  <c r="C136" i="8"/>
  <c r="C137" i="8"/>
  <c r="C146" i="8"/>
  <c r="C143" i="8"/>
  <c r="X125" i="8"/>
  <c r="Y125" i="8"/>
  <c r="X116" i="8"/>
  <c r="Y116" i="8"/>
  <c r="X77" i="8" l="1"/>
  <c r="Y77" i="8"/>
  <c r="X78" i="8"/>
  <c r="Y78" i="8"/>
  <c r="X79" i="8"/>
  <c r="Y79" i="8"/>
  <c r="X80" i="8"/>
  <c r="Y80" i="8"/>
  <c r="X81" i="8"/>
  <c r="Y81" i="8"/>
  <c r="X55" i="8"/>
  <c r="Y55" i="8"/>
  <c r="X60" i="8"/>
  <c r="Y60" i="8"/>
  <c r="X37" i="8"/>
  <c r="Y37" i="8"/>
  <c r="X38" i="8"/>
  <c r="Y38" i="8"/>
  <c r="X39" i="8"/>
  <c r="Y39" i="8"/>
  <c r="X12" i="8"/>
  <c r="Y12" i="8"/>
  <c r="X13" i="8"/>
  <c r="Y13" i="8"/>
  <c r="D157" i="7"/>
  <c r="E157" i="7"/>
  <c r="F157" i="7"/>
  <c r="J157" i="7" s="1"/>
  <c r="G157" i="7"/>
  <c r="H157" i="7"/>
  <c r="D158" i="7"/>
  <c r="E158" i="7"/>
  <c r="F158" i="7"/>
  <c r="J158" i="7" s="1"/>
  <c r="G158" i="7"/>
  <c r="H158" i="7"/>
  <c r="D163" i="7"/>
  <c r="E163" i="7"/>
  <c r="F163" i="7"/>
  <c r="J163" i="7" s="1"/>
  <c r="G163" i="7"/>
  <c r="H163" i="7"/>
  <c r="D156" i="7"/>
  <c r="I156" i="7" s="1"/>
  <c r="E156" i="7"/>
  <c r="F156" i="7"/>
  <c r="G156" i="7"/>
  <c r="H156" i="7"/>
  <c r="D162" i="7"/>
  <c r="I162" i="7" s="1"/>
  <c r="E162" i="7"/>
  <c r="F162" i="7"/>
  <c r="J162" i="7" s="1"/>
  <c r="G162" i="7"/>
  <c r="H162" i="7"/>
  <c r="D161" i="7"/>
  <c r="E161" i="7"/>
  <c r="F161" i="7"/>
  <c r="J161" i="7" s="1"/>
  <c r="G161" i="7"/>
  <c r="H161" i="7"/>
  <c r="I161" i="7"/>
  <c r="D167" i="7"/>
  <c r="E167" i="7"/>
  <c r="F167" i="7"/>
  <c r="J167" i="7" s="1"/>
  <c r="G167" i="7"/>
  <c r="H167" i="7"/>
  <c r="I167" i="7"/>
  <c r="D155" i="7"/>
  <c r="E155" i="7"/>
  <c r="F155" i="7"/>
  <c r="J155" i="7" s="1"/>
  <c r="G155" i="7"/>
  <c r="H155" i="7"/>
  <c r="D169" i="7"/>
  <c r="I169" i="7" s="1"/>
  <c r="E169" i="7"/>
  <c r="F169" i="7"/>
  <c r="J169" i="7" s="1"/>
  <c r="G169" i="7"/>
  <c r="H169" i="7"/>
  <c r="D164" i="7"/>
  <c r="E164" i="7"/>
  <c r="F164" i="7"/>
  <c r="G164" i="7"/>
  <c r="H164" i="7"/>
  <c r="D160" i="7"/>
  <c r="E160" i="7"/>
  <c r="F160" i="7"/>
  <c r="J160" i="7" s="1"/>
  <c r="G160" i="7"/>
  <c r="H160" i="7"/>
  <c r="D154" i="7"/>
  <c r="E154" i="7"/>
  <c r="I154" i="7" s="1"/>
  <c r="F154" i="7"/>
  <c r="G154" i="7"/>
  <c r="H154" i="7"/>
  <c r="D168" i="7"/>
  <c r="I168" i="7" s="1"/>
  <c r="E168" i="7"/>
  <c r="F168" i="7"/>
  <c r="G168" i="7"/>
  <c r="H168" i="7"/>
  <c r="D159" i="7"/>
  <c r="E159" i="7"/>
  <c r="F159" i="7"/>
  <c r="J159" i="7" s="1"/>
  <c r="G159" i="7"/>
  <c r="H159" i="7"/>
  <c r="I159" i="7"/>
  <c r="D165" i="7"/>
  <c r="I165" i="7" s="1"/>
  <c r="E165" i="7"/>
  <c r="F165" i="7"/>
  <c r="J165" i="7" s="1"/>
  <c r="G165" i="7"/>
  <c r="H165" i="7"/>
  <c r="H166" i="7"/>
  <c r="G166" i="7"/>
  <c r="F166" i="7"/>
  <c r="E166" i="7"/>
  <c r="D166" i="7"/>
  <c r="C165" i="7"/>
  <c r="C159" i="7"/>
  <c r="C168" i="7"/>
  <c r="C154" i="7"/>
  <c r="C160" i="7"/>
  <c r="C164" i="7"/>
  <c r="C169" i="7"/>
  <c r="C155" i="7"/>
  <c r="C167" i="7"/>
  <c r="C161" i="7"/>
  <c r="C162" i="7"/>
  <c r="C156" i="7"/>
  <c r="C163" i="7"/>
  <c r="C158" i="7"/>
  <c r="C157" i="7"/>
  <c r="C166" i="7"/>
  <c r="X137" i="7"/>
  <c r="Y137" i="7"/>
  <c r="X146" i="7"/>
  <c r="Y146" i="7"/>
  <c r="X129" i="7"/>
  <c r="Y129" i="7"/>
  <c r="X130" i="7"/>
  <c r="Y130" i="7"/>
  <c r="X117" i="7"/>
  <c r="Y117" i="7"/>
  <c r="X118" i="7"/>
  <c r="Y118" i="7"/>
  <c r="X119" i="7"/>
  <c r="Y119" i="7"/>
  <c r="X105" i="7"/>
  <c r="Y105" i="7"/>
  <c r="X90" i="7"/>
  <c r="Y90" i="7"/>
  <c r="X91" i="7"/>
  <c r="Y91" i="7"/>
  <c r="X92" i="7"/>
  <c r="Y92" i="7"/>
  <c r="X93" i="7"/>
  <c r="Y93" i="7"/>
  <c r="X94" i="7"/>
  <c r="Y94" i="7"/>
  <c r="X95" i="7"/>
  <c r="Y95" i="7"/>
  <c r="X68" i="7"/>
  <c r="Y68" i="7"/>
  <c r="X67" i="7"/>
  <c r="Y67" i="7"/>
  <c r="E133" i="8" l="1"/>
  <c r="J168" i="7"/>
  <c r="J164" i="7"/>
  <c r="I158" i="7"/>
  <c r="I164" i="7"/>
  <c r="I163" i="7"/>
  <c r="I160" i="7"/>
  <c r="I155" i="7"/>
  <c r="J156" i="7"/>
  <c r="J154" i="7"/>
  <c r="I157" i="7"/>
  <c r="J166" i="7"/>
  <c r="I166" i="7"/>
  <c r="X63" i="7"/>
  <c r="Y63" i="7"/>
  <c r="X64" i="7"/>
  <c r="Y64" i="7"/>
  <c r="X65" i="7"/>
  <c r="Y65" i="7"/>
  <c r="X66" i="7"/>
  <c r="Y66" i="7"/>
  <c r="X41" i="7"/>
  <c r="Y41" i="7"/>
  <c r="X42" i="7"/>
  <c r="Y42" i="7"/>
  <c r="X43" i="7"/>
  <c r="Y43" i="7"/>
  <c r="X44" i="7"/>
  <c r="Y44" i="7"/>
  <c r="X46" i="7"/>
  <c r="Y46" i="7"/>
  <c r="Y28" i="7"/>
  <c r="X28" i="7"/>
  <c r="X17" i="7"/>
  <c r="Y17" i="7"/>
  <c r="X16" i="7"/>
  <c r="Y16" i="7"/>
  <c r="Y148" i="11"/>
  <c r="X148" i="11"/>
  <c r="Y139" i="11"/>
  <c r="X139" i="11"/>
  <c r="Y121" i="11"/>
  <c r="X121" i="11"/>
  <c r="Y112" i="10"/>
  <c r="X112" i="10"/>
  <c r="Y17" i="10"/>
  <c r="X17" i="10"/>
  <c r="Y77" i="9"/>
  <c r="X77" i="9"/>
  <c r="Y17" i="9"/>
  <c r="X17" i="9"/>
  <c r="Y109" i="8"/>
  <c r="X109" i="8"/>
  <c r="Y108" i="8"/>
  <c r="X108" i="8"/>
  <c r="Y99" i="8"/>
  <c r="X99" i="8"/>
  <c r="Y98" i="8"/>
  <c r="X98" i="8"/>
  <c r="Y97" i="8"/>
  <c r="X97" i="8"/>
  <c r="Y96" i="8"/>
  <c r="X96" i="8"/>
  <c r="Y76" i="8"/>
  <c r="X76" i="8"/>
  <c r="Y59" i="8"/>
  <c r="X59" i="8"/>
  <c r="Y58" i="8"/>
  <c r="X58" i="8"/>
  <c r="Y57" i="8"/>
  <c r="X57" i="8"/>
  <c r="Y56" i="8"/>
  <c r="X56" i="8"/>
  <c r="Y36" i="8"/>
  <c r="X36" i="8"/>
  <c r="Y35" i="8"/>
  <c r="X35" i="8"/>
  <c r="Y34" i="8"/>
  <c r="X34" i="8"/>
  <c r="Y17" i="8"/>
  <c r="X17" i="8"/>
  <c r="F148" i="8" s="1"/>
  <c r="Y16" i="8"/>
  <c r="X16" i="8"/>
  <c r="F143" i="8" s="1"/>
  <c r="Y15" i="8"/>
  <c r="X15" i="8"/>
  <c r="Y14" i="8"/>
  <c r="E135" i="8" s="1"/>
  <c r="X14" i="8"/>
  <c r="F137" i="8" s="1"/>
  <c r="Y120" i="7"/>
  <c r="X120" i="7"/>
  <c r="Y78" i="7"/>
  <c r="X78" i="7"/>
  <c r="Y45" i="7"/>
  <c r="X45" i="7"/>
  <c r="Y15" i="7"/>
  <c r="X15" i="7"/>
  <c r="Y14" i="7"/>
  <c r="X14" i="7"/>
  <c r="Y13" i="7"/>
  <c r="X13" i="7"/>
  <c r="Y12" i="7"/>
  <c r="X12" i="7"/>
  <c r="C147" i="6"/>
  <c r="C142" i="6"/>
  <c r="C140" i="6"/>
  <c r="C146" i="6"/>
  <c r="C150" i="6"/>
  <c r="C138" i="6"/>
  <c r="C149" i="6"/>
  <c r="C139" i="6"/>
  <c r="C151" i="6"/>
  <c r="C137" i="6"/>
  <c r="C136" i="6"/>
  <c r="C145" i="6"/>
  <c r="C148" i="6"/>
  <c r="C141" i="6"/>
  <c r="C143" i="6"/>
  <c r="D143" i="6"/>
  <c r="I143" i="6" s="1"/>
  <c r="E143" i="6"/>
  <c r="F143" i="6"/>
  <c r="J143" i="6" s="1"/>
  <c r="G143" i="6"/>
  <c r="H143" i="6"/>
  <c r="D141" i="6"/>
  <c r="E141" i="6"/>
  <c r="F141" i="6"/>
  <c r="G141" i="6"/>
  <c r="H141" i="6"/>
  <c r="D148" i="6"/>
  <c r="I148" i="6" s="1"/>
  <c r="E148" i="6"/>
  <c r="F148" i="6"/>
  <c r="G148" i="6"/>
  <c r="H148" i="6"/>
  <c r="D145" i="6"/>
  <c r="E145" i="6"/>
  <c r="F145" i="6"/>
  <c r="G145" i="6"/>
  <c r="H145" i="6"/>
  <c r="D136" i="6"/>
  <c r="E136" i="6"/>
  <c r="F136" i="6"/>
  <c r="J136" i="6" s="1"/>
  <c r="G136" i="6"/>
  <c r="H136" i="6"/>
  <c r="D137" i="6"/>
  <c r="I137" i="6" s="1"/>
  <c r="E137" i="6"/>
  <c r="F137" i="6"/>
  <c r="G137" i="6"/>
  <c r="H137" i="6"/>
  <c r="D151" i="6"/>
  <c r="I151" i="6" s="1"/>
  <c r="E151" i="6"/>
  <c r="F151" i="6"/>
  <c r="J151" i="6" s="1"/>
  <c r="G151" i="6"/>
  <c r="H151" i="6"/>
  <c r="D139" i="6"/>
  <c r="I139" i="6" s="1"/>
  <c r="E139" i="6"/>
  <c r="F139" i="6"/>
  <c r="J139" i="6" s="1"/>
  <c r="G139" i="6"/>
  <c r="H139" i="6"/>
  <c r="D149" i="6"/>
  <c r="I149" i="6" s="1"/>
  <c r="E149" i="6"/>
  <c r="F149" i="6"/>
  <c r="G149" i="6"/>
  <c r="H149" i="6"/>
  <c r="D138" i="6"/>
  <c r="E138" i="6"/>
  <c r="F138" i="6"/>
  <c r="G138" i="6"/>
  <c r="H138" i="6"/>
  <c r="D150" i="6"/>
  <c r="I150" i="6" s="1"/>
  <c r="E150" i="6"/>
  <c r="F150" i="6"/>
  <c r="G150" i="6"/>
  <c r="H150" i="6"/>
  <c r="D146" i="6"/>
  <c r="E146" i="6"/>
  <c r="F146" i="6"/>
  <c r="G146" i="6"/>
  <c r="H146" i="6"/>
  <c r="D140" i="6"/>
  <c r="E140" i="6"/>
  <c r="F140" i="6"/>
  <c r="J140" i="6" s="1"/>
  <c r="G140" i="6"/>
  <c r="H140" i="6"/>
  <c r="D142" i="6"/>
  <c r="I142" i="6" s="1"/>
  <c r="E142" i="6"/>
  <c r="F142" i="6"/>
  <c r="G142" i="6"/>
  <c r="H142" i="6"/>
  <c r="D147" i="6"/>
  <c r="I147" i="6" s="1"/>
  <c r="E147" i="6"/>
  <c r="F147" i="6"/>
  <c r="J147" i="6" s="1"/>
  <c r="G147" i="6"/>
  <c r="H147" i="6"/>
  <c r="H144" i="6"/>
  <c r="G144" i="6"/>
  <c r="F144" i="6"/>
  <c r="E144" i="6"/>
  <c r="I144" i="6" s="1"/>
  <c r="D144" i="6"/>
  <c r="C144" i="6"/>
  <c r="X119" i="6"/>
  <c r="Y119" i="6"/>
  <c r="X128" i="6"/>
  <c r="Y128" i="6"/>
  <c r="Y111" i="6"/>
  <c r="X111" i="6"/>
  <c r="Y110" i="6"/>
  <c r="X110" i="6"/>
  <c r="Y101" i="6"/>
  <c r="X101" i="6"/>
  <c r="Y100" i="6"/>
  <c r="X100" i="6"/>
  <c r="Y99" i="6"/>
  <c r="X99" i="6"/>
  <c r="Y98" i="6"/>
  <c r="X98" i="6"/>
  <c r="X73" i="6"/>
  <c r="Y73" i="6"/>
  <c r="X74" i="6"/>
  <c r="Y74" i="6"/>
  <c r="X75" i="6"/>
  <c r="Y75" i="6"/>
  <c r="X76" i="6"/>
  <c r="Y76" i="6"/>
  <c r="X55" i="6"/>
  <c r="Y55" i="6"/>
  <c r="Y43" i="6"/>
  <c r="X43" i="6"/>
  <c r="X31" i="6"/>
  <c r="Y31" i="6"/>
  <c r="X32" i="6"/>
  <c r="Y32" i="6"/>
  <c r="X33" i="6"/>
  <c r="Y33" i="6"/>
  <c r="X14" i="6"/>
  <c r="D137" i="8" l="1"/>
  <c r="F138" i="8"/>
  <c r="D133" i="8"/>
  <c r="D143" i="8"/>
  <c r="D141" i="8"/>
  <c r="E145" i="8"/>
  <c r="E134" i="8"/>
  <c r="D147" i="8"/>
  <c r="E148" i="8"/>
  <c r="J148" i="8" s="1"/>
  <c r="F142" i="8"/>
  <c r="F145" i="8"/>
  <c r="F140" i="8"/>
  <c r="D146" i="8"/>
  <c r="E139" i="8"/>
  <c r="D144" i="8"/>
  <c r="F134" i="8"/>
  <c r="F135" i="8"/>
  <c r="D139" i="8"/>
  <c r="D136" i="8"/>
  <c r="E137" i="8"/>
  <c r="F141" i="8"/>
  <c r="F139" i="8"/>
  <c r="J139" i="8" s="1"/>
  <c r="F146" i="8"/>
  <c r="E146" i="8"/>
  <c r="I146" i="8" s="1"/>
  <c r="F133" i="8"/>
  <c r="E147" i="8"/>
  <c r="D140" i="8"/>
  <c r="E141" i="8"/>
  <c r="D138" i="8"/>
  <c r="E144" i="8"/>
  <c r="E136" i="8"/>
  <c r="I136" i="8" s="1"/>
  <c r="D135" i="8"/>
  <c r="I135" i="8" s="1"/>
  <c r="D148" i="8"/>
  <c r="I148" i="8" s="1"/>
  <c r="E143" i="8"/>
  <c r="D142" i="8"/>
  <c r="D145" i="8"/>
  <c r="D134" i="8"/>
  <c r="I134" i="8" s="1"/>
  <c r="E138" i="8"/>
  <c r="F144" i="8"/>
  <c r="J144" i="8" s="1"/>
  <c r="F136" i="8"/>
  <c r="J136" i="8" s="1"/>
  <c r="E142" i="8"/>
  <c r="F147" i="8"/>
  <c r="J147" i="8" s="1"/>
  <c r="E140" i="8"/>
  <c r="J140" i="8" s="1"/>
  <c r="I133" i="8"/>
  <c r="I141" i="8"/>
  <c r="I137" i="8"/>
  <c r="I139" i="8"/>
  <c r="I147" i="8"/>
  <c r="J135" i="8"/>
  <c r="J133" i="8"/>
  <c r="J143" i="8"/>
  <c r="J137" i="8"/>
  <c r="I146" i="6"/>
  <c r="J138" i="6"/>
  <c r="I145" i="6"/>
  <c r="J141" i="6"/>
  <c r="I138" i="6"/>
  <c r="I141" i="6"/>
  <c r="I140" i="6"/>
  <c r="J150" i="6"/>
  <c r="I136" i="6"/>
  <c r="J148" i="6"/>
  <c r="J144" i="6"/>
  <c r="J142" i="6"/>
  <c r="J137" i="6"/>
  <c r="J149" i="6"/>
  <c r="J146" i="6"/>
  <c r="J145" i="6"/>
  <c r="X12" i="6"/>
  <c r="Y12" i="6"/>
  <c r="X13" i="6"/>
  <c r="Y13" i="6"/>
  <c r="Y86" i="6"/>
  <c r="X86" i="6"/>
  <c r="Y58" i="6"/>
  <c r="X58" i="6"/>
  <c r="Y57" i="6"/>
  <c r="X57" i="6"/>
  <c r="Y56" i="6"/>
  <c r="X56" i="6"/>
  <c r="Y34" i="6"/>
  <c r="X34" i="6"/>
  <c r="Y15" i="6"/>
  <c r="X15" i="6"/>
  <c r="Y14" i="6"/>
  <c r="C118" i="4"/>
  <c r="C108" i="4"/>
  <c r="C117" i="4"/>
  <c r="C113" i="4"/>
  <c r="C110" i="4"/>
  <c r="C109" i="4"/>
  <c r="C115" i="4"/>
  <c r="C116" i="4"/>
  <c r="C114" i="4"/>
  <c r="C112" i="4"/>
  <c r="C111" i="4"/>
  <c r="C119" i="4"/>
  <c r="G119" i="4"/>
  <c r="H119" i="4"/>
  <c r="G111" i="4"/>
  <c r="H111" i="4"/>
  <c r="G112" i="4"/>
  <c r="H112" i="4"/>
  <c r="G114" i="4"/>
  <c r="H114" i="4"/>
  <c r="G116" i="4"/>
  <c r="H116" i="4"/>
  <c r="G115" i="4"/>
  <c r="H115" i="4"/>
  <c r="G109" i="4"/>
  <c r="H109" i="4"/>
  <c r="G110" i="4"/>
  <c r="H110" i="4"/>
  <c r="G113" i="4"/>
  <c r="H113" i="4"/>
  <c r="G117" i="4"/>
  <c r="H117" i="4"/>
  <c r="G108" i="4"/>
  <c r="H108" i="4"/>
  <c r="G118" i="4"/>
  <c r="H118" i="4"/>
  <c r="H107" i="4"/>
  <c r="G107" i="4"/>
  <c r="C107" i="4"/>
  <c r="Y89" i="4"/>
  <c r="X89" i="4"/>
  <c r="Y88" i="4"/>
  <c r="X88" i="4"/>
  <c r="Y87" i="4"/>
  <c r="X87" i="4"/>
  <c r="Y86" i="4"/>
  <c r="X86" i="4"/>
  <c r="Y85" i="4"/>
  <c r="X85" i="4"/>
  <c r="Y84" i="4"/>
  <c r="X84" i="4"/>
  <c r="X72" i="4"/>
  <c r="Y72" i="4"/>
  <c r="X56" i="4"/>
  <c r="Y56" i="4"/>
  <c r="X57" i="4"/>
  <c r="Y57" i="4"/>
  <c r="X34" i="4"/>
  <c r="Y34" i="4"/>
  <c r="X35" i="4"/>
  <c r="Y35" i="4"/>
  <c r="X36" i="4"/>
  <c r="Y36" i="4"/>
  <c r="X37" i="4"/>
  <c r="Y37" i="4"/>
  <c r="I142" i="8" l="1"/>
  <c r="I144" i="8"/>
  <c r="I145" i="8"/>
  <c r="I138" i="8"/>
  <c r="J141" i="8"/>
  <c r="I140" i="8"/>
  <c r="I143" i="8"/>
  <c r="J145" i="8"/>
  <c r="J146" i="8"/>
  <c r="J142" i="8"/>
  <c r="J138" i="8"/>
  <c r="J134" i="8"/>
  <c r="Y58" i="4"/>
  <c r="X58" i="4"/>
  <c r="Y39" i="4"/>
  <c r="X39" i="4"/>
  <c r="Y38" i="4"/>
  <c r="X38" i="4"/>
  <c r="Y17" i="4"/>
  <c r="X17" i="4"/>
  <c r="Y16" i="4"/>
  <c r="X16" i="4"/>
  <c r="Y15" i="4"/>
  <c r="X15" i="4"/>
  <c r="Y14" i="4"/>
  <c r="X14" i="4"/>
  <c r="Y13" i="4"/>
  <c r="X13" i="4"/>
  <c r="Y12" i="4"/>
  <c r="X12" i="4"/>
  <c r="C100" i="3"/>
  <c r="C97" i="3"/>
  <c r="C98" i="3"/>
  <c r="C99" i="3"/>
  <c r="C95" i="3"/>
  <c r="C101" i="3"/>
  <c r="C96" i="3"/>
  <c r="C94" i="3"/>
  <c r="C90" i="3"/>
  <c r="C88" i="3"/>
  <c r="C87" i="3"/>
  <c r="C93" i="3"/>
  <c r="C92" i="3"/>
  <c r="C89" i="3"/>
  <c r="G89" i="3"/>
  <c r="H89" i="3"/>
  <c r="G92" i="3"/>
  <c r="H92" i="3"/>
  <c r="G93" i="3"/>
  <c r="H93" i="3"/>
  <c r="G87" i="3"/>
  <c r="H87" i="3"/>
  <c r="G88" i="3"/>
  <c r="H88" i="3"/>
  <c r="G90" i="3"/>
  <c r="H90" i="3"/>
  <c r="G94" i="3"/>
  <c r="H94" i="3"/>
  <c r="G96" i="3"/>
  <c r="H96" i="3"/>
  <c r="G101" i="3"/>
  <c r="H101" i="3"/>
  <c r="G95" i="3"/>
  <c r="H95" i="3"/>
  <c r="G99" i="3"/>
  <c r="H99" i="3"/>
  <c r="G98" i="3"/>
  <c r="H98" i="3"/>
  <c r="G97" i="3"/>
  <c r="H97" i="3"/>
  <c r="G100" i="3"/>
  <c r="H100" i="3"/>
  <c r="D119" i="4" l="1"/>
  <c r="E114" i="4"/>
  <c r="F109" i="4"/>
  <c r="D113" i="4"/>
  <c r="E118" i="4"/>
  <c r="E107" i="4"/>
  <c r="F117" i="4"/>
  <c r="E119" i="4"/>
  <c r="F114" i="4"/>
  <c r="J114" i="4" s="1"/>
  <c r="D115" i="4"/>
  <c r="E113" i="4"/>
  <c r="F118" i="4"/>
  <c r="J118" i="4" s="1"/>
  <c r="D107" i="4"/>
  <c r="D118" i="4"/>
  <c r="I118" i="4" s="1"/>
  <c r="F119" i="4"/>
  <c r="J119" i="4" s="1"/>
  <c r="D112" i="4"/>
  <c r="E115" i="4"/>
  <c r="F113" i="4"/>
  <c r="J113" i="4" s="1"/>
  <c r="D108" i="4"/>
  <c r="E112" i="4"/>
  <c r="F115" i="4"/>
  <c r="J115" i="4" s="1"/>
  <c r="D110" i="4"/>
  <c r="E108" i="4"/>
  <c r="I108" i="4" s="1"/>
  <c r="F111" i="4"/>
  <c r="F112" i="4"/>
  <c r="D116" i="4"/>
  <c r="E110" i="4"/>
  <c r="F108" i="4"/>
  <c r="J108" i="4" s="1"/>
  <c r="E109" i="4"/>
  <c r="D111" i="4"/>
  <c r="E116" i="4"/>
  <c r="F110" i="4"/>
  <c r="J110" i="4" s="1"/>
  <c r="D117" i="4"/>
  <c r="F107" i="4"/>
  <c r="E111" i="4"/>
  <c r="F116" i="4"/>
  <c r="J116" i="4" s="1"/>
  <c r="D109" i="4"/>
  <c r="E117" i="4"/>
  <c r="D114" i="4"/>
  <c r="I114" i="4" s="1"/>
  <c r="H91" i="3"/>
  <c r="G91" i="3"/>
  <c r="C91" i="3"/>
  <c r="J112" i="4" l="1"/>
  <c r="I107" i="4"/>
  <c r="J107" i="4"/>
  <c r="J111" i="4"/>
  <c r="J117" i="4"/>
  <c r="I111" i="4"/>
  <c r="I110" i="4"/>
  <c r="I109" i="4"/>
  <c r="I112" i="4"/>
  <c r="I113" i="4"/>
  <c r="J109" i="4"/>
  <c r="I116" i="4"/>
  <c r="I115" i="4"/>
  <c r="I117" i="4"/>
  <c r="I119" i="4"/>
  <c r="Y79" i="3"/>
  <c r="X79" i="3"/>
  <c r="Y70" i="3"/>
  <c r="X70" i="3"/>
  <c r="Y63" i="3"/>
  <c r="X63" i="3"/>
  <c r="Y62" i="3"/>
  <c r="X62" i="3"/>
  <c r="Y56" i="3"/>
  <c r="X56" i="3"/>
  <c r="X43" i="3"/>
  <c r="Y43" i="3"/>
  <c r="X44" i="3"/>
  <c r="Y44" i="3"/>
  <c r="X45" i="3"/>
  <c r="Y45" i="3"/>
  <c r="X37" i="3"/>
  <c r="Y37" i="3"/>
  <c r="Y46" i="3" l="1"/>
  <c r="X46" i="3"/>
  <c r="Y36" i="3"/>
  <c r="X36" i="3"/>
  <c r="Y18" i="3"/>
  <c r="X18" i="3"/>
  <c r="Y17" i="3"/>
  <c r="X17" i="3"/>
  <c r="Y16" i="3"/>
  <c r="X16" i="3"/>
  <c r="Y15" i="3"/>
  <c r="X15" i="3"/>
  <c r="Y14" i="3"/>
  <c r="X14" i="3"/>
  <c r="Y13" i="3"/>
  <c r="X13" i="3"/>
  <c r="Y12" i="3"/>
  <c r="X12" i="3"/>
  <c r="H80" i="2"/>
  <c r="H79" i="2"/>
  <c r="H81" i="2"/>
  <c r="H82" i="2"/>
  <c r="H84" i="2"/>
  <c r="H85" i="2"/>
  <c r="H83" i="2"/>
  <c r="H93" i="2"/>
  <c r="H91" i="2"/>
  <c r="H90" i="2"/>
  <c r="H86" i="2"/>
  <c r="H92" i="2"/>
  <c r="H87" i="2"/>
  <c r="H88" i="2"/>
  <c r="H89" i="2"/>
  <c r="H78" i="2"/>
  <c r="G80" i="2"/>
  <c r="G79" i="2"/>
  <c r="G81" i="2"/>
  <c r="G82" i="2"/>
  <c r="G84" i="2"/>
  <c r="G85" i="2"/>
  <c r="G83" i="2"/>
  <c r="G93" i="2"/>
  <c r="G91" i="2"/>
  <c r="G90" i="2"/>
  <c r="G86" i="2"/>
  <c r="G92" i="2"/>
  <c r="G87" i="2"/>
  <c r="G88" i="2"/>
  <c r="G89" i="2"/>
  <c r="G78" i="2"/>
  <c r="F80" i="2"/>
  <c r="F79" i="2"/>
  <c r="F81" i="2"/>
  <c r="F82" i="2"/>
  <c r="F84" i="2"/>
  <c r="F85" i="2"/>
  <c r="F83" i="2"/>
  <c r="F93" i="2"/>
  <c r="F91" i="2"/>
  <c r="F90" i="2"/>
  <c r="F86" i="2"/>
  <c r="F92" i="2"/>
  <c r="F87" i="2"/>
  <c r="F88" i="2"/>
  <c r="F89" i="2"/>
  <c r="F78" i="2"/>
  <c r="E80" i="2"/>
  <c r="E79" i="2"/>
  <c r="E81" i="2"/>
  <c r="E82" i="2"/>
  <c r="E84" i="2"/>
  <c r="E85" i="2"/>
  <c r="E83" i="2"/>
  <c r="E93" i="2"/>
  <c r="E91" i="2"/>
  <c r="E90" i="2"/>
  <c r="E86" i="2"/>
  <c r="E92" i="2"/>
  <c r="E87" i="2"/>
  <c r="E88" i="2"/>
  <c r="E89" i="2"/>
  <c r="E78" i="2"/>
  <c r="D80" i="2"/>
  <c r="D79" i="2"/>
  <c r="D81" i="2"/>
  <c r="D82" i="2"/>
  <c r="I82" i="2" s="1"/>
  <c r="D84" i="2"/>
  <c r="D85" i="2"/>
  <c r="D83" i="2"/>
  <c r="D93" i="2"/>
  <c r="D91" i="2"/>
  <c r="D90" i="2"/>
  <c r="D86" i="2"/>
  <c r="D92" i="2"/>
  <c r="D87" i="2"/>
  <c r="D88" i="2"/>
  <c r="D89" i="2"/>
  <c r="D78" i="2"/>
  <c r="C89" i="2"/>
  <c r="C88" i="2"/>
  <c r="C87" i="2"/>
  <c r="C92" i="2"/>
  <c r="C86" i="2"/>
  <c r="C90" i="2"/>
  <c r="C91" i="2"/>
  <c r="C93" i="2"/>
  <c r="C83" i="2"/>
  <c r="C85" i="2"/>
  <c r="C84" i="2"/>
  <c r="C82" i="2"/>
  <c r="C81" i="2"/>
  <c r="C79" i="2"/>
  <c r="C80" i="2"/>
  <c r="C78" i="2"/>
  <c r="X69" i="2"/>
  <c r="Y69" i="2"/>
  <c r="Y60" i="2"/>
  <c r="X60" i="2"/>
  <c r="X52" i="2"/>
  <c r="Y52" i="2"/>
  <c r="X53" i="2"/>
  <c r="Y53" i="2"/>
  <c r="Y46" i="2"/>
  <c r="X46" i="2"/>
  <c r="X33" i="2"/>
  <c r="Y33" i="2"/>
  <c r="X19" i="2"/>
  <c r="Y19" i="2"/>
  <c r="X18" i="2"/>
  <c r="Y18" i="2"/>
  <c r="Y36" i="2"/>
  <c r="X36" i="2"/>
  <c r="Y35" i="2"/>
  <c r="X35" i="2"/>
  <c r="Y34" i="2"/>
  <c r="X34" i="2"/>
  <c r="Y17" i="2"/>
  <c r="X17" i="2"/>
  <c r="Y16" i="2"/>
  <c r="X16" i="2"/>
  <c r="Y15" i="2"/>
  <c r="X15" i="2"/>
  <c r="Y14" i="2"/>
  <c r="X14" i="2"/>
  <c r="Y13" i="2"/>
  <c r="X13" i="2"/>
  <c r="Y12" i="2"/>
  <c r="X12" i="2"/>
  <c r="G17" i="28"/>
  <c r="F17" i="28"/>
  <c r="E17" i="28"/>
  <c r="K10" i="28"/>
  <c r="R10" i="28" s="1"/>
  <c r="L6" i="28"/>
  <c r="K6" i="28"/>
  <c r="R6" i="28" s="1"/>
  <c r="H107" i="1"/>
  <c r="H111" i="1"/>
  <c r="H115" i="1"/>
  <c r="H106" i="1"/>
  <c r="H108" i="1"/>
  <c r="H114" i="1"/>
  <c r="H103" i="1"/>
  <c r="H109" i="1"/>
  <c r="H112" i="1"/>
  <c r="H105" i="1"/>
  <c r="H113" i="1"/>
  <c r="H110" i="1"/>
  <c r="H104" i="1"/>
  <c r="G107" i="1"/>
  <c r="G111" i="1"/>
  <c r="G115" i="1"/>
  <c r="G106" i="1"/>
  <c r="G108" i="1"/>
  <c r="G114" i="1"/>
  <c r="G103" i="1"/>
  <c r="G109" i="1"/>
  <c r="G112" i="1"/>
  <c r="G105" i="1"/>
  <c r="G113" i="1"/>
  <c r="G110" i="1"/>
  <c r="G104" i="1"/>
  <c r="C110" i="1"/>
  <c r="C113" i="1"/>
  <c r="C105" i="1"/>
  <c r="C112" i="1"/>
  <c r="C109" i="1"/>
  <c r="C114" i="1"/>
  <c r="C108" i="1"/>
  <c r="C106" i="1"/>
  <c r="C115" i="1"/>
  <c r="C111" i="1"/>
  <c r="C107" i="1"/>
  <c r="C104" i="1"/>
  <c r="J86" i="2" l="1"/>
  <c r="J81" i="2"/>
  <c r="I24" i="28"/>
  <c r="I20" i="28"/>
  <c r="J16" i="28"/>
  <c r="H24" i="28"/>
  <c r="H20" i="28"/>
  <c r="I23" i="28"/>
  <c r="H23" i="28"/>
  <c r="I90" i="2"/>
  <c r="I79" i="2"/>
  <c r="J90" i="2"/>
  <c r="J79" i="2"/>
  <c r="I91" i="2"/>
  <c r="I80" i="2"/>
  <c r="J91" i="2"/>
  <c r="J80" i="2"/>
  <c r="E8" i="28"/>
  <c r="I93" i="2"/>
  <c r="F8" i="28"/>
  <c r="G8" i="28"/>
  <c r="J93" i="2"/>
  <c r="I8" i="28"/>
  <c r="I92" i="2"/>
  <c r="I89" i="2"/>
  <c r="I83" i="2"/>
  <c r="E22" i="28"/>
  <c r="F22" i="28"/>
  <c r="J89" i="2"/>
  <c r="J83" i="2"/>
  <c r="G22" i="28"/>
  <c r="H22" i="28"/>
  <c r="I22" i="28"/>
  <c r="I88" i="2"/>
  <c r="I85" i="2"/>
  <c r="E15" i="28"/>
  <c r="F15" i="28"/>
  <c r="J88" i="2"/>
  <c r="J85" i="2"/>
  <c r="G15" i="28"/>
  <c r="E12" i="28"/>
  <c r="I84" i="2"/>
  <c r="E18" i="28"/>
  <c r="F12" i="28"/>
  <c r="F18" i="28"/>
  <c r="J87" i="2"/>
  <c r="G12" i="28"/>
  <c r="J84" i="2"/>
  <c r="G18" i="28"/>
  <c r="E11" i="28"/>
  <c r="F11" i="28"/>
  <c r="J92" i="2"/>
  <c r="J82" i="2"/>
  <c r="G11" i="28"/>
  <c r="I86" i="2"/>
  <c r="I81" i="2"/>
  <c r="L10" i="28"/>
  <c r="K17" i="28"/>
  <c r="R17" i="28" s="1"/>
  <c r="K21" i="28"/>
  <c r="R21" i="28" s="1"/>
  <c r="L17" i="28"/>
  <c r="L21" i="28"/>
  <c r="J17" i="28"/>
  <c r="J10" i="28"/>
  <c r="J19" i="28"/>
  <c r="F89" i="3"/>
  <c r="D93" i="3"/>
  <c r="E90" i="3"/>
  <c r="F101" i="3"/>
  <c r="D99" i="3"/>
  <c r="E100" i="3"/>
  <c r="E93" i="3"/>
  <c r="F90" i="3"/>
  <c r="J90" i="3" s="1"/>
  <c r="D96" i="3"/>
  <c r="E99" i="3"/>
  <c r="F100" i="3"/>
  <c r="D95" i="3"/>
  <c r="F93" i="3"/>
  <c r="D88" i="3"/>
  <c r="E96" i="3"/>
  <c r="F99" i="3"/>
  <c r="D97" i="3"/>
  <c r="D92" i="3"/>
  <c r="E88" i="3"/>
  <c r="F96" i="3"/>
  <c r="E97" i="3"/>
  <c r="E92" i="3"/>
  <c r="F88" i="3"/>
  <c r="D94" i="3"/>
  <c r="E95" i="3"/>
  <c r="F97" i="3"/>
  <c r="F87" i="3"/>
  <c r="E101" i="3"/>
  <c r="F92" i="3"/>
  <c r="J92" i="3" s="1"/>
  <c r="D87" i="3"/>
  <c r="E94" i="3"/>
  <c r="F95" i="3"/>
  <c r="J95" i="3" s="1"/>
  <c r="D98" i="3"/>
  <c r="E89" i="3"/>
  <c r="D90" i="3"/>
  <c r="I90" i="3" s="1"/>
  <c r="F98" i="3"/>
  <c r="D89" i="3"/>
  <c r="E87" i="3"/>
  <c r="F94" i="3"/>
  <c r="J94" i="3" s="1"/>
  <c r="D101" i="3"/>
  <c r="I101" i="3" s="1"/>
  <c r="E98" i="3"/>
  <c r="D100" i="3"/>
  <c r="F91" i="3"/>
  <c r="J91" i="3" s="1"/>
  <c r="E91" i="3"/>
  <c r="D91" i="3"/>
  <c r="I91" i="3" s="1"/>
  <c r="I87" i="2"/>
  <c r="J78" i="2"/>
  <c r="J13" i="28"/>
  <c r="I78" i="2"/>
  <c r="J6" i="28"/>
  <c r="J21" i="28"/>
  <c r="H74" i="1"/>
  <c r="H73" i="1"/>
  <c r="H72" i="1"/>
  <c r="G74" i="1"/>
  <c r="G73" i="1"/>
  <c r="G72" i="1"/>
  <c r="C73" i="1"/>
  <c r="C74" i="1"/>
  <c r="C72" i="1"/>
  <c r="H59" i="1"/>
  <c r="H57" i="1"/>
  <c r="H58" i="1"/>
  <c r="G59" i="1"/>
  <c r="G57" i="1"/>
  <c r="G58" i="1"/>
  <c r="C57" i="1"/>
  <c r="C59" i="1"/>
  <c r="C58" i="1"/>
  <c r="C44" i="1"/>
  <c r="C43" i="1"/>
  <c r="C42" i="1"/>
  <c r="H43" i="1"/>
  <c r="H44" i="1"/>
  <c r="H42" i="1"/>
  <c r="G43" i="1"/>
  <c r="G44" i="1"/>
  <c r="G42" i="1"/>
  <c r="Y95" i="1"/>
  <c r="X95" i="1"/>
  <c r="Y80" i="1"/>
  <c r="X80" i="1"/>
  <c r="Y79" i="1"/>
  <c r="X79" i="1"/>
  <c r="Y66" i="1"/>
  <c r="X66" i="1"/>
  <c r="Y65" i="1"/>
  <c r="X65" i="1"/>
  <c r="Y64" i="1"/>
  <c r="X64" i="1"/>
  <c r="Y51" i="1"/>
  <c r="X51" i="1"/>
  <c r="Y50" i="1"/>
  <c r="X50" i="1"/>
  <c r="Y49" i="1"/>
  <c r="X49" i="1"/>
  <c r="Y36" i="1"/>
  <c r="Y35" i="1"/>
  <c r="Y34" i="1"/>
  <c r="X35" i="1"/>
  <c r="X36" i="1"/>
  <c r="X34" i="1"/>
  <c r="Y13" i="1"/>
  <c r="Y14" i="1"/>
  <c r="Y15" i="1"/>
  <c r="Y16" i="1"/>
  <c r="Y17" i="1"/>
  <c r="Y12" i="1"/>
  <c r="X13" i="1"/>
  <c r="X14" i="1"/>
  <c r="X15" i="1"/>
  <c r="X16" i="1"/>
  <c r="X17" i="1"/>
  <c r="X12" i="1"/>
  <c r="H29" i="1"/>
  <c r="H26" i="1"/>
  <c r="H27" i="1"/>
  <c r="G29" i="1"/>
  <c r="G26" i="1"/>
  <c r="G27" i="1"/>
  <c r="H28" i="1"/>
  <c r="G28" i="1"/>
  <c r="C27" i="1"/>
  <c r="C29" i="1"/>
  <c r="C28" i="1"/>
  <c r="K11" i="28" l="1"/>
  <c r="R11" i="28" s="1"/>
  <c r="J24" i="28"/>
  <c r="J12" i="28"/>
  <c r="J20" i="28"/>
  <c r="J22" i="28"/>
  <c r="L11" i="28"/>
  <c r="J18" i="28"/>
  <c r="J15" i="28"/>
  <c r="J14" i="28"/>
  <c r="J11" i="28"/>
  <c r="J7" i="28"/>
  <c r="J5" i="28"/>
  <c r="J23" i="28"/>
  <c r="J9" i="28"/>
  <c r="J8" i="28"/>
  <c r="K8" i="28"/>
  <c r="R8" i="28" s="1"/>
  <c r="L8" i="28"/>
  <c r="L15" i="28"/>
  <c r="I92" i="3"/>
  <c r="I94" i="3"/>
  <c r="J88" i="3"/>
  <c r="J99" i="3"/>
  <c r="L12" i="28"/>
  <c r="K15" i="28"/>
  <c r="R15" i="28" s="1"/>
  <c r="I87" i="3"/>
  <c r="I88" i="3"/>
  <c r="I89" i="3"/>
  <c r="J93" i="3"/>
  <c r="I99" i="3"/>
  <c r="K12" i="28"/>
  <c r="R12" i="28" s="1"/>
  <c r="J98" i="3"/>
  <c r="J96" i="3"/>
  <c r="I95" i="3"/>
  <c r="J101" i="3"/>
  <c r="J87" i="3"/>
  <c r="J100" i="3"/>
  <c r="I100" i="3"/>
  <c r="J97" i="3"/>
  <c r="I93" i="3"/>
  <c r="I98" i="3"/>
  <c r="I97" i="3"/>
  <c r="I96" i="3"/>
  <c r="J89" i="3"/>
  <c r="F103" i="1"/>
  <c r="E105" i="1"/>
  <c r="D104" i="1"/>
  <c r="F109" i="1"/>
  <c r="E115" i="1"/>
  <c r="E113" i="1"/>
  <c r="D114" i="1"/>
  <c r="F110" i="1"/>
  <c r="F107" i="1"/>
  <c r="F112" i="1"/>
  <c r="E106" i="1"/>
  <c r="E110" i="1"/>
  <c r="D103" i="1"/>
  <c r="F106" i="1"/>
  <c r="F111" i="1"/>
  <c r="F105" i="1"/>
  <c r="E108" i="1"/>
  <c r="E104" i="1"/>
  <c r="D109" i="1"/>
  <c r="D111" i="1"/>
  <c r="F115" i="1"/>
  <c r="F113" i="1"/>
  <c r="E114" i="1"/>
  <c r="D107" i="1"/>
  <c r="D112" i="1"/>
  <c r="E103" i="1"/>
  <c r="D105" i="1"/>
  <c r="F108" i="1"/>
  <c r="F104" i="1"/>
  <c r="E109" i="1"/>
  <c r="D115" i="1"/>
  <c r="D113" i="1"/>
  <c r="F114" i="1"/>
  <c r="E107" i="1"/>
  <c r="E112" i="1"/>
  <c r="D106" i="1"/>
  <c r="D110" i="1"/>
  <c r="E111" i="1"/>
  <c r="D108" i="1"/>
  <c r="F74" i="1"/>
  <c r="D57" i="1"/>
  <c r="D73" i="1"/>
  <c r="D44" i="1"/>
  <c r="D43" i="1"/>
  <c r="E57" i="1"/>
  <c r="I57" i="1" s="1"/>
  <c r="D74" i="1"/>
  <c r="E58" i="1"/>
  <c r="E59" i="1"/>
  <c r="E72" i="1"/>
  <c r="F29" i="1"/>
  <c r="F58" i="1"/>
  <c r="J58" i="1" s="1"/>
  <c r="E73" i="1"/>
  <c r="F57" i="1"/>
  <c r="J57" i="1" s="1"/>
  <c r="E74" i="1"/>
  <c r="F59" i="1"/>
  <c r="J59" i="1" s="1"/>
  <c r="F72" i="1"/>
  <c r="F73" i="1"/>
  <c r="I114" i="1"/>
  <c r="E28" i="1"/>
  <c r="J28" i="1" s="1"/>
  <c r="D58" i="1"/>
  <c r="I58" i="1" s="1"/>
  <c r="D59" i="1"/>
  <c r="I59" i="1" s="1"/>
  <c r="D72" i="1"/>
  <c r="E42" i="1"/>
  <c r="F28" i="1"/>
  <c r="E44" i="1"/>
  <c r="F27" i="1"/>
  <c r="E43" i="1"/>
  <c r="F26" i="1"/>
  <c r="F42" i="1"/>
  <c r="F44" i="1"/>
  <c r="D29" i="1"/>
  <c r="D42" i="1"/>
  <c r="F43" i="1"/>
  <c r="D28" i="1"/>
  <c r="D27" i="1"/>
  <c r="D26" i="1"/>
  <c r="E29" i="1"/>
  <c r="E26" i="1"/>
  <c r="E27" i="1"/>
  <c r="I73" i="1" l="1"/>
  <c r="I72" i="1"/>
  <c r="J74" i="1"/>
  <c r="F5" i="28"/>
  <c r="G23" i="28"/>
  <c r="G13" i="28"/>
  <c r="E14" i="28"/>
  <c r="E23" i="28"/>
  <c r="I44" i="1"/>
  <c r="E5" i="28"/>
  <c r="E16" i="28"/>
  <c r="G9" i="28"/>
  <c r="F9" i="28"/>
  <c r="G14" i="28"/>
  <c r="G20" i="28"/>
  <c r="F14" i="28"/>
  <c r="E24" i="28"/>
  <c r="G16" i="28"/>
  <c r="E13" i="28"/>
  <c r="F16" i="28"/>
  <c r="E20" i="28"/>
  <c r="E9" i="28"/>
  <c r="F24" i="28"/>
  <c r="F20" i="28"/>
  <c r="E7" i="28"/>
  <c r="F23" i="28"/>
  <c r="F13" i="28"/>
  <c r="F7" i="28"/>
  <c r="L22" i="28"/>
  <c r="L19" i="28"/>
  <c r="I42" i="1"/>
  <c r="J72" i="1"/>
  <c r="G7" i="28"/>
  <c r="G5" i="28"/>
  <c r="I104" i="1"/>
  <c r="K18" i="28"/>
  <c r="R18" i="28" s="1"/>
  <c r="J115" i="1"/>
  <c r="J108" i="1"/>
  <c r="J104" i="1"/>
  <c r="J106" i="1"/>
  <c r="I103" i="1"/>
  <c r="I115" i="1"/>
  <c r="I107" i="1"/>
  <c r="J110" i="1"/>
  <c r="G24" i="28"/>
  <c r="I108" i="1"/>
  <c r="I111" i="1"/>
  <c r="I109" i="1"/>
  <c r="J113" i="1"/>
  <c r="I106" i="1"/>
  <c r="J107" i="1"/>
  <c r="J112" i="1"/>
  <c r="J103" i="1"/>
  <c r="I110" i="1"/>
  <c r="I112" i="1"/>
  <c r="K19" i="28"/>
  <c r="R19" i="28" s="1"/>
  <c r="L18" i="28"/>
  <c r="K22" i="28"/>
  <c r="R22" i="28" s="1"/>
  <c r="J29" i="1"/>
  <c r="J109" i="1"/>
  <c r="J111" i="1"/>
  <c r="I43" i="1"/>
  <c r="J73" i="1"/>
  <c r="I28" i="1"/>
  <c r="J105" i="1"/>
  <c r="I105" i="1"/>
  <c r="I113" i="1"/>
  <c r="I74" i="1"/>
  <c r="J114" i="1"/>
  <c r="J43" i="1"/>
  <c r="J44" i="1"/>
  <c r="J42" i="1"/>
  <c r="I29" i="1"/>
  <c r="I26" i="1"/>
  <c r="J26" i="1"/>
  <c r="J27" i="1"/>
  <c r="I27" i="1"/>
  <c r="L23" i="28" l="1"/>
  <c r="K24" i="28"/>
  <c r="R24" i="28" s="1"/>
  <c r="L5" i="28"/>
  <c r="K14" i="28"/>
  <c r="R14" i="28" s="1"/>
  <c r="K5" i="28"/>
  <c r="R5" i="28" s="1"/>
  <c r="L16" i="28"/>
  <c r="K7" i="28"/>
  <c r="R7" i="28" s="1"/>
  <c r="L9" i="28"/>
  <c r="K16" i="28"/>
  <c r="R16" i="28" s="1"/>
  <c r="K23" i="28"/>
  <c r="R23" i="28" s="1"/>
  <c r="L20" i="28"/>
  <c r="L24" i="28"/>
  <c r="K13" i="28"/>
  <c r="R13" i="28" s="1"/>
  <c r="L14" i="28"/>
  <c r="K20" i="28"/>
  <c r="R20" i="28" s="1"/>
  <c r="L13" i="28"/>
  <c r="L7" i="28"/>
  <c r="K9" i="28"/>
  <c r="R9" i="28" s="1"/>
</calcChain>
</file>

<file path=xl/sharedStrings.xml><?xml version="1.0" encoding="utf-8"?>
<sst xmlns="http://schemas.openxmlformats.org/spreadsheetml/2006/main" count="9588" uniqueCount="463">
  <si>
    <t>1. WM 1930 in Uruguay</t>
  </si>
  <si>
    <t>Alle Spiele fanden in Montevideo statt.</t>
  </si>
  <si>
    <t>Gruppe 1</t>
  </si>
  <si>
    <t>Frankreich</t>
  </si>
  <si>
    <t>Mexiko</t>
  </si>
  <si>
    <t>Argentinien</t>
  </si>
  <si>
    <t>Chile</t>
  </si>
  <si>
    <t>Gruppe 2</t>
  </si>
  <si>
    <t>Jugoslawien</t>
  </si>
  <si>
    <t>Brasilien</t>
  </si>
  <si>
    <t>Bolivien</t>
  </si>
  <si>
    <t>Gruppe 3</t>
  </si>
  <si>
    <t>Spiele</t>
  </si>
  <si>
    <t>gew</t>
  </si>
  <si>
    <t>unent</t>
  </si>
  <si>
    <t>verl</t>
  </si>
  <si>
    <t>Rumänien</t>
  </si>
  <si>
    <t>Peru</t>
  </si>
  <si>
    <t>Uruguay</t>
  </si>
  <si>
    <t>Gruppe 4</t>
  </si>
  <si>
    <t>USA</t>
  </si>
  <si>
    <t>Belgien</t>
  </si>
  <si>
    <t>Paraguay</t>
  </si>
  <si>
    <t>Jugoslawien verzichtet. USA kampflos Dritter.</t>
  </si>
  <si>
    <t>Tore+</t>
  </si>
  <si>
    <t>Tore-</t>
  </si>
  <si>
    <t>Punkte+</t>
  </si>
  <si>
    <t>Punkte-</t>
  </si>
  <si>
    <t>Achtelfinale:</t>
  </si>
  <si>
    <t>Österreich</t>
  </si>
  <si>
    <t>n.V.</t>
  </si>
  <si>
    <t>Turin</t>
  </si>
  <si>
    <t>Ungarn</t>
  </si>
  <si>
    <t>Ägypten</t>
  </si>
  <si>
    <t>Neapel</t>
  </si>
  <si>
    <t>Spanien</t>
  </si>
  <si>
    <t>Genua</t>
  </si>
  <si>
    <t>Italien</t>
  </si>
  <si>
    <t>Rom</t>
  </si>
  <si>
    <t>Deutschland</t>
  </si>
  <si>
    <t>Florenz</t>
  </si>
  <si>
    <t>Schweden</t>
  </si>
  <si>
    <t>Bologna</t>
  </si>
  <si>
    <t>Schweiz</t>
  </si>
  <si>
    <t>Mailand</t>
  </si>
  <si>
    <t>CSSR</t>
  </si>
  <si>
    <t>Triest</t>
  </si>
  <si>
    <t>Viertelfinale:</t>
  </si>
  <si>
    <t>Halbfinale:</t>
  </si>
  <si>
    <t>Das Tunier wurde im K.O.-System ausgespielt</t>
  </si>
  <si>
    <t>2. WM 1934 in Italien</t>
  </si>
  <si>
    <t>27. Mai-10. Juni 1934</t>
  </si>
  <si>
    <t>3. WM 1938 in Frankreich</t>
  </si>
  <si>
    <t>4.-19. Juni 1938</t>
  </si>
  <si>
    <t>Paris</t>
  </si>
  <si>
    <t>Reims</t>
  </si>
  <si>
    <t>Kuba</t>
  </si>
  <si>
    <t>Toulouse</t>
  </si>
  <si>
    <t>Colombes (bei Paris)</t>
  </si>
  <si>
    <t>Norwegen</t>
  </si>
  <si>
    <t>Marseille</t>
  </si>
  <si>
    <t>Polen</t>
  </si>
  <si>
    <t>Straßburg</t>
  </si>
  <si>
    <t>Niederlande</t>
  </si>
  <si>
    <t>Le Havre</t>
  </si>
  <si>
    <t>kampflos</t>
  </si>
  <si>
    <t>Lyon</t>
  </si>
  <si>
    <t>Bordeaux</t>
  </si>
  <si>
    <t>Lille</t>
  </si>
  <si>
    <t>Antibes</t>
  </si>
  <si>
    <t>4. WM 1950 in Brasilien</t>
  </si>
  <si>
    <t>13.-30. Juli 1930</t>
  </si>
  <si>
    <t>24. Juni - 16. Juli 1950</t>
  </si>
  <si>
    <t>Teilnahme</t>
  </si>
  <si>
    <t>England</t>
  </si>
  <si>
    <t>Curitiba</t>
  </si>
  <si>
    <t>São Paulo</t>
  </si>
  <si>
    <t>Rio de Janeiro</t>
  </si>
  <si>
    <t>Belo Horizonte</t>
  </si>
  <si>
    <t>Porto Alegre</t>
  </si>
  <si>
    <t>Recife</t>
  </si>
  <si>
    <t>Schottland</t>
  </si>
  <si>
    <t>Türkei</t>
  </si>
  <si>
    <t>Teilnahme zurück gezogen</t>
  </si>
  <si>
    <t>5. WM 1954 in der Schweiz</t>
  </si>
  <si>
    <t>16. Juni - 4. Juli 1954</t>
  </si>
  <si>
    <t>Lausanne</t>
  </si>
  <si>
    <t>Genf</t>
  </si>
  <si>
    <t>BRD</t>
  </si>
  <si>
    <t>Bern</t>
  </si>
  <si>
    <t>Südkorea</t>
  </si>
  <si>
    <t>Zürich</t>
  </si>
  <si>
    <t>Basel</t>
  </si>
  <si>
    <t>Lugano</t>
  </si>
  <si>
    <t>n. V.</t>
  </si>
  <si>
    <t>6. WM 1958 in Schweden</t>
  </si>
  <si>
    <t>8. - 29. Juni 1958</t>
  </si>
  <si>
    <t>Malmö</t>
  </si>
  <si>
    <t>Nordirland</t>
  </si>
  <si>
    <t>Halmstad</t>
  </si>
  <si>
    <t>Helsingborg</t>
  </si>
  <si>
    <t>UdSSR</t>
  </si>
  <si>
    <t>Wales</t>
  </si>
  <si>
    <t>Entscheidungsspiel:</t>
  </si>
  <si>
    <t>Norrköping</t>
  </si>
  <si>
    <t>Västerås</t>
  </si>
  <si>
    <t>Örebro</t>
  </si>
  <si>
    <t>Eskilstuna</t>
  </si>
  <si>
    <t>Solna</t>
  </si>
  <si>
    <t>Sandviken</t>
  </si>
  <si>
    <t>Göteborg</t>
  </si>
  <si>
    <t>Uddevalla</t>
  </si>
  <si>
    <t>Borås</t>
  </si>
  <si>
    <t>Tabelle:</t>
  </si>
  <si>
    <t>diff. +/-</t>
  </si>
  <si>
    <t>Teilnehmer</t>
  </si>
  <si>
    <t>30. Mai - 17. Juni 1962</t>
  </si>
  <si>
    <t>Kolumbien</t>
  </si>
  <si>
    <t>Arica</t>
  </si>
  <si>
    <t>Gruppe A</t>
  </si>
  <si>
    <t>Gruppe B</t>
  </si>
  <si>
    <t>Gruppe C</t>
  </si>
  <si>
    <t>Gruppe D</t>
  </si>
  <si>
    <t>Santiago dCh</t>
  </si>
  <si>
    <t>Viña del Mar</t>
  </si>
  <si>
    <t>Bulgarien</t>
  </si>
  <si>
    <t>Rancagua</t>
  </si>
  <si>
    <t>Länder existieren nicht mehr</t>
  </si>
  <si>
    <t>11. - 30. Juli 1966</t>
  </si>
  <si>
    <t>London</t>
  </si>
  <si>
    <t>Sheffield</t>
  </si>
  <si>
    <t>Birmingham</t>
  </si>
  <si>
    <t>Liverpool</t>
  </si>
  <si>
    <t>Portugal</t>
  </si>
  <si>
    <t>Manchester</t>
  </si>
  <si>
    <t>Middlesbrough</t>
  </si>
  <si>
    <t>Nordkorea</t>
  </si>
  <si>
    <t>Sunderland</t>
  </si>
  <si>
    <t>Potugal</t>
  </si>
  <si>
    <t>31. Mai - 21. Juni 1970</t>
  </si>
  <si>
    <t>Mexiko-City</t>
  </si>
  <si>
    <t>El Salvador</t>
  </si>
  <si>
    <t>Israel</t>
  </si>
  <si>
    <t>Puebla</t>
  </si>
  <si>
    <t>Toluca</t>
  </si>
  <si>
    <t>Guadalajara</t>
  </si>
  <si>
    <t>León</t>
  </si>
  <si>
    <t>Marokko</t>
  </si>
  <si>
    <t>13. Juni - 7. Juli 1974</t>
  </si>
  <si>
    <t>Berlin</t>
  </si>
  <si>
    <t>7. WM 1962 in Chile</t>
  </si>
  <si>
    <t>DDR</t>
  </si>
  <si>
    <t>Australien</t>
  </si>
  <si>
    <t>Hamburg</t>
  </si>
  <si>
    <t>Frankfurt</t>
  </si>
  <si>
    <t>Zaire</t>
  </si>
  <si>
    <t>Dortmund</t>
  </si>
  <si>
    <t>Gelsenkirchen</t>
  </si>
  <si>
    <t>Düsseldorf</t>
  </si>
  <si>
    <t>Hannover</t>
  </si>
  <si>
    <t>Haiti</t>
  </si>
  <si>
    <t>München</t>
  </si>
  <si>
    <t>Stuttgart</t>
  </si>
  <si>
    <t>Gruppe A:</t>
  </si>
  <si>
    <t>Gruppe B:</t>
  </si>
  <si>
    <t>11. WM 1978 in Argentinien</t>
  </si>
  <si>
    <t>10. WM 1974 in der BRD</t>
  </si>
  <si>
    <t>9. WM 1970 in Mexiko</t>
  </si>
  <si>
    <t>8. WM 1966 in England</t>
  </si>
  <si>
    <t>1. - 25. Juni 1978</t>
  </si>
  <si>
    <t>(0</t>
  </si>
  <si>
    <t>0)</t>
  </si>
  <si>
    <t>(1</t>
  </si>
  <si>
    <t>2)</t>
  </si>
  <si>
    <t>Mar del Plata</t>
  </si>
  <si>
    <t>Buenos Aires</t>
  </si>
  <si>
    <t>Tunesien</t>
  </si>
  <si>
    <t>Iran</t>
  </si>
  <si>
    <t>Rosario</t>
  </si>
  <si>
    <t>Córdoba</t>
  </si>
  <si>
    <t>Buenos Aires (Vélez)</t>
  </si>
  <si>
    <t xml:space="preserve"> 7.Juni 1978</t>
  </si>
  <si>
    <t>Mendoza</t>
  </si>
  <si>
    <t>1)</t>
  </si>
  <si>
    <t>12. WM 1982 in Spanien</t>
  </si>
  <si>
    <t>13. Juni-11. Juli 1982</t>
  </si>
  <si>
    <t>Vigo</t>
  </si>
  <si>
    <t>Gruppe 6</t>
  </si>
  <si>
    <t>Gruppe 5</t>
  </si>
  <si>
    <t>La Coruña</t>
  </si>
  <si>
    <t>Kamerun</t>
  </si>
  <si>
    <t>Gijón</t>
  </si>
  <si>
    <t>Algerien</t>
  </si>
  <si>
    <t>Oviedo</t>
  </si>
  <si>
    <t>Barcelona (Camp Nou)</t>
  </si>
  <si>
    <t>Elche</t>
  </si>
  <si>
    <t>Alicante</t>
  </si>
  <si>
    <t>Bilbao</t>
  </si>
  <si>
    <t>Valladolid</t>
  </si>
  <si>
    <t>Kuwait</t>
  </si>
  <si>
    <t>Honduras</t>
  </si>
  <si>
    <t>Valencia</t>
  </si>
  <si>
    <t>Saragossa</t>
  </si>
  <si>
    <t>Sevilla</t>
  </si>
  <si>
    <t>Málaga</t>
  </si>
  <si>
    <t>Neuseeland</t>
  </si>
  <si>
    <t>Gruppe C:</t>
  </si>
  <si>
    <t>Gruppe D:</t>
  </si>
  <si>
    <t>Madrid (Bernabéu)</t>
  </si>
  <si>
    <t>Barcelona (Sarrià)</t>
  </si>
  <si>
    <t>Madrid (Calderón)</t>
  </si>
  <si>
    <t>Sevilla (Pizjuán)</t>
  </si>
  <si>
    <t>(5</t>
  </si>
  <si>
    <t>4)</t>
  </si>
  <si>
    <t>n.E.</t>
  </si>
  <si>
    <t>(2</t>
  </si>
  <si>
    <t>Endspiel am 11. Juli 1982 in Madrid (Bernabéu)</t>
  </si>
  <si>
    <t>31. Mai-29. Juni 1986</t>
  </si>
  <si>
    <t>14. WM 1990 in Italien</t>
  </si>
  <si>
    <t>15. WM 1994 in den USA</t>
  </si>
  <si>
    <t>16. WM 1998 in Frankreich</t>
  </si>
  <si>
    <t>10. Juni-12. Juli 1998</t>
  </si>
  <si>
    <t>Teilnehmende Nationen: 32 --- Bewerbungen: 166</t>
  </si>
  <si>
    <t>31. Mai-30. Juni 2002</t>
  </si>
  <si>
    <t>Teilnehmende Nationen: 32 --- Bewerbungen: 198</t>
  </si>
  <si>
    <t>17. Juni-17. Juli 1994</t>
  </si>
  <si>
    <t>Teilnehmende Nationen: 24 --- Bewerbungen: 143</t>
  </si>
  <si>
    <t>8. Juni-8. Juli 1990</t>
  </si>
  <si>
    <t>Teilnehmende Nationen: 24 --- Bewerbungen: 112</t>
  </si>
  <si>
    <t>Teilnehmende Nationen: 24 --- Bewerbungen: 121</t>
  </si>
  <si>
    <t>13. WM 1986 in Mexiko</t>
  </si>
  <si>
    <t>Teilnehmende Nationen: 24 --- Bewerbungen: 107</t>
  </si>
  <si>
    <t>9. Juni- 9. Juli 2006</t>
  </si>
  <si>
    <t>18. WM 2006 in der BRD</t>
  </si>
  <si>
    <t>17. WM 2002 in Südkorea und Japan</t>
  </si>
  <si>
    <t>19. WM 2010 in Südafrika</t>
  </si>
  <si>
    <t>12. Juni-13. Juli 2014</t>
  </si>
  <si>
    <t>20. WM 2014 in Brasilien</t>
  </si>
  <si>
    <t>Teilnehmende Nationen: 32 --- Bewerbungen: 204</t>
  </si>
  <si>
    <t>11. Juni-11. Juli 2010</t>
  </si>
  <si>
    <t>21. WM 2018 in Russland</t>
  </si>
  <si>
    <t>Teilnehmende Nationen: 32 --- Bewerbungen: 211</t>
  </si>
  <si>
    <t>14. Juni-15. Juli 2018</t>
  </si>
  <si>
    <t>22. WM 2022 in Katar</t>
  </si>
  <si>
    <t>20. November-18. Dezember 2022</t>
  </si>
  <si>
    <t>Teilnehmende Nationen: 32 --- Bewerbungen: 209</t>
  </si>
  <si>
    <t>Gruppe E</t>
  </si>
  <si>
    <t>Gruppe F</t>
  </si>
  <si>
    <t>Mexiko-Stadt (Aztekenstadion)</t>
  </si>
  <si>
    <t>Mexiko-Stadt (Olympiastadion)</t>
  </si>
  <si>
    <t>Irak</t>
  </si>
  <si>
    <t>Kanada</t>
  </si>
  <si>
    <t>Irapuato</t>
  </si>
  <si>
    <t>Guadalajara (Estadio Jalisco)</t>
  </si>
  <si>
    <t>Guadalajara (Tres de Marzo)</t>
  </si>
  <si>
    <t>Monterrey (Tecnológico)</t>
  </si>
  <si>
    <t>Querétaro</t>
  </si>
  <si>
    <t>Nezahualcóyotl</t>
  </si>
  <si>
    <t>Dänemark</t>
  </si>
  <si>
    <t>Monterrey (Universitario)</t>
  </si>
  <si>
    <t>Guadalajara (Estadio Tres de Marzo)</t>
  </si>
  <si>
    <t>Mexiko-Stadt</t>
  </si>
  <si>
    <t>Spiel um Platz 3 am 28. Juli 1986 in Puebla:</t>
  </si>
  <si>
    <t>Endspiel am 29. Juli 1986 in Mexiko-Stadt</t>
  </si>
  <si>
    <t>(3</t>
  </si>
  <si>
    <t>Teilnehmende Nationen: 16 --- Bewerbungen: 32</t>
  </si>
  <si>
    <t>Teilnehmende Nationen: 13 --- Bewerbungen: 13</t>
  </si>
  <si>
    <t>---</t>
  </si>
  <si>
    <t>(4</t>
  </si>
  <si>
    <t>Teilnehmende Nationen: 16 --- Bewerbungen: 36</t>
  </si>
  <si>
    <t>Spiel um Platz 3 am 19. Juni 1938 in Bordeaux</t>
  </si>
  <si>
    <t>Endspiel am 19. Juni 1938 in Colombes (bei Paris)</t>
  </si>
  <si>
    <t>Wiederholungsspiele:</t>
  </si>
  <si>
    <t>Wiederholungsspiel:</t>
  </si>
  <si>
    <t>3)</t>
  </si>
  <si>
    <t>Teilnehmende Nationen: 13 --- Bewerbungen: 34</t>
  </si>
  <si>
    <t>Finalrunde:</t>
  </si>
  <si>
    <t>Indien</t>
  </si>
  <si>
    <t>Teilnehmende Nationen: 16 --- Bewerbungen: 38</t>
  </si>
  <si>
    <t>Entscheidungsspiel zum Einzug ins Viertelfinale:</t>
  </si>
  <si>
    <t>Teilnehmende Nationen: 16 --- Bewerbungen: 52</t>
  </si>
  <si>
    <t>(</t>
  </si>
  <si>
    <t>)</t>
  </si>
  <si>
    <t>Teilnehmende Nationen: 16 --- Bewerbungen: 54</t>
  </si>
  <si>
    <t>ČSFR</t>
  </si>
  <si>
    <t>Bari</t>
  </si>
  <si>
    <t>Costa Rica</t>
  </si>
  <si>
    <t>VAE</t>
  </si>
  <si>
    <t>Verona</t>
  </si>
  <si>
    <t>Udine</t>
  </si>
  <si>
    <t>Irland</t>
  </si>
  <si>
    <t>Cagliari</t>
  </si>
  <si>
    <t>Palermo</t>
  </si>
  <si>
    <t>Irland durch Losentscheid Gruppenzweiter</t>
  </si>
  <si>
    <t>Rangliste der Gruppendritten:</t>
  </si>
  <si>
    <r>
      <rPr>
        <sz val="11"/>
        <color theme="1"/>
        <rFont val="Calibri"/>
        <family val="2"/>
      </rPr>
      <t>Č</t>
    </r>
    <r>
      <rPr>
        <sz val="11"/>
        <color theme="1"/>
        <rFont val="Calibri"/>
        <family val="2"/>
        <scheme val="minor"/>
      </rPr>
      <t>SFR</t>
    </r>
  </si>
  <si>
    <t>Spiel um Platz 3 am 7. Juli 1990 in Bari:</t>
  </si>
  <si>
    <t>Endspiel am 8. Juli 1990 in Rom:</t>
  </si>
  <si>
    <t>Nation</t>
  </si>
  <si>
    <t>Pontiac</t>
  </si>
  <si>
    <t>Pasadena</t>
  </si>
  <si>
    <t>Punkte</t>
  </si>
  <si>
    <t>Russland</t>
  </si>
  <si>
    <t>Chicago</t>
  </si>
  <si>
    <t>Dallas</t>
  </si>
  <si>
    <t>Foxborough</t>
  </si>
  <si>
    <t>Griechenland</t>
  </si>
  <si>
    <t>Nigeria</t>
  </si>
  <si>
    <t>Bulgarien durch direkten Vergleich vor Argentinien Gruppenzweiter</t>
  </si>
  <si>
    <t>East Rutherford</t>
  </si>
  <si>
    <t>Washington, D.C.</t>
  </si>
  <si>
    <t>Orlando</t>
  </si>
  <si>
    <t>Irland durch direkten Vergleich vor Italien Gruppenzweiter</t>
  </si>
  <si>
    <t>Saudi-Arabien</t>
  </si>
  <si>
    <t>Niederlande durch direkten Vergleich vor Saudi-Arabien Gruppensieger</t>
  </si>
  <si>
    <t>Palo Alto</t>
  </si>
  <si>
    <t>Niederl.-Indien</t>
  </si>
  <si>
    <t>Dtsch. Reich</t>
  </si>
  <si>
    <t>Teilnehmende Nationen: 16 --- Bewerbungen: 71</t>
  </si>
  <si>
    <t>Teilnehmende Nationen: 16 --- Bewerbungen: 70</t>
  </si>
  <si>
    <t>Spiel um Platz 3 am 20. Juni 1970 in Mexiko-City</t>
  </si>
  <si>
    <t>Spiel um Platz 3 am 28. Juli 1966 in London</t>
  </si>
  <si>
    <t>Endspiel am 30. Juli 1966 in London</t>
  </si>
  <si>
    <t>Spiel um Platz 3 am 16. Juni 1962 in Santiago de Chile</t>
  </si>
  <si>
    <t>Endspielam 17. Juni 1962 in Santiago de Chile</t>
  </si>
  <si>
    <t>Spiel um Platz 3 am 28. Juni 1958 in Göteborg</t>
  </si>
  <si>
    <t>Endspiel am 29. Juni 1958 in Solna</t>
  </si>
  <si>
    <t>Spiel um Platz 3 am 3. Juli 1954 in Zürich</t>
  </si>
  <si>
    <t>Endspiel am 4. Juli 1954 in Bern</t>
  </si>
  <si>
    <t>Spiel um Platz 3 am 7. Juni 1934 in Neapel</t>
  </si>
  <si>
    <t>Endspiel am 10. Juni 1934 in Rom</t>
  </si>
  <si>
    <t>Endspiel am 30. Juli 1930 in Montevideo</t>
  </si>
  <si>
    <t>Endspiel am 21. Juni 1970 in Mexiko-City</t>
  </si>
  <si>
    <t>Teilnehmende Nationen: 16 --- Bewerbungen: 99</t>
  </si>
  <si>
    <t>Spiel um Platz 3 am 6. Juli 1974 in München</t>
  </si>
  <si>
    <t>Endspiel am 7. Juli 1974 in München</t>
  </si>
  <si>
    <t>Endspiel am 25. Juni 1978 in Buenos Aires</t>
  </si>
  <si>
    <t>Spiel um Platz 3 am 24. Juni 1978 in Buenos Aires</t>
  </si>
  <si>
    <t>Teilnehmende Nationen: 16 --- Bewerbungen: 106</t>
  </si>
  <si>
    <t>Spiel um Platz 3 am 10. Juli 1982 in Alicante</t>
  </si>
  <si>
    <t>Ab dieser WM gibt es für einen Sieg 3 Punkte, für ein Unentschieden 1 Punkt</t>
  </si>
  <si>
    <t>Gesamt</t>
  </si>
  <si>
    <t>Punkte +/- bis 1990</t>
  </si>
  <si>
    <t>Ergebnisse bis 1990</t>
  </si>
  <si>
    <t>Ergebnisse ab 1994</t>
  </si>
  <si>
    <t>Punkte ab 1994</t>
  </si>
  <si>
    <t>bis 1990</t>
  </si>
  <si>
    <t>ab 1994</t>
  </si>
  <si>
    <t>Südafrika</t>
  </si>
  <si>
    <t>Gruppe G</t>
  </si>
  <si>
    <t>Gruppe H</t>
  </si>
  <si>
    <t>Japan</t>
  </si>
  <si>
    <t>Jamaika</t>
  </si>
  <si>
    <t>Kroatien</t>
  </si>
  <si>
    <t>n.GG.</t>
  </si>
  <si>
    <t>Senegal</t>
  </si>
  <si>
    <t>Seoul</t>
  </si>
  <si>
    <t>Ulsan</t>
  </si>
  <si>
    <t>Daegu</t>
  </si>
  <si>
    <t>Busan</t>
  </si>
  <si>
    <t>Incheon</t>
  </si>
  <si>
    <t>Suwon</t>
  </si>
  <si>
    <t>Slowenien</t>
  </si>
  <si>
    <t>Gwangju</t>
  </si>
  <si>
    <t>Jeonju</t>
  </si>
  <si>
    <t>Daejeon</t>
  </si>
  <si>
    <t>Seogwipo</t>
  </si>
  <si>
    <t>China</t>
  </si>
  <si>
    <t>Niigata</t>
  </si>
  <si>
    <t>Sapporo</t>
  </si>
  <si>
    <t>Kashima</t>
  </si>
  <si>
    <t>Saitama</t>
  </si>
  <si>
    <t>Shizuoka</t>
  </si>
  <si>
    <t>Yokohama</t>
  </si>
  <si>
    <t>Kobe</t>
  </si>
  <si>
    <t>Miyagi</t>
  </si>
  <si>
    <t>Osaka</t>
  </si>
  <si>
    <t>Ecuador</t>
  </si>
  <si>
    <t>Oita</t>
  </si>
  <si>
    <t>Mivagi</t>
  </si>
  <si>
    <t>Endspiel am 30. Juni in Yokohama:</t>
  </si>
  <si>
    <t>Trin u. Tobago</t>
  </si>
  <si>
    <t>Nürnberg</t>
  </si>
  <si>
    <t>Köln</t>
  </si>
  <si>
    <t>Kaiserslautern</t>
  </si>
  <si>
    <t>Elfenbeinküste</t>
  </si>
  <si>
    <t>Serb u. Monte</t>
  </si>
  <si>
    <t>Leipzig</t>
  </si>
  <si>
    <t>Angola</t>
  </si>
  <si>
    <t>Tschechien</t>
  </si>
  <si>
    <t>Ghana</t>
  </si>
  <si>
    <t>Togo</t>
  </si>
  <si>
    <t>Ukraine</t>
  </si>
  <si>
    <t>Spiel um Platz 3 am 6. Juli 2006 in Stuttgart</t>
  </si>
  <si>
    <t>Endspiel am 9. Juli 2006 in Berlin</t>
  </si>
  <si>
    <t>Teilnehmende Nationen: 32 --- Bewerbungen: 205</t>
  </si>
  <si>
    <t>Johannesburg</t>
  </si>
  <si>
    <t>Kapstadt</t>
  </si>
  <si>
    <t>Pretoria</t>
  </si>
  <si>
    <t>Polokwane</t>
  </si>
  <si>
    <t>Rustenburg</t>
  </si>
  <si>
    <t>Bloemfontein</t>
  </si>
  <si>
    <t>Port Elizabeth</t>
  </si>
  <si>
    <t>bloemfontein</t>
  </si>
  <si>
    <t>Durban</t>
  </si>
  <si>
    <t>(Soccer City)</t>
  </si>
  <si>
    <t>Rustenberg</t>
  </si>
  <si>
    <t>(Ellis-Park)</t>
  </si>
  <si>
    <t>Serbien</t>
  </si>
  <si>
    <t>Nelspruit</t>
  </si>
  <si>
    <t>Slowakei</t>
  </si>
  <si>
    <t>Spiel um Platz 3 am 10. Juli 2010 in Port Elizabeth</t>
  </si>
  <si>
    <t>Endspiel am 11. Juli 2010 in Johannesburg (Soccer City)</t>
  </si>
  <si>
    <t>Natal</t>
  </si>
  <si>
    <t>Fortaleza</t>
  </si>
  <si>
    <t>Manaus</t>
  </si>
  <si>
    <t>Brasilia</t>
  </si>
  <si>
    <r>
      <t>S</t>
    </r>
    <r>
      <rPr>
        <sz val="11"/>
        <color theme="1"/>
        <rFont val="Calibri"/>
        <family val="2"/>
      </rPr>
      <t>ã</t>
    </r>
    <r>
      <rPr>
        <sz val="11"/>
        <color theme="1"/>
        <rFont val="Calibri"/>
        <family val="2"/>
        <scheme val="minor"/>
      </rPr>
      <t>o Paulo</t>
    </r>
  </si>
  <si>
    <r>
      <t>(Est</t>
    </r>
    <r>
      <rPr>
        <sz val="11"/>
        <color theme="1"/>
        <rFont val="Calibri"/>
        <family val="2"/>
      </rPr>
      <t>à</t>
    </r>
    <r>
      <rPr>
        <sz val="11"/>
        <color theme="1"/>
        <rFont val="Calibri"/>
        <family val="2"/>
        <scheme val="minor"/>
      </rPr>
      <t>dio Nacional)</t>
    </r>
  </si>
  <si>
    <t>Salvador</t>
  </si>
  <si>
    <r>
      <t>Cuiab</t>
    </r>
    <r>
      <rPr>
        <sz val="11"/>
        <color theme="1"/>
        <rFont val="Calibri"/>
        <family val="2"/>
      </rPr>
      <t>á</t>
    </r>
  </si>
  <si>
    <t>Bos u. Herz</t>
  </si>
  <si>
    <t>(Estàdio Nacional)</t>
  </si>
  <si>
    <r>
      <t>S</t>
    </r>
    <r>
      <rPr>
        <sz val="11"/>
        <rFont val="Calibri"/>
        <family val="2"/>
      </rPr>
      <t>ã</t>
    </r>
    <r>
      <rPr>
        <sz val="11"/>
        <rFont val="Calibri"/>
        <family val="2"/>
        <scheme val="minor"/>
      </rPr>
      <t>o Paulo</t>
    </r>
  </si>
  <si>
    <t>5)</t>
  </si>
  <si>
    <t>Spiel um Platz 3 am 12. Juli 2014 in Brasilia</t>
  </si>
  <si>
    <t>Moskau</t>
  </si>
  <si>
    <t>Jekaterinburg</t>
  </si>
  <si>
    <t>St. Petersburg</t>
  </si>
  <si>
    <t>Rostow a. Don</t>
  </si>
  <si>
    <t>Samara</t>
  </si>
  <si>
    <t>Wolgograd</t>
  </si>
  <si>
    <t>Sotschi</t>
  </si>
  <si>
    <t>Kasan</t>
  </si>
  <si>
    <t>Saransk</t>
  </si>
  <si>
    <t>Kaliningrad</t>
  </si>
  <si>
    <t>Island</t>
  </si>
  <si>
    <t>Nischni Nowgorod</t>
  </si>
  <si>
    <t>Rostow am Don</t>
  </si>
  <si>
    <t>Panama</t>
  </si>
  <si>
    <t>Endspiel am 15. Juli 2018 in Moskau</t>
  </si>
  <si>
    <t>Spiel um Platz 3 am 14. Juli 2018 in St. Petersburg</t>
  </si>
  <si>
    <t>Katar</t>
  </si>
  <si>
    <t>al-Chaur</t>
  </si>
  <si>
    <t>Doha</t>
  </si>
  <si>
    <t>ar-Rayyan</t>
  </si>
  <si>
    <t>Lusail</t>
  </si>
  <si>
    <t>al-Wakra</t>
  </si>
  <si>
    <t>Spiel um Platz 3 am 17. Dezember 2022 in ar-Rayyan</t>
  </si>
  <si>
    <t>Endspiel am 18. Dezember 2022 in Lusail</t>
  </si>
  <si>
    <t>Endspiel am 13. Juli 2014 in Rio de Janeiro</t>
  </si>
  <si>
    <t>-</t>
  </si>
  <si>
    <t>Spiel um Platz 3 am 29. Juli 1930 in Montevideo</t>
  </si>
  <si>
    <r>
      <rPr>
        <sz val="11"/>
        <rFont val="Calibri"/>
        <family val="2"/>
      </rPr>
      <t>Č</t>
    </r>
    <r>
      <rPr>
        <sz val="11"/>
        <rFont val="Calibri"/>
        <family val="2"/>
        <scheme val="minor"/>
      </rPr>
      <t>SFR</t>
    </r>
  </si>
  <si>
    <t>Endspiel am 8. Juli 1990 in Rom</t>
  </si>
  <si>
    <t>Spiel um Platz 3 am 16. Juli 1994 in Pasadena</t>
  </si>
  <si>
    <t>Viertelfinale</t>
  </si>
  <si>
    <t>Achtelfinale</t>
  </si>
  <si>
    <t>Halbfinale</t>
  </si>
  <si>
    <t>Rangliste der Gruppendritten</t>
  </si>
  <si>
    <t>Endspiel am 12. Juli 1998 in Paris</t>
  </si>
  <si>
    <t>Spiel um Platz 3 am 11. Juli 1998 in Paris</t>
  </si>
  <si>
    <t>Spiel um Platz 3 am 29. Juni 2002 in Daegu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</si>
</sst>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407]d/\ mmmm\ yyyy;@"/>
    <numFmt numFmtId="165" formatCode="[$-407]d/\ mmm/\ yyyy;@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sz val="10"/>
      <color rgb="FF202122"/>
      <name val="Arial"/>
      <family val="2"/>
    </font>
    <font>
      <b/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9"/>
      <color theme="0" tint="-0.34998626667073579"/>
      <name val="Calibri"/>
      <family val="2"/>
      <scheme val="minor"/>
    </font>
    <font>
      <sz val="11"/>
      <name val="Calibri"/>
      <family val="2"/>
    </font>
    <font>
      <b/>
      <i/>
      <sz val="11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B0F0"/>
        <bgColor indexed="64"/>
      </patternFill>
    </fill>
  </fills>
  <borders count="3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ck">
        <color auto="1"/>
      </left>
      <right/>
      <top/>
      <bottom/>
      <diagonal/>
    </border>
    <border>
      <left/>
      <right/>
      <top style="thick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mediumDashed">
        <color auto="1"/>
      </left>
      <right/>
      <top style="mediumDashed">
        <color auto="1"/>
      </top>
      <bottom/>
      <diagonal/>
    </border>
    <border>
      <left/>
      <right/>
      <top style="mediumDashed">
        <color auto="1"/>
      </top>
      <bottom/>
      <diagonal/>
    </border>
    <border>
      <left/>
      <right style="mediumDashed">
        <color auto="1"/>
      </right>
      <top style="mediumDashed">
        <color auto="1"/>
      </top>
      <bottom/>
      <diagonal/>
    </border>
    <border>
      <left style="mediumDashed">
        <color auto="1"/>
      </left>
      <right/>
      <top/>
      <bottom/>
      <diagonal/>
    </border>
    <border>
      <left/>
      <right style="mediumDashed">
        <color auto="1"/>
      </right>
      <top/>
      <bottom/>
      <diagonal/>
    </border>
    <border>
      <left style="mediumDashed">
        <color auto="1"/>
      </left>
      <right/>
      <top/>
      <bottom style="mediumDashed">
        <color auto="1"/>
      </bottom>
      <diagonal/>
    </border>
    <border>
      <left/>
      <right/>
      <top/>
      <bottom style="mediumDashed">
        <color auto="1"/>
      </bottom>
      <diagonal/>
    </border>
    <border>
      <left/>
      <right style="mediumDashed">
        <color auto="1"/>
      </right>
      <top/>
      <bottom style="mediumDashed">
        <color auto="1"/>
      </bottom>
      <diagonal/>
    </border>
    <border>
      <left style="thick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ck">
        <color auto="1"/>
      </right>
      <top style="medium">
        <color auto="1"/>
      </top>
      <bottom/>
      <diagonal/>
    </border>
    <border>
      <left style="medium">
        <color auto="1"/>
      </left>
      <right style="thick">
        <color auto="1"/>
      </right>
      <top/>
      <bottom/>
      <diagonal/>
    </border>
  </borders>
  <cellStyleXfs count="1">
    <xf numFmtId="0" fontId="0" fillId="0" borderId="0"/>
  </cellStyleXfs>
  <cellXfs count="455">
    <xf numFmtId="0" fontId="0" fillId="0" borderId="0" xfId="0"/>
    <xf numFmtId="0" fontId="0" fillId="0" borderId="0" xfId="0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NumberFormat="1" applyBorder="1" applyAlignment="1">
      <alignment horizontal="center"/>
    </xf>
    <xf numFmtId="0" fontId="0" fillId="0" borderId="5" xfId="0" applyNumberForma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NumberFormat="1" applyBorder="1" applyAlignment="1">
      <alignment horizontal="center"/>
    </xf>
    <xf numFmtId="0" fontId="0" fillId="0" borderId="8" xfId="0" applyNumberFormat="1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NumberFormat="1" applyAlignment="1">
      <alignment horizontal="left"/>
    </xf>
    <xf numFmtId="0" fontId="0" fillId="0" borderId="0" xfId="0" applyNumberFormat="1" applyFill="1" applyAlignment="1">
      <alignment horizontal="center"/>
    </xf>
    <xf numFmtId="0" fontId="0" fillId="0" borderId="0" xfId="0" applyFill="1"/>
    <xf numFmtId="0" fontId="0" fillId="0" borderId="1" xfId="0" applyFill="1" applyBorder="1" applyAlignment="1">
      <alignment horizontal="center"/>
    </xf>
    <xf numFmtId="0" fontId="0" fillId="0" borderId="2" xfId="0" applyNumberFormat="1" applyFill="1" applyBorder="1" applyAlignment="1">
      <alignment horizontal="center"/>
    </xf>
    <xf numFmtId="0" fontId="0" fillId="0" borderId="3" xfId="0" applyNumberForma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NumberForma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NumberFormat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5" xfId="0" applyNumberFormat="1" applyFill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0" xfId="0" applyNumberFormat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7" xfId="0" applyNumberFormat="1" applyFill="1" applyBorder="1" applyAlignment="1">
      <alignment horizontal="center"/>
    </xf>
    <xf numFmtId="0" fontId="0" fillId="0" borderId="8" xfId="0" applyNumberFormat="1" applyFill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12" xfId="0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3" xfId="0" applyNumberFormat="1" applyBorder="1" applyAlignment="1">
      <alignment horizontal="center"/>
    </xf>
    <xf numFmtId="0" fontId="0" fillId="0" borderId="11" xfId="0" applyFill="1" applyBorder="1" applyAlignment="1">
      <alignment horizontal="center"/>
    </xf>
    <xf numFmtId="0" fontId="0" fillId="0" borderId="0" xfId="0" applyBorder="1"/>
    <xf numFmtId="164" fontId="0" fillId="0" borderId="0" xfId="0" applyNumberForma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9" fillId="0" borderId="0" xfId="0" applyFont="1" applyFill="1" applyAlignment="1">
      <alignment horizontal="center"/>
    </xf>
    <xf numFmtId="0" fontId="9" fillId="0" borderId="0" xfId="0" applyFont="1" applyFill="1"/>
    <xf numFmtId="0" fontId="9" fillId="0" borderId="0" xfId="0" applyFont="1"/>
    <xf numFmtId="0" fontId="9" fillId="0" borderId="0" xfId="0" applyNumberFormat="1" applyFont="1" applyFill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9" fillId="0" borderId="0" xfId="0" applyNumberFormat="1" applyFont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0" fillId="0" borderId="10" xfId="0" applyNumberFormat="1" applyFill="1" applyBorder="1" applyAlignment="1">
      <alignment horizontal="center"/>
    </xf>
    <xf numFmtId="0" fontId="0" fillId="0" borderId="0" xfId="0" quotePrefix="1" applyBorder="1" applyAlignment="1">
      <alignment horizontal="center"/>
    </xf>
    <xf numFmtId="164" fontId="0" fillId="0" borderId="4" xfId="0" applyNumberFormat="1" applyFill="1" applyBorder="1" applyAlignment="1">
      <alignment horizontal="center"/>
    </xf>
    <xf numFmtId="0" fontId="0" fillId="0" borderId="0" xfId="0" quotePrefix="1" applyNumberFormat="1" applyFill="1" applyBorder="1" applyAlignment="1">
      <alignment horizontal="center"/>
    </xf>
    <xf numFmtId="164" fontId="0" fillId="0" borderId="7" xfId="0" applyNumberForma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0" fillId="0" borderId="7" xfId="0" applyNumberFormat="1" applyBorder="1" applyAlignment="1">
      <alignment horizontal="left"/>
    </xf>
    <xf numFmtId="164" fontId="0" fillId="0" borderId="7" xfId="0" applyNumberFormat="1" applyFill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0" fillId="0" borderId="0" xfId="0" quotePrefix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0" xfId="0" applyBorder="1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2" xfId="0" applyNumberFormat="1" applyFill="1" applyBorder="1" applyAlignment="1">
      <alignment horizontal="center"/>
    </xf>
    <xf numFmtId="0" fontId="0" fillId="2" borderId="3" xfId="0" applyNumberFormat="1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2" borderId="0" xfId="0" applyNumberFormat="1" applyFill="1" applyBorder="1" applyAlignment="1">
      <alignment horizontal="center"/>
    </xf>
    <xf numFmtId="0" fontId="0" fillId="2" borderId="5" xfId="0" applyNumberFormat="1" applyFill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7" xfId="0" applyFont="1" applyFill="1" applyBorder="1" applyAlignment="1">
      <alignment horizontal="center"/>
    </xf>
    <xf numFmtId="0" fontId="9" fillId="0" borderId="7" xfId="0" applyNumberFormat="1" applyFont="1" applyBorder="1" applyAlignment="1">
      <alignment horizontal="center"/>
    </xf>
    <xf numFmtId="164" fontId="9" fillId="0" borderId="0" xfId="0" applyNumberFormat="1" applyFont="1" applyBorder="1" applyAlignment="1">
      <alignment horizontal="center"/>
    </xf>
    <xf numFmtId="164" fontId="9" fillId="0" borderId="7" xfId="0" applyNumberFormat="1" applyFont="1" applyBorder="1" applyAlignment="1">
      <alignment horizontal="center"/>
    </xf>
    <xf numFmtId="0" fontId="9" fillId="0" borderId="7" xfId="0" applyNumberFormat="1" applyFont="1" applyFill="1" applyBorder="1" applyAlignment="1">
      <alignment horizontal="center"/>
    </xf>
    <xf numFmtId="0" fontId="9" fillId="0" borderId="0" xfId="0" quotePrefix="1" applyFont="1" applyFill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4" xfId="0" applyNumberFormat="1" applyBorder="1" applyAlignment="1">
      <alignment horizontal="center"/>
    </xf>
    <xf numFmtId="164" fontId="0" fillId="0" borderId="14" xfId="0" applyNumberFormat="1" applyBorder="1" applyAlignment="1">
      <alignment horizontal="center"/>
    </xf>
    <xf numFmtId="0" fontId="9" fillId="0" borderId="14" xfId="0" applyFont="1" applyBorder="1" applyAlignment="1">
      <alignment horizontal="center"/>
    </xf>
    <xf numFmtId="0" fontId="9" fillId="0" borderId="14" xfId="0" applyNumberFormat="1" applyFont="1" applyBorder="1" applyAlignment="1">
      <alignment horizontal="center"/>
    </xf>
    <xf numFmtId="0" fontId="0" fillId="0" borderId="14" xfId="0" applyNumberFormat="1" applyBorder="1" applyAlignment="1">
      <alignment horizontal="center"/>
    </xf>
    <xf numFmtId="0" fontId="0" fillId="0" borderId="7" xfId="0" applyNumberFormat="1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0" xfId="0" applyNumberFormat="1" applyFont="1" applyFill="1" applyBorder="1" applyAlignment="1">
      <alignment horizontal="center"/>
    </xf>
    <xf numFmtId="0" fontId="0" fillId="0" borderId="0" xfId="0" applyFill="1" applyBorder="1"/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/>
    <xf numFmtId="0" fontId="0" fillId="0" borderId="12" xfId="0" applyBorder="1"/>
    <xf numFmtId="0" fontId="0" fillId="0" borderId="12" xfId="0" applyFill="1" applyBorder="1"/>
    <xf numFmtId="0" fontId="0" fillId="0" borderId="17" xfId="0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0" fillId="0" borderId="18" xfId="0" applyFill="1" applyBorder="1"/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2" xfId="0" applyFill="1" applyBorder="1" applyAlignment="1">
      <alignment horizontal="center"/>
    </xf>
    <xf numFmtId="0" fontId="0" fillId="0" borderId="23" xfId="0" applyFill="1" applyBorder="1" applyAlignment="1">
      <alignment horizontal="center"/>
    </xf>
    <xf numFmtId="0" fontId="9" fillId="0" borderId="2" xfId="0" applyFont="1" applyFill="1" applyBorder="1" applyAlignment="1">
      <alignment horizontal="center"/>
    </xf>
    <xf numFmtId="0" fontId="0" fillId="0" borderId="23" xfId="0" applyNumberFormat="1" applyBorder="1" applyAlignment="1" applyProtection="1">
      <alignment horizontal="center"/>
    </xf>
    <xf numFmtId="0" fontId="0" fillId="0" borderId="0" xfId="0" applyNumberFormat="1" applyBorder="1" applyAlignment="1" applyProtection="1">
      <alignment horizontal="center"/>
    </xf>
    <xf numFmtId="0" fontId="0" fillId="0" borderId="23" xfId="0" applyNumberFormat="1" applyBorder="1" applyAlignment="1">
      <alignment horizontal="center"/>
    </xf>
    <xf numFmtId="0" fontId="0" fillId="0" borderId="23" xfId="0" applyNumberFormat="1" applyFill="1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7" xfId="0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9" fillId="0" borderId="4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9" fillId="0" borderId="6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20" xfId="0" applyFill="1" applyBorder="1" applyAlignment="1">
      <alignment horizontal="center"/>
    </xf>
    <xf numFmtId="0" fontId="0" fillId="0" borderId="20" xfId="0" applyNumberFormat="1" applyFill="1" applyBorder="1" applyAlignment="1" applyProtection="1">
      <alignment horizontal="center"/>
    </xf>
    <xf numFmtId="0" fontId="0" fillId="0" borderId="0" xfId="0" applyNumberFormat="1" applyFill="1" applyBorder="1" applyAlignment="1" applyProtection="1">
      <alignment horizontal="center"/>
    </xf>
    <xf numFmtId="0" fontId="0" fillId="0" borderId="0" xfId="0" applyAlignment="1">
      <alignment horizontal="center"/>
    </xf>
    <xf numFmtId="0" fontId="7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0" xfId="0" applyNumberFormat="1" applyBorder="1" applyAlignment="1" applyProtection="1">
      <alignment horizontal="center"/>
    </xf>
    <xf numFmtId="0" fontId="0" fillId="0" borderId="16" xfId="0" applyNumberFormat="1" applyBorder="1" applyAlignment="1">
      <alignment horizontal="center"/>
    </xf>
    <xf numFmtId="0" fontId="0" fillId="0" borderId="12" xfId="0" applyNumberFormat="1" applyBorder="1" applyAlignment="1">
      <alignment horizontal="center"/>
    </xf>
    <xf numFmtId="164" fontId="0" fillId="0" borderId="9" xfId="0" applyNumberFormat="1" applyBorder="1" applyAlignment="1">
      <alignment horizontal="center"/>
    </xf>
    <xf numFmtId="0" fontId="0" fillId="0" borderId="0" xfId="0" applyNumberFormat="1" applyBorder="1" applyAlignment="1">
      <alignment horizontal="left"/>
    </xf>
    <xf numFmtId="0" fontId="0" fillId="0" borderId="12" xfId="0" applyNumberFormat="1" applyBorder="1" applyAlignment="1">
      <alignment horizontal="left"/>
    </xf>
    <xf numFmtId="0" fontId="0" fillId="0" borderId="12" xfId="0" applyNumberFormat="1" applyFill="1" applyBorder="1" applyAlignment="1">
      <alignment horizontal="center"/>
    </xf>
    <xf numFmtId="0" fontId="0" fillId="0" borderId="18" xfId="0" applyNumberFormat="1" applyBorder="1" applyAlignment="1">
      <alignment horizontal="center"/>
    </xf>
    <xf numFmtId="0" fontId="0" fillId="0" borderId="4" xfId="0" applyFill="1" applyBorder="1"/>
    <xf numFmtId="0" fontId="0" fillId="0" borderId="7" xfId="0" applyNumberFormat="1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2" xfId="0" applyFill="1" applyBorder="1"/>
    <xf numFmtId="0" fontId="0" fillId="0" borderId="23" xfId="0" applyFill="1" applyBorder="1"/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24" xfId="0" applyFill="1" applyBorder="1" applyAlignment="1">
      <alignment horizontal="center"/>
    </xf>
    <xf numFmtId="0" fontId="0" fillId="0" borderId="25" xfId="0" applyFill="1" applyBorder="1" applyAlignment="1">
      <alignment horizontal="center"/>
    </xf>
    <xf numFmtId="0" fontId="0" fillId="0" borderId="25" xfId="0" applyNumberFormat="1" applyBorder="1" applyAlignment="1" applyProtection="1">
      <alignment horizontal="center"/>
    </xf>
    <xf numFmtId="0" fontId="0" fillId="0" borderId="26" xfId="0" applyNumberFormat="1" applyBorder="1" applyAlignment="1" applyProtection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Fill="1" applyBorder="1"/>
    <xf numFmtId="0" fontId="0" fillId="0" borderId="9" xfId="0" applyNumberFormat="1" applyBorder="1" applyAlignment="1">
      <alignment horizontal="center"/>
    </xf>
    <xf numFmtId="0" fontId="0" fillId="0" borderId="9" xfId="0" applyNumberFormat="1" applyFill="1" applyBorder="1" applyAlignment="1">
      <alignment horizontal="center"/>
    </xf>
    <xf numFmtId="0" fontId="0" fillId="0" borderId="0" xfId="0" applyNumberFormat="1" applyFill="1" applyBorder="1" applyAlignment="1">
      <alignment horizontal="left"/>
    </xf>
    <xf numFmtId="0" fontId="9" fillId="0" borderId="9" xfId="0" applyFont="1" applyFill="1" applyBorder="1" applyAlignment="1">
      <alignment horizontal="center"/>
    </xf>
    <xf numFmtId="0" fontId="9" fillId="0" borderId="12" xfId="0" applyFont="1" applyFill="1" applyBorder="1"/>
    <xf numFmtId="0" fontId="0" fillId="0" borderId="17" xfId="0" applyFill="1" applyBorder="1" applyAlignment="1">
      <alignment horizontal="center"/>
    </xf>
    <xf numFmtId="0" fontId="0" fillId="0" borderId="18" xfId="0" applyBorder="1"/>
    <xf numFmtId="164" fontId="0" fillId="0" borderId="9" xfId="0" applyNumberFormat="1" applyFill="1" applyBorder="1" applyAlignment="1">
      <alignment horizontal="center"/>
    </xf>
    <xf numFmtId="0" fontId="0" fillId="0" borderId="0" xfId="0" applyFill="1" applyBorder="1" applyAlignment="1">
      <alignment horizontal="left"/>
    </xf>
    <xf numFmtId="0" fontId="0" fillId="0" borderId="16" xfId="0" applyBorder="1" applyAlignment="1">
      <alignment horizontal="center"/>
    </xf>
    <xf numFmtId="0" fontId="0" fillId="0" borderId="18" xfId="0" applyBorder="1" applyAlignment="1">
      <alignment horizontal="center"/>
    </xf>
    <xf numFmtId="164" fontId="0" fillId="0" borderId="17" xfId="0" applyNumberFormat="1" applyBorder="1" applyAlignment="1">
      <alignment horizontal="center"/>
    </xf>
    <xf numFmtId="164" fontId="0" fillId="0" borderId="15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6" fillId="0" borderId="7" xfId="0" applyFont="1" applyBorder="1"/>
    <xf numFmtId="164" fontId="9" fillId="0" borderId="7" xfId="0" applyNumberFormat="1" applyFont="1" applyFill="1" applyBorder="1" applyAlignment="1">
      <alignment horizontal="center"/>
    </xf>
    <xf numFmtId="0" fontId="10" fillId="0" borderId="7" xfId="0" applyFont="1" applyFill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1" fillId="0" borderId="7" xfId="0" applyFont="1" applyFill="1" applyBorder="1"/>
    <xf numFmtId="0" fontId="11" fillId="0" borderId="7" xfId="0" applyFont="1" applyBorder="1"/>
    <xf numFmtId="0" fontId="0" fillId="0" borderId="7" xfId="0" applyFill="1" applyBorder="1"/>
    <xf numFmtId="0" fontId="0" fillId="0" borderId="7" xfId="0" applyBorder="1" applyAlignment="1">
      <alignment horizontal="left"/>
    </xf>
    <xf numFmtId="0" fontId="0" fillId="0" borderId="0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9" fillId="0" borderId="22" xfId="0" applyFont="1" applyFill="1" applyBorder="1"/>
    <xf numFmtId="0" fontId="9" fillId="0" borderId="0" xfId="0" applyFont="1" applyFill="1" applyBorder="1"/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9" fillId="2" borderId="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6" fillId="0" borderId="0" xfId="0" applyFont="1" applyBorder="1"/>
    <xf numFmtId="0" fontId="7" fillId="0" borderId="0" xfId="0" applyFont="1" applyBorder="1" applyAlignment="1">
      <alignment horizontal="left"/>
    </xf>
    <xf numFmtId="0" fontId="9" fillId="0" borderId="9" xfId="0" applyFont="1" applyFill="1" applyBorder="1"/>
    <xf numFmtId="164" fontId="9" fillId="0" borderId="0" xfId="0" applyNumberFormat="1" applyFont="1" applyFill="1" applyBorder="1" applyAlignment="1">
      <alignment horizontal="center"/>
    </xf>
    <xf numFmtId="0" fontId="9" fillId="0" borderId="0" xfId="0" applyFont="1" applyBorder="1"/>
    <xf numFmtId="0" fontId="9" fillId="0" borderId="12" xfId="0" applyFont="1" applyBorder="1"/>
    <xf numFmtId="0" fontId="11" fillId="0" borderId="0" xfId="0" applyFont="1" applyFill="1" applyBorder="1"/>
    <xf numFmtId="0" fontId="11" fillId="0" borderId="0" xfId="0" applyFont="1" applyBorder="1"/>
    <xf numFmtId="0" fontId="0" fillId="0" borderId="15" xfId="0" applyFill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0" xfId="0" applyAlignment="1">
      <alignment horizontal="center"/>
    </xf>
    <xf numFmtId="0" fontId="12" fillId="0" borderId="0" xfId="0" applyFont="1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14" xfId="0" applyFill="1" applyBorder="1" applyAlignment="1">
      <alignment horizontal="center"/>
    </xf>
    <xf numFmtId="0" fontId="0" fillId="0" borderId="29" xfId="0" applyNumberFormat="1" applyBorder="1" applyAlignment="1">
      <alignment horizontal="center"/>
    </xf>
    <xf numFmtId="0" fontId="13" fillId="0" borderId="28" xfId="0" applyNumberFormat="1" applyFont="1" applyBorder="1" applyAlignment="1">
      <alignment horizontal="center"/>
    </xf>
    <xf numFmtId="0" fontId="0" fillId="0" borderId="29" xfId="0" applyNumberFormat="1" applyFill="1" applyBorder="1" applyAlignment="1">
      <alignment horizontal="center"/>
    </xf>
    <xf numFmtId="0" fontId="0" fillId="0" borderId="28" xfId="0" applyNumberForma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13" fillId="0" borderId="14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29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32" xfId="0" applyNumberForma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0" xfId="0" applyAlignment="1">
      <alignment horizontal="center"/>
    </xf>
    <xf numFmtId="164" fontId="0" fillId="0" borderId="2" xfId="0" applyNumberForma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2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2" xfId="0" applyBorder="1"/>
    <xf numFmtId="0" fontId="0" fillId="0" borderId="23" xfId="0" applyBorder="1"/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35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12" fillId="0" borderId="0" xfId="0" applyFont="1" applyFill="1" applyAlignment="1">
      <alignment horizontal="center"/>
    </xf>
    <xf numFmtId="0" fontId="7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9" xfId="0" applyFont="1" applyBorder="1" applyAlignment="1">
      <alignment horizontal="center"/>
    </xf>
    <xf numFmtId="0" fontId="0" fillId="0" borderId="0" xfId="0" applyNumberFormat="1" applyFont="1" applyBorder="1" applyAlignment="1">
      <alignment horizontal="center"/>
    </xf>
    <xf numFmtId="0" fontId="0" fillId="3" borderId="10" xfId="0" applyNumberFormat="1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4" borderId="0" xfId="0" applyFill="1" applyAlignment="1">
      <alignment horizontal="center"/>
    </xf>
    <xf numFmtId="0" fontId="0" fillId="4" borderId="4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0" fillId="0" borderId="33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34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13" fillId="0" borderId="14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8" fillId="0" borderId="0" xfId="0" applyNumberFormat="1" applyFont="1" applyBorder="1" applyAlignment="1">
      <alignment horizontal="center"/>
    </xf>
    <xf numFmtId="0" fontId="8" fillId="0" borderId="0" xfId="0" applyNumberFormat="1" applyFont="1" applyFill="1" applyBorder="1" applyAlignment="1">
      <alignment horizontal="center"/>
    </xf>
    <xf numFmtId="0" fontId="15" fillId="5" borderId="11" xfId="0" applyFont="1" applyFill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0" xfId="0" applyFill="1" applyAlignment="1">
      <alignment horizontal="left"/>
    </xf>
    <xf numFmtId="0" fontId="7" fillId="0" borderId="4" xfId="0" applyFont="1" applyBorder="1" applyAlignment="1">
      <alignment horizontal="center"/>
    </xf>
    <xf numFmtId="0" fontId="0" fillId="0" borderId="0" xfId="0" quotePrefix="1" applyFont="1" applyBorder="1" applyAlignment="1">
      <alignment horizontal="center"/>
    </xf>
    <xf numFmtId="0" fontId="0" fillId="0" borderId="0" xfId="0" quotePrefix="1" applyNumberFormat="1" applyBorder="1" applyAlignment="1">
      <alignment horizontal="center"/>
    </xf>
    <xf numFmtId="0" fontId="0" fillId="0" borderId="7" xfId="0" applyFont="1" applyFill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0" xfId="0" applyFont="1" applyFill="1" applyBorder="1"/>
    <xf numFmtId="0" fontId="0" fillId="0" borderId="0" xfId="0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7" xfId="0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0" fillId="0" borderId="0" xfId="0" quotePrefix="1" applyFont="1" applyFill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164" fontId="0" fillId="0" borderId="9" xfId="0" applyNumberFormat="1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12" xfId="0" applyBorder="1" applyAlignment="1">
      <alignment horizontal="center"/>
    </xf>
    <xf numFmtId="165" fontId="0" fillId="0" borderId="14" xfId="0" applyNumberFormat="1" applyBorder="1" applyAlignment="1">
      <alignment horizontal="center"/>
    </xf>
    <xf numFmtId="165" fontId="0" fillId="0" borderId="2" xfId="0" applyNumberFormat="1" applyBorder="1" applyAlignment="1">
      <alignment horizontal="center"/>
    </xf>
    <xf numFmtId="165" fontId="0" fillId="0" borderId="7" xfId="0" applyNumberForma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165" fontId="9" fillId="0" borderId="0" xfId="0" applyNumberFormat="1" applyFont="1" applyBorder="1" applyAlignment="1">
      <alignment horizontal="center"/>
    </xf>
    <xf numFmtId="165" fontId="0" fillId="0" borderId="0" xfId="0" applyNumberForma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6" borderId="0" xfId="0" applyFill="1" applyAlignment="1">
      <alignment horizontal="center"/>
    </xf>
    <xf numFmtId="0" fontId="0" fillId="6" borderId="0" xfId="0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0" fillId="0" borderId="12" xfId="0" applyBorder="1" applyAlignment="1"/>
    <xf numFmtId="0" fontId="4" fillId="0" borderId="9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2" xfId="0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0" fillId="0" borderId="0" xfId="0" applyBorder="1" applyAlignment="1"/>
    <xf numFmtId="0" fontId="5" fillId="0" borderId="12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13" fillId="0" borderId="30" xfId="0" applyNumberFormat="1" applyFont="1" applyBorder="1" applyAlignment="1">
      <alignment horizontal="center"/>
    </xf>
    <xf numFmtId="0" fontId="13" fillId="0" borderId="31" xfId="0" applyFont="1" applyBorder="1" applyAlignment="1">
      <alignment horizontal="center"/>
    </xf>
    <xf numFmtId="0" fontId="13" fillId="0" borderId="30" xfId="0" applyFont="1" applyBorder="1" applyAlignment="1">
      <alignment horizontal="center"/>
    </xf>
    <xf numFmtId="0" fontId="13" fillId="0" borderId="14" xfId="0" applyFont="1" applyBorder="1" applyAlignment="1">
      <alignment horizontal="center"/>
    </xf>
    <xf numFmtId="0" fontId="0" fillId="0" borderId="30" xfId="0" applyNumberFormat="1" applyBorder="1" applyAlignment="1">
      <alignment horizontal="center"/>
    </xf>
    <xf numFmtId="0" fontId="0" fillId="0" borderId="31" xfId="0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7C12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K119"/>
  <sheetViews>
    <sheetView topLeftCell="A92" zoomScaleNormal="100" workbookViewId="0">
      <selection activeCell="L112" sqref="L112"/>
    </sheetView>
  </sheetViews>
  <sheetFormatPr baseColWidth="10" defaultRowHeight="14.4" x14ac:dyDescent="0.3"/>
  <cols>
    <col min="1" max="2" width="11.77734375" style="1" customWidth="1"/>
    <col min="3" max="6" width="11.77734375" style="96" customWidth="1"/>
    <col min="7" max="10" width="11.77734375" style="2" customWidth="1"/>
    <col min="11" max="18" width="11.77734375" customWidth="1"/>
    <col min="19" max="27" width="11.77734375" style="96" customWidth="1"/>
    <col min="29" max="37" width="11.5546875" style="344"/>
  </cols>
  <sheetData>
    <row r="1" spans="1:27" ht="15" thickTop="1" x14ac:dyDescent="0.3">
      <c r="A1" s="106"/>
      <c r="B1" s="25"/>
      <c r="C1" s="25"/>
      <c r="D1" s="25"/>
      <c r="E1" s="25"/>
      <c r="F1" s="25"/>
      <c r="G1" s="26"/>
      <c r="H1" s="26"/>
      <c r="I1" s="26"/>
      <c r="J1" s="26"/>
      <c r="K1" s="107"/>
      <c r="S1" s="114">
        <v>1</v>
      </c>
      <c r="T1" s="115">
        <v>2</v>
      </c>
      <c r="U1" s="115">
        <v>3</v>
      </c>
      <c r="V1" s="115">
        <v>4</v>
      </c>
      <c r="W1" s="115">
        <v>5</v>
      </c>
      <c r="X1" s="115">
        <v>6</v>
      </c>
      <c r="Y1" s="116">
        <v>7</v>
      </c>
    </row>
    <row r="2" spans="1:27" ht="46.2" x14ac:dyDescent="0.85">
      <c r="A2" s="425" t="s">
        <v>0</v>
      </c>
      <c r="B2" s="426"/>
      <c r="C2" s="426"/>
      <c r="D2" s="426"/>
      <c r="E2" s="426"/>
      <c r="F2" s="426"/>
      <c r="G2" s="426"/>
      <c r="H2" s="426"/>
      <c r="I2" s="426"/>
      <c r="J2" s="426"/>
      <c r="K2" s="427"/>
      <c r="S2" s="117"/>
      <c r="T2" s="98"/>
      <c r="U2" s="98"/>
      <c r="V2" s="98"/>
      <c r="W2" s="98"/>
      <c r="X2" s="98"/>
      <c r="Y2" s="118"/>
    </row>
    <row r="3" spans="1:27" x14ac:dyDescent="0.3">
      <c r="A3" s="23"/>
      <c r="B3" s="98"/>
      <c r="C3" s="98"/>
      <c r="D3" s="98"/>
      <c r="E3" s="98"/>
      <c r="F3" s="98"/>
      <c r="G3" s="5"/>
      <c r="H3" s="5"/>
      <c r="I3" s="5"/>
      <c r="J3" s="5"/>
      <c r="K3" s="108"/>
      <c r="S3" s="117"/>
      <c r="T3" s="98"/>
      <c r="U3" s="98"/>
      <c r="V3" s="98"/>
      <c r="W3" s="98"/>
      <c r="X3" s="98"/>
      <c r="Y3" s="118"/>
    </row>
    <row r="4" spans="1:27" ht="28.8" x14ac:dyDescent="0.55000000000000004">
      <c r="A4" s="428" t="s">
        <v>71</v>
      </c>
      <c r="B4" s="429"/>
      <c r="C4" s="429"/>
      <c r="D4" s="429"/>
      <c r="E4" s="429"/>
      <c r="F4" s="429"/>
      <c r="G4" s="429"/>
      <c r="H4" s="429"/>
      <c r="I4" s="429"/>
      <c r="J4" s="429"/>
      <c r="K4" s="427"/>
      <c r="S4" s="117"/>
      <c r="T4" s="98"/>
      <c r="U4" s="98"/>
      <c r="V4" s="98"/>
      <c r="W4" s="98"/>
      <c r="X4" s="98"/>
      <c r="Y4" s="118"/>
    </row>
    <row r="5" spans="1:27" ht="21" x14ac:dyDescent="0.4">
      <c r="A5" s="430" t="s">
        <v>266</v>
      </c>
      <c r="B5" s="431"/>
      <c r="C5" s="431"/>
      <c r="D5" s="431"/>
      <c r="E5" s="431"/>
      <c r="F5" s="431"/>
      <c r="G5" s="431"/>
      <c r="H5" s="431"/>
      <c r="I5" s="431"/>
      <c r="J5" s="431"/>
      <c r="K5" s="427"/>
      <c r="S5" s="117"/>
      <c r="T5" s="98"/>
      <c r="U5" s="98"/>
      <c r="V5" s="98"/>
      <c r="W5" s="98"/>
      <c r="X5" s="98"/>
      <c r="Y5" s="118"/>
    </row>
    <row r="6" spans="1:27" x14ac:dyDescent="0.3">
      <c r="A6" s="23"/>
      <c r="B6" s="98"/>
      <c r="C6" s="98"/>
      <c r="D6" s="98"/>
      <c r="E6" s="98"/>
      <c r="F6" s="98"/>
      <c r="G6" s="5"/>
      <c r="H6" s="5"/>
      <c r="I6" s="5"/>
      <c r="J6" s="5"/>
      <c r="K6" s="108"/>
      <c r="S6" s="117"/>
      <c r="T6" s="98"/>
      <c r="U6" s="98"/>
      <c r="V6" s="98"/>
      <c r="W6" s="98"/>
      <c r="X6" s="98"/>
      <c r="Y6" s="118"/>
    </row>
    <row r="7" spans="1:27" x14ac:dyDescent="0.3">
      <c r="A7" s="432" t="s">
        <v>1</v>
      </c>
      <c r="B7" s="424"/>
      <c r="C7" s="424"/>
      <c r="D7" s="424"/>
      <c r="E7" s="424"/>
      <c r="F7" s="424"/>
      <c r="G7" s="424"/>
      <c r="H7" s="424"/>
      <c r="I7" s="424"/>
      <c r="J7" s="424"/>
      <c r="K7" s="427"/>
      <c r="S7" s="117"/>
      <c r="T7" s="98"/>
      <c r="U7" s="98"/>
      <c r="V7" s="98"/>
      <c r="W7" s="98"/>
      <c r="X7" s="98"/>
      <c r="Y7" s="118"/>
    </row>
    <row r="8" spans="1:27" x14ac:dyDescent="0.3">
      <c r="A8" s="23"/>
      <c r="B8" s="98"/>
      <c r="C8" s="98"/>
      <c r="D8" s="98"/>
      <c r="E8" s="98"/>
      <c r="F8" s="98"/>
      <c r="G8" s="98"/>
      <c r="H8" s="98"/>
      <c r="I8" s="98"/>
      <c r="J8" s="98"/>
      <c r="K8" s="108"/>
      <c r="S8" s="117"/>
      <c r="T8" s="98"/>
      <c r="U8" s="98"/>
      <c r="V8" s="98"/>
      <c r="W8" s="98"/>
      <c r="X8" s="98"/>
      <c r="Y8" s="118"/>
    </row>
    <row r="9" spans="1:27" x14ac:dyDescent="0.3">
      <c r="A9" s="23"/>
      <c r="B9" s="98"/>
      <c r="C9" s="98"/>
      <c r="D9" s="98"/>
      <c r="E9" s="98"/>
      <c r="F9" s="98"/>
      <c r="G9" s="5"/>
      <c r="H9" s="5"/>
      <c r="I9" s="5"/>
      <c r="J9" s="5"/>
      <c r="K9" s="108"/>
      <c r="S9" s="117"/>
      <c r="T9" s="98"/>
      <c r="U9" s="98"/>
      <c r="V9" s="98"/>
      <c r="W9" s="98"/>
      <c r="X9" s="98"/>
      <c r="Y9" s="118"/>
    </row>
    <row r="10" spans="1:27" ht="21" x14ac:dyDescent="0.4">
      <c r="A10" s="23"/>
      <c r="B10" s="98"/>
      <c r="C10" s="98"/>
      <c r="D10" s="98"/>
      <c r="E10" s="98"/>
      <c r="F10" s="63" t="s">
        <v>2</v>
      </c>
      <c r="G10" s="5"/>
      <c r="H10" s="5"/>
      <c r="I10" s="5"/>
      <c r="J10" s="5"/>
      <c r="K10" s="108"/>
      <c r="S10" s="117"/>
      <c r="T10" s="98"/>
      <c r="U10" s="98"/>
      <c r="V10" s="98"/>
      <c r="W10" s="98"/>
      <c r="X10" s="98"/>
      <c r="Y10" s="118"/>
    </row>
    <row r="11" spans="1:27" x14ac:dyDescent="0.3">
      <c r="A11" s="23"/>
      <c r="B11" s="98"/>
      <c r="C11" s="98"/>
      <c r="D11" s="98"/>
      <c r="E11" s="98"/>
      <c r="F11" s="98"/>
      <c r="G11" s="5"/>
      <c r="H11" s="5"/>
      <c r="I11" s="5"/>
      <c r="J11" s="5"/>
      <c r="K11" s="108"/>
      <c r="M11" s="347"/>
      <c r="N11" s="347"/>
      <c r="O11" s="347"/>
      <c r="S11" s="117"/>
      <c r="T11" s="98"/>
      <c r="U11" s="98"/>
      <c r="V11" s="98"/>
      <c r="W11" s="98"/>
      <c r="X11" s="98"/>
      <c r="Y11" s="118"/>
    </row>
    <row r="12" spans="1:27" x14ac:dyDescent="0.3">
      <c r="A12" s="23"/>
      <c r="B12" s="98"/>
      <c r="C12" s="98"/>
      <c r="D12" s="40">
        <v>11152</v>
      </c>
      <c r="E12" s="33" t="s">
        <v>3</v>
      </c>
      <c r="F12" s="33" t="s">
        <v>4</v>
      </c>
      <c r="G12" s="33">
        <v>4</v>
      </c>
      <c r="H12" s="98">
        <v>1</v>
      </c>
      <c r="I12" s="5"/>
      <c r="J12" s="5"/>
      <c r="K12" s="108"/>
      <c r="M12" s="347"/>
      <c r="N12" s="347"/>
      <c r="O12" s="347"/>
      <c r="S12" s="122" t="s">
        <v>3</v>
      </c>
      <c r="T12" s="17" t="s">
        <v>4</v>
      </c>
      <c r="U12" s="17">
        <v>4</v>
      </c>
      <c r="V12" s="17">
        <v>1</v>
      </c>
      <c r="X12" s="126">
        <f>(IF(U12&gt;V12,3,IF(U12=V12,1,2)))</f>
        <v>3</v>
      </c>
      <c r="Y12" s="125">
        <f>(IF(V12&gt;U12,3,IF(U12=V12,1,2)))</f>
        <v>2</v>
      </c>
      <c r="AA12" s="96" t="s">
        <v>18</v>
      </c>
    </row>
    <row r="13" spans="1:27" ht="15" thickBot="1" x14ac:dyDescent="0.35">
      <c r="A13" s="23"/>
      <c r="B13" s="98"/>
      <c r="C13" s="98"/>
      <c r="D13" s="58"/>
      <c r="E13" s="59"/>
      <c r="F13" s="59"/>
      <c r="G13" s="92" t="s">
        <v>264</v>
      </c>
      <c r="H13" s="8" t="s">
        <v>171</v>
      </c>
      <c r="I13" s="5"/>
      <c r="J13" s="5"/>
      <c r="K13" s="108"/>
      <c r="S13" s="117" t="s">
        <v>5</v>
      </c>
      <c r="T13" s="98" t="s">
        <v>3</v>
      </c>
      <c r="U13" s="98">
        <v>1</v>
      </c>
      <c r="V13" s="98">
        <v>0</v>
      </c>
      <c r="X13" s="126">
        <f t="shared" ref="X13:X17" si="0">(IF(U13&gt;V13,3,IF(U13=V13,1,2)))</f>
        <v>3</v>
      </c>
      <c r="Y13" s="125">
        <f t="shared" ref="Y13:Y17" si="1">(IF(V13&gt;U13,3,IF(U13=V13,1,2)))</f>
        <v>2</v>
      </c>
      <c r="AA13" s="96" t="s">
        <v>5</v>
      </c>
    </row>
    <row r="14" spans="1:27" x14ac:dyDescent="0.3">
      <c r="A14" s="23"/>
      <c r="B14" s="98"/>
      <c r="C14" s="98"/>
      <c r="D14" s="40">
        <v>11154</v>
      </c>
      <c r="E14" s="33" t="s">
        <v>5</v>
      </c>
      <c r="F14" s="33" t="s">
        <v>3</v>
      </c>
      <c r="G14" s="33">
        <v>1</v>
      </c>
      <c r="H14" s="98">
        <v>0</v>
      </c>
      <c r="I14" s="5"/>
      <c r="J14" s="5"/>
      <c r="K14" s="108"/>
      <c r="S14" s="117" t="s">
        <v>6</v>
      </c>
      <c r="T14" s="98" t="s">
        <v>4</v>
      </c>
      <c r="U14" s="98">
        <v>3</v>
      </c>
      <c r="V14" s="98">
        <v>0</v>
      </c>
      <c r="X14" s="126">
        <f t="shared" si="0"/>
        <v>3</v>
      </c>
      <c r="Y14" s="125">
        <f t="shared" si="1"/>
        <v>2</v>
      </c>
      <c r="AA14" s="96" t="s">
        <v>20</v>
      </c>
    </row>
    <row r="15" spans="1:27" ht="15" thickBot="1" x14ac:dyDescent="0.35">
      <c r="A15" s="23"/>
      <c r="B15" s="98"/>
      <c r="C15" s="98"/>
      <c r="D15" s="58"/>
      <c r="E15" s="59"/>
      <c r="F15" s="59"/>
      <c r="G15" s="92" t="s">
        <v>170</v>
      </c>
      <c r="H15" s="8" t="s">
        <v>171</v>
      </c>
      <c r="I15" s="5"/>
      <c r="J15" s="5"/>
      <c r="K15" s="108"/>
      <c r="S15" s="117" t="s">
        <v>6</v>
      </c>
      <c r="T15" s="98" t="s">
        <v>3</v>
      </c>
      <c r="U15" s="98">
        <v>1</v>
      </c>
      <c r="V15" s="98">
        <v>0</v>
      </c>
      <c r="X15" s="126">
        <f t="shared" si="0"/>
        <v>3</v>
      </c>
      <c r="Y15" s="125">
        <f t="shared" si="1"/>
        <v>2</v>
      </c>
      <c r="AA15" s="96" t="s">
        <v>8</v>
      </c>
    </row>
    <row r="16" spans="1:27" x14ac:dyDescent="0.3">
      <c r="A16" s="23"/>
      <c r="B16" s="98"/>
      <c r="C16" s="98"/>
      <c r="D16" s="40">
        <v>11155</v>
      </c>
      <c r="E16" s="33" t="s">
        <v>6</v>
      </c>
      <c r="F16" s="33" t="s">
        <v>4</v>
      </c>
      <c r="G16" s="33">
        <v>3</v>
      </c>
      <c r="H16" s="98">
        <v>0</v>
      </c>
      <c r="I16" s="5"/>
      <c r="J16" s="5"/>
      <c r="K16" s="108"/>
      <c r="S16" s="117" t="s">
        <v>5</v>
      </c>
      <c r="T16" s="98" t="s">
        <v>4</v>
      </c>
      <c r="U16" s="98">
        <v>6</v>
      </c>
      <c r="V16" s="98">
        <v>3</v>
      </c>
      <c r="X16" s="126">
        <f t="shared" si="0"/>
        <v>3</v>
      </c>
      <c r="Y16" s="125">
        <f t="shared" si="1"/>
        <v>2</v>
      </c>
      <c r="AA16" s="96" t="s">
        <v>6</v>
      </c>
    </row>
    <row r="17" spans="1:27" ht="15" thickBot="1" x14ac:dyDescent="0.35">
      <c r="A17" s="23"/>
      <c r="B17" s="98"/>
      <c r="C17" s="98"/>
      <c r="D17" s="58"/>
      <c r="E17" s="59"/>
      <c r="F17" s="59"/>
      <c r="G17" s="92" t="s">
        <v>172</v>
      </c>
      <c r="H17" s="8" t="s">
        <v>171</v>
      </c>
      <c r="I17" s="5"/>
      <c r="J17" s="5"/>
      <c r="K17" s="108"/>
      <c r="S17" s="117" t="s">
        <v>5</v>
      </c>
      <c r="T17" s="98" t="s">
        <v>6</v>
      </c>
      <c r="U17" s="98">
        <v>3</v>
      </c>
      <c r="V17" s="98">
        <v>1</v>
      </c>
      <c r="X17" s="126">
        <f t="shared" si="0"/>
        <v>3</v>
      </c>
      <c r="Y17" s="125">
        <f t="shared" si="1"/>
        <v>2</v>
      </c>
      <c r="AA17" s="96" t="s">
        <v>9</v>
      </c>
    </row>
    <row r="18" spans="1:27" x14ac:dyDescent="0.3">
      <c r="A18" s="23"/>
      <c r="B18" s="98"/>
      <c r="C18" s="98"/>
      <c r="D18" s="40">
        <v>11158</v>
      </c>
      <c r="E18" s="33" t="s">
        <v>6</v>
      </c>
      <c r="F18" s="33" t="s">
        <v>3</v>
      </c>
      <c r="G18" s="33">
        <v>1</v>
      </c>
      <c r="H18" s="98">
        <v>0</v>
      </c>
      <c r="I18" s="5"/>
      <c r="J18" s="5"/>
      <c r="K18" s="108"/>
      <c r="S18" s="117"/>
      <c r="T18" s="98"/>
      <c r="U18" s="98"/>
      <c r="V18" s="98"/>
      <c r="W18" s="98"/>
      <c r="X18" s="126"/>
      <c r="Y18" s="125"/>
      <c r="AA18" s="96" t="s">
        <v>16</v>
      </c>
    </row>
    <row r="19" spans="1:27" ht="15" thickBot="1" x14ac:dyDescent="0.35">
      <c r="A19" s="23"/>
      <c r="B19" s="98"/>
      <c r="C19" s="98"/>
      <c r="D19" s="58"/>
      <c r="E19" s="59"/>
      <c r="F19" s="59"/>
      <c r="G19" s="92" t="s">
        <v>170</v>
      </c>
      <c r="H19" s="8" t="s">
        <v>171</v>
      </c>
      <c r="I19" s="5"/>
      <c r="J19" s="5"/>
      <c r="K19" s="108"/>
      <c r="S19" s="117"/>
      <c r="T19" s="98"/>
      <c r="U19" s="98"/>
      <c r="V19" s="98"/>
      <c r="W19" s="98"/>
      <c r="X19" s="126"/>
      <c r="Y19" s="125"/>
      <c r="AA19" s="96" t="s">
        <v>22</v>
      </c>
    </row>
    <row r="20" spans="1:27" x14ac:dyDescent="0.3">
      <c r="A20" s="23"/>
      <c r="B20" s="98"/>
      <c r="C20" s="98"/>
      <c r="D20" s="40">
        <v>11158</v>
      </c>
      <c r="E20" s="33" t="s">
        <v>5</v>
      </c>
      <c r="F20" s="33" t="s">
        <v>4</v>
      </c>
      <c r="G20" s="33">
        <v>6</v>
      </c>
      <c r="H20" s="98">
        <v>3</v>
      </c>
      <c r="I20" s="5"/>
      <c r="J20" s="5"/>
      <c r="K20" s="108"/>
      <c r="S20" s="117"/>
      <c r="T20" s="98"/>
      <c r="U20" s="98"/>
      <c r="V20" s="98"/>
      <c r="W20" s="98"/>
      <c r="X20" s="126"/>
      <c r="Y20" s="125"/>
      <c r="AA20" s="96" t="s">
        <v>3</v>
      </c>
    </row>
    <row r="21" spans="1:27" ht="15" thickBot="1" x14ac:dyDescent="0.35">
      <c r="A21" s="23"/>
      <c r="B21" s="98"/>
      <c r="C21" s="98"/>
      <c r="D21" s="58"/>
      <c r="E21" s="59"/>
      <c r="F21" s="59"/>
      <c r="G21" s="92" t="s">
        <v>264</v>
      </c>
      <c r="H21" s="8" t="s">
        <v>183</v>
      </c>
      <c r="I21" s="5"/>
      <c r="J21" s="5"/>
      <c r="K21" s="108"/>
      <c r="S21" s="117"/>
      <c r="T21" s="98"/>
      <c r="U21" s="98"/>
      <c r="V21" s="98"/>
      <c r="W21" s="98"/>
      <c r="X21" s="126"/>
      <c r="Y21" s="125"/>
      <c r="AA21" s="96" t="s">
        <v>17</v>
      </c>
    </row>
    <row r="22" spans="1:27" x14ac:dyDescent="0.3">
      <c r="A22" s="23"/>
      <c r="B22" s="98"/>
      <c r="C22" s="98"/>
      <c r="D22" s="40">
        <v>11161</v>
      </c>
      <c r="E22" s="33" t="s">
        <v>5</v>
      </c>
      <c r="F22" s="33" t="s">
        <v>6</v>
      </c>
      <c r="G22" s="33">
        <v>3</v>
      </c>
      <c r="H22" s="98">
        <v>1</v>
      </c>
      <c r="I22" s="5"/>
      <c r="J22" s="5"/>
      <c r="K22" s="108"/>
      <c r="S22" s="117"/>
      <c r="T22" s="98"/>
      <c r="U22" s="98"/>
      <c r="V22" s="98"/>
      <c r="W22" s="98"/>
      <c r="X22" s="126"/>
      <c r="Y22" s="125"/>
      <c r="AA22" s="96" t="s">
        <v>21</v>
      </c>
    </row>
    <row r="23" spans="1:27" x14ac:dyDescent="0.3">
      <c r="A23" s="23"/>
      <c r="B23" s="98"/>
      <c r="C23" s="98"/>
      <c r="D23" s="98"/>
      <c r="E23" s="98"/>
      <c r="F23" s="98"/>
      <c r="G23" s="5" t="s">
        <v>215</v>
      </c>
      <c r="H23" s="5" t="s">
        <v>183</v>
      </c>
      <c r="I23" s="5"/>
      <c r="J23" s="5"/>
      <c r="K23" s="108"/>
      <c r="S23" s="117"/>
      <c r="T23" s="98"/>
      <c r="U23" s="98"/>
      <c r="V23" s="98"/>
      <c r="W23" s="98"/>
      <c r="X23" s="98"/>
      <c r="Y23" s="118"/>
      <c r="AA23" s="96" t="s">
        <v>10</v>
      </c>
    </row>
    <row r="24" spans="1:27" x14ac:dyDescent="0.3">
      <c r="A24" s="23"/>
      <c r="B24" s="98"/>
      <c r="C24" s="98"/>
      <c r="D24" s="98"/>
      <c r="E24" s="98"/>
      <c r="F24" s="5"/>
      <c r="G24" s="5"/>
      <c r="H24" s="5"/>
      <c r="I24" s="5"/>
      <c r="J24" s="5"/>
      <c r="K24" s="108"/>
      <c r="S24" s="117"/>
      <c r="T24" s="98"/>
      <c r="U24" s="98"/>
      <c r="V24" s="98"/>
      <c r="W24" s="98"/>
      <c r="X24" s="98"/>
      <c r="Y24" s="118"/>
      <c r="AA24" s="96" t="s">
        <v>4</v>
      </c>
    </row>
    <row r="25" spans="1:27" ht="15" thickBot="1" x14ac:dyDescent="0.35">
      <c r="A25" s="23"/>
      <c r="B25" s="98"/>
      <c r="C25" s="98" t="s">
        <v>12</v>
      </c>
      <c r="D25" s="98" t="s">
        <v>13</v>
      </c>
      <c r="E25" s="98" t="s">
        <v>14</v>
      </c>
      <c r="F25" s="98" t="s">
        <v>15</v>
      </c>
      <c r="G25" s="5" t="s">
        <v>24</v>
      </c>
      <c r="H25" s="5" t="s">
        <v>25</v>
      </c>
      <c r="I25" s="5" t="s">
        <v>26</v>
      </c>
      <c r="J25" s="5" t="s">
        <v>27</v>
      </c>
      <c r="K25" s="108"/>
      <c r="S25" s="117"/>
      <c r="T25" s="98"/>
      <c r="U25" s="98"/>
      <c r="V25" s="98"/>
      <c r="W25" s="98"/>
      <c r="X25" s="5"/>
      <c r="Y25" s="127"/>
      <c r="Z25" s="5"/>
      <c r="AA25" s="5"/>
    </row>
    <row r="26" spans="1:27" x14ac:dyDescent="0.3">
      <c r="A26" s="23"/>
      <c r="B26" s="14" t="s">
        <v>5</v>
      </c>
      <c r="C26" s="97">
        <f>COUNTIF($S$12:$T$17,"Argentinien")</f>
        <v>3</v>
      </c>
      <c r="D26" s="124">
        <f>SUMPRODUCT(($S$12:$T$17=B26)*($X$12:$Y$17=3))</f>
        <v>3</v>
      </c>
      <c r="E26" s="124">
        <f>SUMPRODUCT(($S$12:$T$17=B26)*($X$12:$Y$17=1))</f>
        <v>0</v>
      </c>
      <c r="F26" s="124">
        <f>SUMPRODUCT(($S$12:$T$17=B26)*($X$12:$Y$17=2))</f>
        <v>0</v>
      </c>
      <c r="G26" s="124">
        <f>SUMPRODUCT(($S$12:$S$17=B26)*($U$12:$U$17))+SUMPRODUCT(($T$12:$T$17=B26)*($V$12:$V$17))</f>
        <v>10</v>
      </c>
      <c r="H26" s="124">
        <f>SUMPRODUCT(($S$12:$S$17=B26)*($V$12:$V$17))+SUMPRODUCT(($T$12:$T$17=B26)*($U$12:$U$17))</f>
        <v>4</v>
      </c>
      <c r="I26" s="15">
        <f>(D26*2)+E26</f>
        <v>6</v>
      </c>
      <c r="J26" s="16">
        <f>(F26*2)+E26</f>
        <v>0</v>
      </c>
      <c r="K26" s="108"/>
      <c r="S26" s="122"/>
      <c r="T26" s="17"/>
      <c r="U26" s="17"/>
      <c r="V26" s="17"/>
      <c r="W26" s="17"/>
      <c r="X26" s="18"/>
      <c r="Y26" s="128"/>
      <c r="Z26" s="18"/>
      <c r="AA26" s="18"/>
    </row>
    <row r="27" spans="1:27" x14ac:dyDescent="0.3">
      <c r="A27" s="23"/>
      <c r="B27" s="21" t="s">
        <v>6</v>
      </c>
      <c r="C27" s="98">
        <f>COUNTIF($S$12:$T$17,"Chile")</f>
        <v>3</v>
      </c>
      <c r="D27" s="43">
        <f>SUMPRODUCT(($S$12:$T$17=B27)*($X$12:$Y$17=3))</f>
        <v>2</v>
      </c>
      <c r="E27" s="43">
        <f>SUMPRODUCT(($S$12:$T$17=B27)*($X$12:$Y$17=1))</f>
        <v>0</v>
      </c>
      <c r="F27" s="43">
        <f>SUMPRODUCT(($S$12:$T$17=B27)*($X$12:$Y$17=2))</f>
        <v>1</v>
      </c>
      <c r="G27" s="43">
        <f>SUMPRODUCT(($S$12:$S$17=B27)*($U$12:$U$17))+SUMPRODUCT(($T$12:$T$17=B27)*($V$12:$V$17))</f>
        <v>5</v>
      </c>
      <c r="H27" s="43">
        <f>SUMPRODUCT(($S$12:$S$17=B27)*($V$12:$V$17))+SUMPRODUCT(($T$12:$T$17=B27)*($U$12:$U$17))</f>
        <v>3</v>
      </c>
      <c r="I27" s="18">
        <f>(D27*2)+E27</f>
        <v>4</v>
      </c>
      <c r="J27" s="22">
        <f>(F27*2)+E27</f>
        <v>2</v>
      </c>
      <c r="K27" s="108"/>
      <c r="S27" s="122"/>
      <c r="T27" s="17"/>
      <c r="U27" s="17"/>
      <c r="V27" s="17"/>
      <c r="W27" s="17"/>
      <c r="X27" s="18"/>
      <c r="Y27" s="128"/>
      <c r="Z27" s="18"/>
      <c r="AA27" s="18"/>
    </row>
    <row r="28" spans="1:27" x14ac:dyDescent="0.3">
      <c r="A28" s="23"/>
      <c r="B28" s="21" t="s">
        <v>3</v>
      </c>
      <c r="C28" s="98">
        <f>COUNTIF($S$12:$T$17,"Frankreich")</f>
        <v>3</v>
      </c>
      <c r="D28" s="43">
        <f>SUMPRODUCT(($S$12:$T$17=B28)*($X$12:$Y$17=3))</f>
        <v>1</v>
      </c>
      <c r="E28" s="43">
        <f>SUMPRODUCT(($S$12:$T$17=B28)*($X$12:$Y$17=1))</f>
        <v>0</v>
      </c>
      <c r="F28" s="43">
        <f>SUMPRODUCT(($S$12:$T$17=B28)*($X$12:$Y$17=2))</f>
        <v>2</v>
      </c>
      <c r="G28" s="43">
        <f>SUMPRODUCT(($S$12:$S$17=B28)*($U$12:$U$17))+SUMPRODUCT(($T$12:$T$17=B28)*($V$12:$V$17))</f>
        <v>4</v>
      </c>
      <c r="H28" s="43">
        <f>SUMPRODUCT(($S$12:$S$17=B28)*($V$12:$V$17))+SUMPRODUCT(($T$12:$T$17=B28)*($U$12:$U$17))</f>
        <v>3</v>
      </c>
      <c r="I28" s="18">
        <f>(D28*2)+E28</f>
        <v>2</v>
      </c>
      <c r="J28" s="22">
        <f>(F28*2)+E28</f>
        <v>4</v>
      </c>
      <c r="K28" s="108"/>
      <c r="S28" s="122"/>
      <c r="T28" s="17"/>
      <c r="U28" s="17"/>
      <c r="V28" s="17"/>
      <c r="W28" s="17"/>
      <c r="X28" s="18"/>
      <c r="Y28" s="128"/>
      <c r="Z28" s="18"/>
      <c r="AA28" s="18"/>
    </row>
    <row r="29" spans="1:27" ht="15" thickBot="1" x14ac:dyDescent="0.35">
      <c r="A29" s="23"/>
      <c r="B29" s="29" t="s">
        <v>4</v>
      </c>
      <c r="C29" s="99">
        <f>COUNTIF($S$12:$T$17,"Mexiko")</f>
        <v>3</v>
      </c>
      <c r="D29" s="80">
        <f>SUMPRODUCT(($S$12:$T$17=B29)*($X$12:$Y$17=3))</f>
        <v>0</v>
      </c>
      <c r="E29" s="80">
        <f>SUMPRODUCT(($S$12:$T$17=B29)*($X$12:$Y$17=1))</f>
        <v>0</v>
      </c>
      <c r="F29" s="80">
        <f>SUMPRODUCT(($S$12:$T$17=B29)*($X$12:$Y$17=2))</f>
        <v>3</v>
      </c>
      <c r="G29" s="80">
        <f>SUMPRODUCT(($S$12:$S$17=B29)*($U$12:$U$17))+SUMPRODUCT(($T$12:$T$17=B29)*($V$12:$V$17))</f>
        <v>4</v>
      </c>
      <c r="H29" s="80">
        <f>SUMPRODUCT(($S$12:$S$17=B29)*($V$12:$V$17))+SUMPRODUCT(($T$12:$T$17=B29)*($U$12:$U$17))</f>
        <v>13</v>
      </c>
      <c r="I29" s="31">
        <f>(D29*2)+E29</f>
        <v>0</v>
      </c>
      <c r="J29" s="32">
        <f>(F29*2)+E29</f>
        <v>6</v>
      </c>
      <c r="K29" s="108"/>
      <c r="S29" s="122"/>
      <c r="T29" s="17"/>
      <c r="U29" s="17"/>
      <c r="V29" s="17"/>
      <c r="W29" s="17"/>
      <c r="X29" s="18"/>
      <c r="Y29" s="128"/>
      <c r="Z29" s="18"/>
      <c r="AA29" s="18"/>
    </row>
    <row r="30" spans="1:27" ht="15" thickBot="1" x14ac:dyDescent="0.35">
      <c r="A30" s="23"/>
      <c r="B30" s="17"/>
      <c r="C30" s="17"/>
      <c r="D30" s="17"/>
      <c r="E30" s="17"/>
      <c r="F30" s="17"/>
      <c r="G30" s="18"/>
      <c r="H30" s="18"/>
      <c r="I30" s="18"/>
      <c r="J30" s="18"/>
      <c r="K30" s="108"/>
      <c r="S30" s="117"/>
      <c r="T30" s="98"/>
      <c r="U30" s="98"/>
      <c r="V30" s="98"/>
      <c r="W30" s="98"/>
      <c r="X30" s="98"/>
      <c r="Y30" s="118"/>
    </row>
    <row r="31" spans="1:27" ht="15" thickTop="1" x14ac:dyDescent="0.3">
      <c r="A31" s="106"/>
      <c r="B31" s="53"/>
      <c r="C31" s="53"/>
      <c r="D31" s="53"/>
      <c r="E31" s="53"/>
      <c r="F31" s="53"/>
      <c r="G31" s="54"/>
      <c r="H31" s="54"/>
      <c r="I31" s="54"/>
      <c r="J31" s="54"/>
      <c r="K31" s="107"/>
      <c r="S31" s="117"/>
      <c r="T31" s="98"/>
      <c r="U31" s="98"/>
      <c r="V31" s="98"/>
      <c r="W31" s="98"/>
      <c r="X31" s="98"/>
      <c r="Y31" s="118"/>
    </row>
    <row r="32" spans="1:27" ht="21" x14ac:dyDescent="0.4">
      <c r="A32" s="23"/>
      <c r="B32" s="98"/>
      <c r="C32" s="17"/>
      <c r="D32" s="17"/>
      <c r="E32" s="17"/>
      <c r="F32" s="70" t="s">
        <v>7</v>
      </c>
      <c r="G32" s="18"/>
      <c r="H32" s="18"/>
      <c r="I32" s="18"/>
      <c r="J32" s="18"/>
      <c r="K32" s="108"/>
      <c r="S32" s="117"/>
      <c r="T32" s="98"/>
      <c r="U32" s="98"/>
      <c r="V32" s="98"/>
      <c r="W32" s="98"/>
      <c r="X32" s="98"/>
      <c r="Y32" s="118"/>
    </row>
    <row r="33" spans="1:25" x14ac:dyDescent="0.3">
      <c r="A33" s="23"/>
      <c r="B33" s="17"/>
      <c r="C33" s="17"/>
      <c r="D33" s="17"/>
      <c r="E33" s="17"/>
      <c r="F33" s="17"/>
      <c r="G33" s="18"/>
      <c r="H33" s="18"/>
      <c r="I33" s="18"/>
      <c r="J33" s="18"/>
      <c r="K33" s="108"/>
      <c r="S33" s="117"/>
      <c r="T33" s="98"/>
      <c r="U33" s="98"/>
      <c r="V33" s="98"/>
      <c r="W33" s="98"/>
      <c r="X33" s="98"/>
      <c r="Y33" s="118"/>
    </row>
    <row r="34" spans="1:25" x14ac:dyDescent="0.3">
      <c r="A34" s="23"/>
      <c r="B34" s="98"/>
      <c r="C34" s="98"/>
      <c r="D34" s="40">
        <v>11153</v>
      </c>
      <c r="E34" s="66" t="s">
        <v>8</v>
      </c>
      <c r="F34" s="66" t="s">
        <v>9</v>
      </c>
      <c r="G34" s="66">
        <v>2</v>
      </c>
      <c r="H34" s="17">
        <v>1</v>
      </c>
      <c r="I34" s="18"/>
      <c r="J34" s="18"/>
      <c r="K34" s="108"/>
      <c r="S34" s="117" t="s">
        <v>8</v>
      </c>
      <c r="T34" s="17" t="s">
        <v>9</v>
      </c>
      <c r="U34" s="98">
        <v>2</v>
      </c>
      <c r="V34" s="98">
        <v>1</v>
      </c>
      <c r="W34" s="98"/>
      <c r="X34" s="126">
        <f>(IF(U34&gt;V34,3,IF(U34=V34,1,2)))</f>
        <v>3</v>
      </c>
      <c r="Y34" s="125">
        <f t="shared" ref="Y34:Y36" si="2">(IF(V34&gt;U34,3,IF(U34=V34,1,2)))</f>
        <v>2</v>
      </c>
    </row>
    <row r="35" spans="1:25" ht="15" thickBot="1" x14ac:dyDescent="0.35">
      <c r="A35" s="23"/>
      <c r="B35" s="98"/>
      <c r="C35" s="98"/>
      <c r="D35" s="58"/>
      <c r="E35" s="367"/>
      <c r="F35" s="367"/>
      <c r="G35" s="367" t="s">
        <v>215</v>
      </c>
      <c r="H35" s="30" t="s">
        <v>171</v>
      </c>
      <c r="I35" s="18"/>
      <c r="J35" s="18"/>
      <c r="K35" s="108"/>
      <c r="S35" s="117" t="s">
        <v>8</v>
      </c>
      <c r="T35" s="98" t="s">
        <v>10</v>
      </c>
      <c r="U35" s="98">
        <v>4</v>
      </c>
      <c r="V35" s="98">
        <v>0</v>
      </c>
      <c r="W35" s="98"/>
      <c r="X35" s="126">
        <f t="shared" ref="X35:X36" si="3">(IF(U35&gt;V35,3,IF(U35=V35,1,2)))</f>
        <v>3</v>
      </c>
      <c r="Y35" s="125">
        <f t="shared" si="2"/>
        <v>2</v>
      </c>
    </row>
    <row r="36" spans="1:25" x14ac:dyDescent="0.3">
      <c r="A36" s="23"/>
      <c r="B36" s="98"/>
      <c r="C36" s="98"/>
      <c r="D36" s="40">
        <v>11156</v>
      </c>
      <c r="E36" s="66" t="s">
        <v>8</v>
      </c>
      <c r="F36" s="66" t="s">
        <v>10</v>
      </c>
      <c r="G36" s="66">
        <v>4</v>
      </c>
      <c r="H36" s="17">
        <v>0</v>
      </c>
      <c r="I36" s="18"/>
      <c r="J36" s="18"/>
      <c r="K36" s="108"/>
      <c r="S36" s="117" t="s">
        <v>9</v>
      </c>
      <c r="T36" s="98" t="s">
        <v>10</v>
      </c>
      <c r="U36" s="98">
        <v>4</v>
      </c>
      <c r="V36" s="98">
        <v>0</v>
      </c>
      <c r="W36" s="98"/>
      <c r="X36" s="126">
        <f t="shared" si="3"/>
        <v>3</v>
      </c>
      <c r="Y36" s="125">
        <f t="shared" si="2"/>
        <v>2</v>
      </c>
    </row>
    <row r="37" spans="1:25" ht="15" thickBot="1" x14ac:dyDescent="0.35">
      <c r="A37" s="23"/>
      <c r="B37" s="98"/>
      <c r="C37" s="98"/>
      <c r="D37" s="58"/>
      <c r="E37" s="367"/>
      <c r="F37" s="367"/>
      <c r="G37" s="367" t="s">
        <v>170</v>
      </c>
      <c r="H37" s="30" t="s">
        <v>171</v>
      </c>
      <c r="I37" s="18"/>
      <c r="J37" s="18"/>
      <c r="K37" s="108"/>
      <c r="S37" s="117"/>
      <c r="T37" s="98"/>
      <c r="U37" s="98"/>
      <c r="V37" s="98"/>
      <c r="W37" s="98"/>
      <c r="X37" s="98"/>
      <c r="Y37" s="118"/>
    </row>
    <row r="38" spans="1:25" x14ac:dyDescent="0.3">
      <c r="A38" s="23"/>
      <c r="B38" s="98"/>
      <c r="C38" s="98"/>
      <c r="D38" s="40">
        <v>11159</v>
      </c>
      <c r="E38" s="66" t="s">
        <v>9</v>
      </c>
      <c r="F38" s="66" t="s">
        <v>10</v>
      </c>
      <c r="G38" s="66">
        <v>4</v>
      </c>
      <c r="H38" s="17">
        <v>0</v>
      </c>
      <c r="I38" s="18"/>
      <c r="J38" s="18"/>
      <c r="K38" s="108"/>
      <c r="S38" s="117"/>
      <c r="T38" s="98"/>
      <c r="U38" s="98"/>
      <c r="V38" s="98"/>
      <c r="W38" s="98"/>
      <c r="X38" s="98"/>
      <c r="Y38" s="118"/>
    </row>
    <row r="39" spans="1:25" x14ac:dyDescent="0.3">
      <c r="A39" s="23"/>
      <c r="B39" s="17"/>
      <c r="C39" s="17"/>
      <c r="D39" s="17"/>
      <c r="E39" s="66"/>
      <c r="F39" s="66"/>
      <c r="G39" s="94" t="s">
        <v>172</v>
      </c>
      <c r="H39" s="18" t="s">
        <v>171</v>
      </c>
      <c r="I39" s="18"/>
      <c r="J39" s="18"/>
      <c r="K39" s="108"/>
      <c r="S39" s="117"/>
      <c r="T39" s="98"/>
      <c r="U39" s="98"/>
      <c r="V39" s="98"/>
      <c r="W39" s="98"/>
      <c r="X39" s="98"/>
      <c r="Y39" s="118"/>
    </row>
    <row r="40" spans="1:25" x14ac:dyDescent="0.3">
      <c r="A40" s="23"/>
      <c r="B40" s="17"/>
      <c r="C40" s="17"/>
      <c r="D40" s="17"/>
      <c r="E40" s="17"/>
      <c r="F40" s="17"/>
      <c r="G40" s="18"/>
      <c r="H40" s="18"/>
      <c r="I40" s="18"/>
      <c r="J40" s="18"/>
      <c r="K40" s="108"/>
      <c r="S40" s="117"/>
      <c r="T40" s="98"/>
      <c r="U40" s="98"/>
      <c r="V40" s="98"/>
      <c r="W40" s="98"/>
      <c r="X40" s="98"/>
      <c r="Y40" s="118"/>
    </row>
    <row r="41" spans="1:25" ht="15" thickBot="1" x14ac:dyDescent="0.35">
      <c r="A41" s="23"/>
      <c r="B41" s="17"/>
      <c r="C41" s="17" t="s">
        <v>12</v>
      </c>
      <c r="D41" s="17" t="s">
        <v>13</v>
      </c>
      <c r="E41" s="17" t="s">
        <v>14</v>
      </c>
      <c r="F41" s="17" t="s">
        <v>15</v>
      </c>
      <c r="G41" s="18" t="s">
        <v>24</v>
      </c>
      <c r="H41" s="18" t="s">
        <v>25</v>
      </c>
      <c r="I41" s="18" t="s">
        <v>26</v>
      </c>
      <c r="J41" s="18" t="s">
        <v>27</v>
      </c>
      <c r="K41" s="108"/>
      <c r="S41" s="117"/>
      <c r="T41" s="98"/>
      <c r="U41" s="98"/>
      <c r="V41" s="98"/>
      <c r="W41" s="98"/>
      <c r="X41" s="98"/>
      <c r="Y41" s="118"/>
    </row>
    <row r="42" spans="1:25" x14ac:dyDescent="0.3">
      <c r="A42" s="23"/>
      <c r="B42" s="14" t="s">
        <v>8</v>
      </c>
      <c r="C42" s="97">
        <f>COUNTIF($S$34:$T$36,"Jugoslawien")</f>
        <v>2</v>
      </c>
      <c r="D42" s="124">
        <f>SUMPRODUCT(($S$34:$T$36=B42)*($X$34:$Y$36=3))</f>
        <v>2</v>
      </c>
      <c r="E42" s="124">
        <f>SUMPRODUCT(($S$34:$T$36=B42)*($X$34:$Y$36=1))</f>
        <v>0</v>
      </c>
      <c r="F42" s="124">
        <f>SUMPRODUCT(($S$34:$T$36=B42)*($X$34:$Y$36=2))</f>
        <v>0</v>
      </c>
      <c r="G42" s="124">
        <f>SUMPRODUCT(($S$34:$S$36=B42)*($U$34:$U$36))+SUMPRODUCT(($T$34:$T$36=B42)*($V$34:$V$36))</f>
        <v>6</v>
      </c>
      <c r="H42" s="124">
        <f>SUMPRODUCT(($S$34:$S$36=B42)*($V$34:$V$36))+SUMPRODUCT(($T$34:$T$36=B42)*($U$34:$U$36))</f>
        <v>1</v>
      </c>
      <c r="I42" s="15">
        <f>(D42*2)+E42</f>
        <v>4</v>
      </c>
      <c r="J42" s="16">
        <f>(F42*2)+E42</f>
        <v>0</v>
      </c>
      <c r="K42" s="108"/>
      <c r="S42" s="117"/>
      <c r="T42" s="98"/>
      <c r="U42" s="98"/>
      <c r="V42" s="98"/>
      <c r="W42" s="98"/>
      <c r="X42" s="98"/>
      <c r="Y42" s="118"/>
    </row>
    <row r="43" spans="1:25" x14ac:dyDescent="0.3">
      <c r="A43" s="23"/>
      <c r="B43" s="21" t="s">
        <v>9</v>
      </c>
      <c r="C43" s="98">
        <f>COUNTIF($S$34:$T$36,"Brasilien")</f>
        <v>2</v>
      </c>
      <c r="D43" s="43">
        <f>SUMPRODUCT(($S$34:$T$36=B43)*($X$34:$Y$36=3))</f>
        <v>1</v>
      </c>
      <c r="E43" s="43">
        <f>SUMPRODUCT(($S$34:$T$36=B43)*($X$34:$Y$36=1))</f>
        <v>0</v>
      </c>
      <c r="F43" s="43">
        <f>SUMPRODUCT(($S$34:$T$36=B43)*($X$34:$Y$36=2))</f>
        <v>1</v>
      </c>
      <c r="G43" s="43">
        <f>SUMPRODUCT(($S$34:$S$36=B43)*($U$34:$U$36))+SUMPRODUCT(($T$34:$T$36=B43)*($V$34:$V$36))</f>
        <v>5</v>
      </c>
      <c r="H43" s="43">
        <f>SUMPRODUCT(($S$34:$S$36=B43)*($V$34:$V$36))+SUMPRODUCT(($T$34:$T$36=B43)*($U$34:$U$36))</f>
        <v>2</v>
      </c>
      <c r="I43" s="18">
        <f>(D43*2)+E43</f>
        <v>2</v>
      </c>
      <c r="J43" s="22">
        <f>(F43*2)+E43</f>
        <v>2</v>
      </c>
      <c r="K43" s="108"/>
      <c r="S43" s="117"/>
      <c r="T43" s="98"/>
      <c r="U43" s="98"/>
      <c r="V43" s="98"/>
      <c r="W43" s="98"/>
      <c r="X43" s="98"/>
      <c r="Y43" s="118"/>
    </row>
    <row r="44" spans="1:25" ht="15" thickBot="1" x14ac:dyDescent="0.35">
      <c r="A44" s="23"/>
      <c r="B44" s="29" t="s">
        <v>10</v>
      </c>
      <c r="C44" s="99">
        <f>COUNTIF($S$34:$T$36,"Bolivien")</f>
        <v>2</v>
      </c>
      <c r="D44" s="80">
        <f>SUMPRODUCT(($S$34:$T$36=B44)*($X$34:$Y$36=3))</f>
        <v>0</v>
      </c>
      <c r="E44" s="80">
        <f>SUMPRODUCT(($S$34:$T$36=B44)*($X$34:$Y$36=1))</f>
        <v>0</v>
      </c>
      <c r="F44" s="80">
        <f>SUMPRODUCT(($S$34:$T$36=B44)*($X$34:$Y$36=2))</f>
        <v>2</v>
      </c>
      <c r="G44" s="80">
        <f>SUMPRODUCT(($S$34:$S$36=B44)*($U$34:$U$36))+SUMPRODUCT(($T$34:$T$36=B44)*($V$34:$V$36))</f>
        <v>0</v>
      </c>
      <c r="H44" s="80">
        <f>SUMPRODUCT(($S$34:$S$36=B44)*($V$34:$V$36))+SUMPRODUCT(($T$34:$T$36=B44)*($U$34:$U$36))</f>
        <v>8</v>
      </c>
      <c r="I44" s="31">
        <f>(D44*2)+E44</f>
        <v>0</v>
      </c>
      <c r="J44" s="32">
        <f>(F44*2)+E44</f>
        <v>4</v>
      </c>
      <c r="K44" s="108"/>
      <c r="S44" s="117"/>
      <c r="T44" s="98"/>
      <c r="U44" s="98"/>
      <c r="V44" s="98"/>
      <c r="W44" s="98"/>
      <c r="X44" s="98"/>
      <c r="Y44" s="118"/>
    </row>
    <row r="45" spans="1:25" ht="15" thickBot="1" x14ac:dyDescent="0.35">
      <c r="A45" s="23"/>
      <c r="B45" s="17"/>
      <c r="C45" s="17"/>
      <c r="D45" s="17"/>
      <c r="E45" s="17"/>
      <c r="F45" s="17"/>
      <c r="G45" s="18"/>
      <c r="H45" s="18"/>
      <c r="I45" s="18"/>
      <c r="J45" s="18"/>
      <c r="K45" s="108"/>
      <c r="S45" s="117"/>
      <c r="T45" s="98"/>
      <c r="U45" s="98"/>
      <c r="V45" s="98"/>
      <c r="W45" s="98"/>
      <c r="X45" s="98"/>
      <c r="Y45" s="118"/>
    </row>
    <row r="46" spans="1:25" ht="15" thickTop="1" x14ac:dyDescent="0.3">
      <c r="A46" s="106"/>
      <c r="B46" s="53"/>
      <c r="C46" s="53"/>
      <c r="D46" s="53"/>
      <c r="E46" s="53"/>
      <c r="F46" s="53"/>
      <c r="G46" s="54"/>
      <c r="H46" s="54"/>
      <c r="I46" s="54"/>
      <c r="J46" s="54"/>
      <c r="K46" s="107"/>
      <c r="S46" s="117"/>
      <c r="T46" s="98"/>
      <c r="U46" s="98"/>
      <c r="V46" s="98"/>
      <c r="W46" s="98"/>
      <c r="X46" s="98"/>
      <c r="Y46" s="118"/>
    </row>
    <row r="47" spans="1:25" ht="21" x14ac:dyDescent="0.4">
      <c r="A47" s="23"/>
      <c r="B47" s="98"/>
      <c r="C47" s="17"/>
      <c r="D47" s="17"/>
      <c r="E47" s="17"/>
      <c r="F47" s="70" t="s">
        <v>11</v>
      </c>
      <c r="G47" s="18"/>
      <c r="H47" s="18"/>
      <c r="I47" s="18"/>
      <c r="J47" s="18"/>
      <c r="K47" s="108"/>
      <c r="S47" s="117"/>
      <c r="T47" s="98"/>
      <c r="U47" s="98"/>
      <c r="V47" s="98"/>
      <c r="W47" s="98"/>
      <c r="X47" s="98"/>
      <c r="Y47" s="118"/>
    </row>
    <row r="48" spans="1:25" x14ac:dyDescent="0.3">
      <c r="A48" s="23"/>
      <c r="B48" s="17"/>
      <c r="C48" s="17"/>
      <c r="D48" s="17"/>
      <c r="E48" s="17"/>
      <c r="F48" s="17"/>
      <c r="G48" s="18"/>
      <c r="H48" s="18"/>
      <c r="I48" s="18"/>
      <c r="J48" s="18"/>
      <c r="K48" s="108"/>
      <c r="S48" s="117"/>
      <c r="T48" s="98"/>
      <c r="U48" s="98"/>
      <c r="V48" s="98"/>
      <c r="W48" s="98"/>
      <c r="X48" s="98"/>
      <c r="Y48" s="118"/>
    </row>
    <row r="49" spans="1:25" x14ac:dyDescent="0.3">
      <c r="A49" s="23"/>
      <c r="B49" s="98"/>
      <c r="C49" s="98"/>
      <c r="D49" s="40">
        <v>11153</v>
      </c>
      <c r="E49" s="66" t="s">
        <v>16</v>
      </c>
      <c r="F49" s="66" t="s">
        <v>17</v>
      </c>
      <c r="G49" s="66">
        <v>3</v>
      </c>
      <c r="H49" s="17">
        <v>1</v>
      </c>
      <c r="I49" s="18"/>
      <c r="J49" s="18"/>
      <c r="K49" s="108"/>
      <c r="S49" s="117" t="s">
        <v>16</v>
      </c>
      <c r="T49" s="98" t="s">
        <v>17</v>
      </c>
      <c r="U49" s="98">
        <v>3</v>
      </c>
      <c r="V49" s="98">
        <v>1</v>
      </c>
      <c r="W49" s="98"/>
      <c r="X49" s="126">
        <f t="shared" ref="X49:X51" si="4">(IF(U49&gt;V49,3,IF(U49=V49,1,2)))</f>
        <v>3</v>
      </c>
      <c r="Y49" s="125">
        <f t="shared" ref="Y49:Y51" si="5">(IF(V49&gt;U49,3,IF(U49=V49,1,2)))</f>
        <v>2</v>
      </c>
    </row>
    <row r="50" spans="1:25" ht="15" thickBot="1" x14ac:dyDescent="0.35">
      <c r="A50" s="23"/>
      <c r="B50" s="98"/>
      <c r="C50" s="98"/>
      <c r="D50" s="58"/>
      <c r="E50" s="367"/>
      <c r="F50" s="367"/>
      <c r="G50" s="367" t="s">
        <v>172</v>
      </c>
      <c r="H50" s="30" t="s">
        <v>171</v>
      </c>
      <c r="I50" s="18"/>
      <c r="J50" s="18"/>
      <c r="K50" s="108"/>
      <c r="S50" s="117" t="s">
        <v>18</v>
      </c>
      <c r="T50" s="98" t="s">
        <v>17</v>
      </c>
      <c r="U50" s="98">
        <v>1</v>
      </c>
      <c r="V50" s="98">
        <v>0</v>
      </c>
      <c r="W50" s="98"/>
      <c r="X50" s="126">
        <f t="shared" si="4"/>
        <v>3</v>
      </c>
      <c r="Y50" s="125">
        <f t="shared" si="5"/>
        <v>2</v>
      </c>
    </row>
    <row r="51" spans="1:25" x14ac:dyDescent="0.3">
      <c r="A51" s="23"/>
      <c r="B51" s="98"/>
      <c r="C51" s="98"/>
      <c r="D51" s="40">
        <v>11157</v>
      </c>
      <c r="E51" s="66" t="s">
        <v>18</v>
      </c>
      <c r="F51" s="66" t="s">
        <v>17</v>
      </c>
      <c r="G51" s="66">
        <v>1</v>
      </c>
      <c r="H51" s="17">
        <v>0</v>
      </c>
      <c r="I51" s="18"/>
      <c r="J51" s="18"/>
      <c r="K51" s="108"/>
      <c r="S51" s="117" t="s">
        <v>18</v>
      </c>
      <c r="T51" s="98" t="s">
        <v>16</v>
      </c>
      <c r="U51" s="98">
        <v>4</v>
      </c>
      <c r="V51" s="98">
        <v>0</v>
      </c>
      <c r="W51" s="98"/>
      <c r="X51" s="126">
        <f t="shared" si="4"/>
        <v>3</v>
      </c>
      <c r="Y51" s="125">
        <f t="shared" si="5"/>
        <v>2</v>
      </c>
    </row>
    <row r="52" spans="1:25" ht="15" thickBot="1" x14ac:dyDescent="0.35">
      <c r="A52" s="23"/>
      <c r="B52" s="98"/>
      <c r="C52" s="98"/>
      <c r="D52" s="58"/>
      <c r="E52" s="367"/>
      <c r="F52" s="367"/>
      <c r="G52" s="367" t="s">
        <v>170</v>
      </c>
      <c r="H52" s="30" t="s">
        <v>171</v>
      </c>
      <c r="I52" s="18"/>
      <c r="J52" s="18"/>
      <c r="K52" s="108"/>
      <c r="S52" s="117"/>
      <c r="T52" s="98"/>
      <c r="U52" s="98"/>
      <c r="V52" s="98"/>
      <c r="W52" s="98"/>
      <c r="X52" s="98"/>
      <c r="Y52" s="118"/>
    </row>
    <row r="53" spans="1:25" x14ac:dyDescent="0.3">
      <c r="A53" s="23"/>
      <c r="B53" s="98"/>
      <c r="C53" s="98"/>
      <c r="D53" s="40">
        <v>11160</v>
      </c>
      <c r="E53" s="66" t="s">
        <v>18</v>
      </c>
      <c r="F53" s="66" t="s">
        <v>16</v>
      </c>
      <c r="G53" s="66">
        <v>4</v>
      </c>
      <c r="H53" s="17">
        <v>0</v>
      </c>
      <c r="I53" s="18"/>
      <c r="J53" s="18"/>
      <c r="K53" s="108"/>
      <c r="S53" s="117"/>
      <c r="T53" s="98"/>
      <c r="U53" s="98"/>
      <c r="V53" s="98"/>
      <c r="W53" s="98"/>
      <c r="X53" s="98"/>
      <c r="Y53" s="118"/>
    </row>
    <row r="54" spans="1:25" x14ac:dyDescent="0.3">
      <c r="A54" s="23"/>
      <c r="B54" s="17"/>
      <c r="C54" s="17"/>
      <c r="D54" s="17"/>
      <c r="E54" s="66"/>
      <c r="F54" s="66"/>
      <c r="G54" s="94" t="s">
        <v>268</v>
      </c>
      <c r="H54" s="18" t="s">
        <v>171</v>
      </c>
      <c r="I54" s="18"/>
      <c r="J54" s="18"/>
      <c r="K54" s="108"/>
      <c r="S54" s="117"/>
      <c r="T54" s="98"/>
      <c r="U54" s="98"/>
      <c r="V54" s="98"/>
      <c r="W54" s="98"/>
      <c r="X54" s="98"/>
      <c r="Y54" s="118"/>
    </row>
    <row r="55" spans="1:25" x14ac:dyDescent="0.3">
      <c r="A55" s="23"/>
      <c r="B55" s="17"/>
      <c r="C55" s="17"/>
      <c r="D55" s="17"/>
      <c r="E55" s="17"/>
      <c r="F55" s="17"/>
      <c r="G55" s="18"/>
      <c r="H55" s="18"/>
      <c r="I55" s="18"/>
      <c r="J55" s="18"/>
      <c r="K55" s="108"/>
      <c r="S55" s="117"/>
      <c r="T55" s="98"/>
      <c r="U55" s="98"/>
      <c r="V55" s="98"/>
      <c r="W55" s="98"/>
      <c r="X55" s="98"/>
      <c r="Y55" s="118"/>
    </row>
    <row r="56" spans="1:25" ht="15" thickBot="1" x14ac:dyDescent="0.35">
      <c r="A56" s="23"/>
      <c r="B56" s="17"/>
      <c r="C56" s="17" t="s">
        <v>12</v>
      </c>
      <c r="D56" s="17" t="s">
        <v>13</v>
      </c>
      <c r="E56" s="17" t="s">
        <v>14</v>
      </c>
      <c r="F56" s="17" t="s">
        <v>15</v>
      </c>
      <c r="G56" s="18" t="s">
        <v>24</v>
      </c>
      <c r="H56" s="18" t="s">
        <v>25</v>
      </c>
      <c r="I56" s="18" t="s">
        <v>26</v>
      </c>
      <c r="J56" s="18" t="s">
        <v>27</v>
      </c>
      <c r="K56" s="108"/>
      <c r="S56" s="117"/>
      <c r="T56" s="98"/>
      <c r="U56" s="98"/>
      <c r="V56" s="98"/>
      <c r="W56" s="98"/>
      <c r="X56" s="98"/>
      <c r="Y56" s="118"/>
    </row>
    <row r="57" spans="1:25" x14ac:dyDescent="0.3">
      <c r="A57" s="23"/>
      <c r="B57" s="14" t="s">
        <v>18</v>
      </c>
      <c r="C57" s="97">
        <f>COUNTIF($S$49:$T$51,"Uruguay")</f>
        <v>2</v>
      </c>
      <c r="D57" s="124">
        <f>SUMPRODUCT(($S$49:$T$51=B57)*($X$49:$Y$51=3))</f>
        <v>2</v>
      </c>
      <c r="E57" s="124">
        <f>SUMPRODUCT(($S$49:$T$51=B57)*($X$49:$Y$51=1))</f>
        <v>0</v>
      </c>
      <c r="F57" s="124">
        <f>SUMPRODUCT(($S$49:$T$51=B57)*($X$49:$Y$51=2))</f>
        <v>0</v>
      </c>
      <c r="G57" s="124">
        <f>SUMPRODUCT(($S$49:$S$51=B57)*($U$49:$U$51))+SUMPRODUCT(($T$49:$T$51=B57)*($V$49:$V$51))</f>
        <v>5</v>
      </c>
      <c r="H57" s="124">
        <f>SUMPRODUCT(($S$49:$S$51=B57)*($V$49:$V$51))+SUMPRODUCT(($T$49:$T$51=B57)*($U$49:$U$51))</f>
        <v>0</v>
      </c>
      <c r="I57" s="15">
        <f>(D57*2)+E57</f>
        <v>4</v>
      </c>
      <c r="J57" s="16">
        <f>(F57*2)+E57</f>
        <v>0</v>
      </c>
      <c r="K57" s="108"/>
      <c r="S57" s="117"/>
      <c r="T57" s="98"/>
      <c r="U57" s="98"/>
      <c r="V57" s="98"/>
      <c r="W57" s="98"/>
      <c r="X57" s="98"/>
      <c r="Y57" s="118"/>
    </row>
    <row r="58" spans="1:25" x14ac:dyDescent="0.3">
      <c r="A58" s="23"/>
      <c r="B58" s="21" t="s">
        <v>16</v>
      </c>
      <c r="C58" s="98">
        <f>COUNTIF($S$49:$T$51,"Rumänien")</f>
        <v>2</v>
      </c>
      <c r="D58" s="43">
        <f>SUMPRODUCT(($S$49:$T$51=B58)*($X$49:$Y$51=3))</f>
        <v>1</v>
      </c>
      <c r="E58" s="43">
        <f>SUMPRODUCT(($S$49:$T$51=B58)*($X$49:$Y$51=1))</f>
        <v>0</v>
      </c>
      <c r="F58" s="43">
        <f>SUMPRODUCT(($S$49:$T$51=B58)*($X$49:$Y$51=2))</f>
        <v>1</v>
      </c>
      <c r="G58" s="43">
        <f>SUMPRODUCT(($S$49:$S$51=B58)*($U$49:$U$51))+SUMPRODUCT(($T$49:$T$51=B58)*($V$49:$V$51))</f>
        <v>3</v>
      </c>
      <c r="H58" s="43">
        <f>SUMPRODUCT(($S$49:$S$51=B58)*($V$49:$V$51))+SUMPRODUCT(($T$49:$T$51=B58)*($U$49:$U$51))</f>
        <v>5</v>
      </c>
      <c r="I58" s="18">
        <f>(D58*2)+E58</f>
        <v>2</v>
      </c>
      <c r="J58" s="22">
        <f>(F58*2)+E58</f>
        <v>2</v>
      </c>
      <c r="K58" s="108"/>
      <c r="S58" s="117"/>
      <c r="T58" s="98"/>
      <c r="U58" s="98"/>
      <c r="V58" s="98"/>
      <c r="W58" s="98"/>
      <c r="X58" s="98"/>
      <c r="Y58" s="118"/>
    </row>
    <row r="59" spans="1:25" ht="15" thickBot="1" x14ac:dyDescent="0.35">
      <c r="A59" s="23"/>
      <c r="B59" s="29" t="s">
        <v>17</v>
      </c>
      <c r="C59" s="99">
        <f>COUNTIF($S$49:$T$51,"Peru")</f>
        <v>2</v>
      </c>
      <c r="D59" s="80">
        <f>SUMPRODUCT(($S$49:$T$51=B59)*($X$49:$Y$51=3))</f>
        <v>0</v>
      </c>
      <c r="E59" s="80">
        <f>SUMPRODUCT(($S$49:$T$51=B59)*($X$49:$Y$51=1))</f>
        <v>0</v>
      </c>
      <c r="F59" s="80">
        <f>SUMPRODUCT(($S$49:$T$51=B59)*($X$49:$Y$51=2))</f>
        <v>2</v>
      </c>
      <c r="G59" s="80">
        <f>SUMPRODUCT(($S$49:$S$51=B59)*($U$49:$U$51))+SUMPRODUCT(($T$49:$T$51=B59)*($V$49:$V$51))</f>
        <v>1</v>
      </c>
      <c r="H59" s="80">
        <f>SUMPRODUCT(($S$49:$S$51=B59)*($V$49:$V$51))+SUMPRODUCT(($T$49:$T$51=B59)*($U$49:$U$51))</f>
        <v>4</v>
      </c>
      <c r="I59" s="31">
        <f>(D59*2)+E59</f>
        <v>0</v>
      </c>
      <c r="J59" s="32">
        <f>(F59*2)+E59</f>
        <v>4</v>
      </c>
      <c r="K59" s="108"/>
      <c r="S59" s="117"/>
      <c r="T59" s="98"/>
      <c r="U59" s="98"/>
      <c r="V59" s="98"/>
      <c r="W59" s="98"/>
      <c r="X59" s="98"/>
      <c r="Y59" s="118"/>
    </row>
    <row r="60" spans="1:25" ht="15" thickBot="1" x14ac:dyDescent="0.35">
      <c r="A60" s="23"/>
      <c r="B60" s="17"/>
      <c r="C60" s="17"/>
      <c r="D60" s="17"/>
      <c r="E60" s="17"/>
      <c r="F60" s="17"/>
      <c r="G60" s="18"/>
      <c r="H60" s="18"/>
      <c r="I60" s="18"/>
      <c r="J60" s="18"/>
      <c r="K60" s="108"/>
      <c r="S60" s="117"/>
      <c r="T60" s="98"/>
      <c r="U60" s="98"/>
      <c r="V60" s="98"/>
      <c r="W60" s="98"/>
      <c r="X60" s="98"/>
      <c r="Y60" s="118"/>
    </row>
    <row r="61" spans="1:25" ht="15" thickTop="1" x14ac:dyDescent="0.3">
      <c r="A61" s="106"/>
      <c r="B61" s="53"/>
      <c r="C61" s="53"/>
      <c r="D61" s="53"/>
      <c r="E61" s="53"/>
      <c r="F61" s="53"/>
      <c r="G61" s="54"/>
      <c r="H61" s="54"/>
      <c r="I61" s="54"/>
      <c r="J61" s="54"/>
      <c r="K61" s="107"/>
      <c r="S61" s="117"/>
      <c r="T61" s="98"/>
      <c r="U61" s="98"/>
      <c r="V61" s="98"/>
      <c r="W61" s="98"/>
      <c r="X61" s="98"/>
      <c r="Y61" s="118"/>
    </row>
    <row r="62" spans="1:25" ht="21" x14ac:dyDescent="0.4">
      <c r="A62" s="23"/>
      <c r="B62" s="98"/>
      <c r="C62" s="17"/>
      <c r="D62" s="17"/>
      <c r="E62" s="17"/>
      <c r="F62" s="70" t="s">
        <v>19</v>
      </c>
      <c r="G62" s="18"/>
      <c r="H62" s="18"/>
      <c r="I62" s="18"/>
      <c r="J62" s="18"/>
      <c r="K62" s="108"/>
      <c r="S62" s="117"/>
      <c r="T62" s="98"/>
      <c r="U62" s="98"/>
      <c r="V62" s="98"/>
      <c r="W62" s="98"/>
      <c r="X62" s="98"/>
      <c r="Y62" s="118"/>
    </row>
    <row r="63" spans="1:25" x14ac:dyDescent="0.3">
      <c r="A63" s="23"/>
      <c r="B63" s="17"/>
      <c r="C63" s="17"/>
      <c r="D63" s="17"/>
      <c r="E63" s="17"/>
      <c r="F63" s="17"/>
      <c r="G63" s="18"/>
      <c r="H63" s="18"/>
      <c r="I63" s="18"/>
      <c r="J63" s="18"/>
      <c r="K63" s="108"/>
      <c r="S63" s="117"/>
      <c r="T63" s="98"/>
      <c r="U63" s="98"/>
      <c r="V63" s="98"/>
      <c r="W63" s="98"/>
      <c r="X63" s="98"/>
      <c r="Y63" s="118"/>
    </row>
    <row r="64" spans="1:25" x14ac:dyDescent="0.3">
      <c r="A64" s="23"/>
      <c r="B64" s="98"/>
      <c r="C64" s="98"/>
      <c r="D64" s="40">
        <v>11152</v>
      </c>
      <c r="E64" s="66" t="s">
        <v>20</v>
      </c>
      <c r="F64" s="66" t="s">
        <v>21</v>
      </c>
      <c r="G64" s="66">
        <v>3</v>
      </c>
      <c r="H64" s="17">
        <v>0</v>
      </c>
      <c r="I64" s="18"/>
      <c r="J64" s="18"/>
      <c r="K64" s="108"/>
      <c r="S64" s="117" t="s">
        <v>20</v>
      </c>
      <c r="T64" s="98" t="s">
        <v>21</v>
      </c>
      <c r="U64" s="98">
        <v>3</v>
      </c>
      <c r="V64" s="98">
        <v>0</v>
      </c>
      <c r="W64" s="98"/>
      <c r="X64" s="126">
        <f t="shared" ref="X64:X66" si="6">(IF(U64&gt;V64,3,IF(U64=V64,1,2)))</f>
        <v>3</v>
      </c>
      <c r="Y64" s="125">
        <f t="shared" ref="Y64:Y66" si="7">(IF(V64&gt;U64,3,IF(U64=V64,1,2)))</f>
        <v>2</v>
      </c>
    </row>
    <row r="65" spans="1:25" ht="15" thickBot="1" x14ac:dyDescent="0.35">
      <c r="A65" s="23"/>
      <c r="B65" s="98"/>
      <c r="C65" s="98"/>
      <c r="D65" s="58"/>
      <c r="E65" s="367"/>
      <c r="F65" s="367"/>
      <c r="G65" s="367" t="s">
        <v>215</v>
      </c>
      <c r="H65" s="30" t="s">
        <v>171</v>
      </c>
      <c r="I65" s="18"/>
      <c r="J65" s="18"/>
      <c r="K65" s="108"/>
      <c r="S65" s="117" t="s">
        <v>20</v>
      </c>
      <c r="T65" s="98" t="s">
        <v>22</v>
      </c>
      <c r="U65" s="98">
        <v>3</v>
      </c>
      <c r="V65" s="98">
        <v>0</v>
      </c>
      <c r="W65" s="98"/>
      <c r="X65" s="126">
        <f t="shared" si="6"/>
        <v>3</v>
      </c>
      <c r="Y65" s="125">
        <f t="shared" si="7"/>
        <v>2</v>
      </c>
    </row>
    <row r="66" spans="1:25" x14ac:dyDescent="0.3">
      <c r="A66" s="23"/>
      <c r="B66" s="98"/>
      <c r="C66" s="98"/>
      <c r="D66" s="40">
        <v>11156</v>
      </c>
      <c r="E66" s="66" t="s">
        <v>20</v>
      </c>
      <c r="F66" s="66" t="s">
        <v>22</v>
      </c>
      <c r="G66" s="66">
        <v>3</v>
      </c>
      <c r="H66" s="17">
        <v>0</v>
      </c>
      <c r="I66" s="18"/>
      <c r="J66" s="18"/>
      <c r="K66" s="108"/>
      <c r="S66" s="117" t="s">
        <v>22</v>
      </c>
      <c r="T66" s="98" t="s">
        <v>21</v>
      </c>
      <c r="U66" s="98">
        <v>1</v>
      </c>
      <c r="V66" s="98">
        <v>0</v>
      </c>
      <c r="W66" s="98"/>
      <c r="X66" s="126">
        <f t="shared" si="6"/>
        <v>3</v>
      </c>
      <c r="Y66" s="125">
        <f t="shared" si="7"/>
        <v>2</v>
      </c>
    </row>
    <row r="67" spans="1:25" ht="15" thickBot="1" x14ac:dyDescent="0.35">
      <c r="A67" s="23"/>
      <c r="B67" s="98"/>
      <c r="C67" s="98"/>
      <c r="D67" s="58"/>
      <c r="E67" s="367"/>
      <c r="F67" s="367"/>
      <c r="G67" s="367" t="s">
        <v>215</v>
      </c>
      <c r="H67" s="30" t="s">
        <v>171</v>
      </c>
      <c r="I67" s="18"/>
      <c r="J67" s="18"/>
      <c r="K67" s="108"/>
      <c r="S67" s="117"/>
      <c r="T67" s="98"/>
      <c r="U67" s="98"/>
      <c r="V67" s="98"/>
      <c r="W67" s="98"/>
      <c r="X67" s="98"/>
      <c r="Y67" s="118"/>
    </row>
    <row r="68" spans="1:25" x14ac:dyDescent="0.3">
      <c r="A68" s="23"/>
      <c r="B68" s="98"/>
      <c r="C68" s="98"/>
      <c r="D68" s="40">
        <v>11159</v>
      </c>
      <c r="E68" s="66" t="s">
        <v>22</v>
      </c>
      <c r="F68" s="66" t="s">
        <v>21</v>
      </c>
      <c r="G68" s="66">
        <v>1</v>
      </c>
      <c r="H68" s="17">
        <v>0</v>
      </c>
      <c r="I68" s="18"/>
      <c r="J68" s="18"/>
      <c r="K68" s="108"/>
      <c r="S68" s="117"/>
      <c r="T68" s="98"/>
      <c r="U68" s="98"/>
      <c r="V68" s="98"/>
      <c r="W68" s="98"/>
      <c r="X68" s="98"/>
      <c r="Y68" s="118"/>
    </row>
    <row r="69" spans="1:25" x14ac:dyDescent="0.3">
      <c r="A69" s="23"/>
      <c r="B69" s="17"/>
      <c r="C69" s="17"/>
      <c r="D69" s="17"/>
      <c r="E69" s="17"/>
      <c r="F69" s="17"/>
      <c r="G69" s="18" t="s">
        <v>172</v>
      </c>
      <c r="H69" s="18" t="s">
        <v>171</v>
      </c>
      <c r="I69" s="18"/>
      <c r="J69" s="18"/>
      <c r="K69" s="108"/>
      <c r="S69" s="117"/>
      <c r="T69" s="98"/>
      <c r="U69" s="98"/>
      <c r="V69" s="98"/>
      <c r="W69" s="98"/>
      <c r="X69" s="98"/>
      <c r="Y69" s="118"/>
    </row>
    <row r="70" spans="1:25" x14ac:dyDescent="0.3">
      <c r="A70" s="23"/>
      <c r="B70" s="17"/>
      <c r="C70" s="17"/>
      <c r="D70" s="17"/>
      <c r="E70" s="17"/>
      <c r="F70" s="17"/>
      <c r="G70" s="18"/>
      <c r="H70" s="18"/>
      <c r="I70" s="18"/>
      <c r="J70" s="18"/>
      <c r="K70" s="108"/>
      <c r="S70" s="117"/>
      <c r="T70" s="98"/>
      <c r="U70" s="98"/>
      <c r="V70" s="98"/>
      <c r="W70" s="98"/>
      <c r="X70" s="98"/>
      <c r="Y70" s="118"/>
    </row>
    <row r="71" spans="1:25" ht="15" thickBot="1" x14ac:dyDescent="0.35">
      <c r="A71" s="23"/>
      <c r="B71" s="17"/>
      <c r="C71" s="17" t="s">
        <v>12</v>
      </c>
      <c r="D71" s="17" t="s">
        <v>13</v>
      </c>
      <c r="E71" s="17" t="s">
        <v>14</v>
      </c>
      <c r="F71" s="17" t="s">
        <v>15</v>
      </c>
      <c r="G71" s="18" t="s">
        <v>24</v>
      </c>
      <c r="H71" s="18" t="s">
        <v>25</v>
      </c>
      <c r="I71" s="18" t="s">
        <v>26</v>
      </c>
      <c r="J71" s="18" t="s">
        <v>27</v>
      </c>
      <c r="K71" s="108"/>
      <c r="S71" s="117"/>
      <c r="T71" s="98"/>
      <c r="U71" s="98"/>
      <c r="V71" s="98"/>
      <c r="W71" s="98"/>
      <c r="X71" s="98"/>
      <c r="Y71" s="118"/>
    </row>
    <row r="72" spans="1:25" x14ac:dyDescent="0.3">
      <c r="A72" s="23"/>
      <c r="B72" s="14" t="s">
        <v>20</v>
      </c>
      <c r="C72" s="97">
        <f>COUNTIF($S$64:$T$66,"USA")</f>
        <v>2</v>
      </c>
      <c r="D72" s="124">
        <f>SUMPRODUCT(($S$64:$T$66=B72)*($X$64:$Y$66=3))</f>
        <v>2</v>
      </c>
      <c r="E72" s="124">
        <f>SUMPRODUCT(($S$64:$T$66=B72)*($X$64:$Y$66=1))</f>
        <v>0</v>
      </c>
      <c r="F72" s="124">
        <f>SUMPRODUCT(($S$64:$T$66=B72)*($X$64:$Y$66=2))</f>
        <v>0</v>
      </c>
      <c r="G72" s="124">
        <f>SUMPRODUCT(($S$64:$S$66=B72)*($U$64:$U$66))+SUMPRODUCT(($T$64:$T$66=B72)*($V$64:$V$66))</f>
        <v>6</v>
      </c>
      <c r="H72" s="124">
        <f>SUMPRODUCT(($S$64:$S$66=B72)*($V$64:$V$66))+SUMPRODUCT(($T$64:$T$66=B72)*($U$64:$U$66))</f>
        <v>0</v>
      </c>
      <c r="I72" s="15">
        <f>(D72*2)+E72</f>
        <v>4</v>
      </c>
      <c r="J72" s="16">
        <f>(F72*2)+E72</f>
        <v>0</v>
      </c>
      <c r="K72" s="108"/>
      <c r="S72" s="117"/>
      <c r="T72" s="98"/>
      <c r="U72" s="98"/>
      <c r="V72" s="98"/>
      <c r="W72" s="98"/>
      <c r="X72" s="98"/>
      <c r="Y72" s="118"/>
    </row>
    <row r="73" spans="1:25" x14ac:dyDescent="0.3">
      <c r="A73" s="23"/>
      <c r="B73" s="21" t="s">
        <v>22</v>
      </c>
      <c r="C73" s="352">
        <f>COUNTIF($S$64:$T$66,"Paraguay")</f>
        <v>2</v>
      </c>
      <c r="D73" s="43">
        <f>SUMPRODUCT(($S$64:$T$66=B73)*($X$64:$Y$66=3))</f>
        <v>1</v>
      </c>
      <c r="E73" s="43">
        <f>SUMPRODUCT(($S$64:$T$66=B73)*($X$64:$Y$66=1))</f>
        <v>0</v>
      </c>
      <c r="F73" s="43">
        <f>SUMPRODUCT(($S$64:$T$66=B73)*($X$64:$Y$66=2))</f>
        <v>1</v>
      </c>
      <c r="G73" s="43">
        <f>SUMPRODUCT(($S$64:$S$66=B73)*($U$64:$U$66))+SUMPRODUCT(($T$64:$T$66=B73)*($V$64:$V$66))</f>
        <v>1</v>
      </c>
      <c r="H73" s="43">
        <f>SUMPRODUCT(($S$64:$S$66=B73)*($V$64:$V$66))+SUMPRODUCT(($T$64:$T$66=B73)*($U$64:$U$66))</f>
        <v>3</v>
      </c>
      <c r="I73" s="18">
        <f>(D73*2)+E73</f>
        <v>2</v>
      </c>
      <c r="J73" s="22">
        <f>(F73*2)+E73</f>
        <v>2</v>
      </c>
      <c r="K73" s="108"/>
      <c r="S73" s="117"/>
      <c r="T73" s="98"/>
      <c r="U73" s="98"/>
      <c r="V73" s="98"/>
      <c r="W73" s="98"/>
      <c r="X73" s="98"/>
      <c r="Y73" s="118"/>
    </row>
    <row r="74" spans="1:25" ht="15" thickBot="1" x14ac:dyDescent="0.35">
      <c r="A74" s="23"/>
      <c r="B74" s="29" t="s">
        <v>21</v>
      </c>
      <c r="C74" s="356">
        <f>COUNTIF($S$64:$T$66,"Belgien")</f>
        <v>2</v>
      </c>
      <c r="D74" s="80">
        <f>SUMPRODUCT(($S$64:$T$66=B74)*($X$64:$Y$66=3))</f>
        <v>0</v>
      </c>
      <c r="E74" s="80">
        <f>SUMPRODUCT(($S$64:$T$66=B74)*($X$64:$Y$66=1))</f>
        <v>0</v>
      </c>
      <c r="F74" s="80">
        <f>SUMPRODUCT(($S$64:$T$66=B74)*($X$64:$Y$66=2))</f>
        <v>2</v>
      </c>
      <c r="G74" s="80">
        <f>SUMPRODUCT(($S$64:$S$66=B74)*($U$64:$U$66))+SUMPRODUCT(($T$64:$T$66=B74)*($V$64:$V$66))</f>
        <v>0</v>
      </c>
      <c r="H74" s="80">
        <f>SUMPRODUCT(($S$64:$S$66=B74)*($V$64:$V$66))+SUMPRODUCT(($T$64:$T$66=B74)*($U$64:$U$66))</f>
        <v>4</v>
      </c>
      <c r="I74" s="31">
        <f>(D74*2)+E74</f>
        <v>0</v>
      </c>
      <c r="J74" s="32">
        <f>(F74*2)+E74</f>
        <v>4</v>
      </c>
      <c r="K74" s="108"/>
      <c r="S74" s="117"/>
      <c r="T74" s="98"/>
      <c r="U74" s="98"/>
      <c r="V74" s="98"/>
      <c r="W74" s="98"/>
      <c r="X74" s="98"/>
      <c r="Y74" s="118"/>
    </row>
    <row r="75" spans="1:25" ht="15" thickBot="1" x14ac:dyDescent="0.35">
      <c r="A75" s="23"/>
      <c r="B75" s="17"/>
      <c r="C75" s="17"/>
      <c r="D75" s="17"/>
      <c r="E75" s="17"/>
      <c r="F75" s="17"/>
      <c r="G75" s="18"/>
      <c r="H75" s="18"/>
      <c r="I75" s="18"/>
      <c r="J75" s="18"/>
      <c r="K75" s="108"/>
      <c r="S75" s="117"/>
      <c r="T75" s="98"/>
      <c r="U75" s="98"/>
      <c r="V75" s="98"/>
      <c r="W75" s="98"/>
      <c r="X75" s="98"/>
      <c r="Y75" s="118"/>
    </row>
    <row r="76" spans="1:25" ht="15" thickTop="1" x14ac:dyDescent="0.3">
      <c r="A76" s="106"/>
      <c r="B76" s="25"/>
      <c r="C76" s="25"/>
      <c r="D76" s="25"/>
      <c r="E76" s="25"/>
      <c r="F76" s="25"/>
      <c r="G76" s="26"/>
      <c r="H76" s="26"/>
      <c r="I76" s="26"/>
      <c r="J76" s="26"/>
      <c r="K76" s="107"/>
      <c r="S76" s="117"/>
      <c r="T76" s="98"/>
      <c r="U76" s="98"/>
      <c r="V76" s="98"/>
      <c r="W76" s="98"/>
      <c r="X76" s="98"/>
      <c r="Y76" s="118"/>
    </row>
    <row r="77" spans="1:25" ht="21" x14ac:dyDescent="0.4">
      <c r="A77" s="23"/>
      <c r="B77" s="98"/>
      <c r="C77" s="423" t="s">
        <v>48</v>
      </c>
      <c r="D77" s="424"/>
      <c r="E77" s="424"/>
      <c r="F77" s="424"/>
      <c r="G77" s="424"/>
      <c r="H77" s="424"/>
      <c r="I77" s="424"/>
      <c r="J77" s="5"/>
      <c r="K77" s="108"/>
      <c r="S77" s="117"/>
      <c r="T77" s="98"/>
      <c r="U77" s="98"/>
      <c r="V77" s="98"/>
      <c r="W77" s="98"/>
      <c r="X77" s="98"/>
      <c r="Y77" s="118"/>
    </row>
    <row r="78" spans="1:25" x14ac:dyDescent="0.3">
      <c r="A78" s="23"/>
      <c r="B78" s="98"/>
      <c r="C78" s="98"/>
      <c r="D78" s="98"/>
      <c r="E78" s="98"/>
      <c r="F78" s="98"/>
      <c r="G78" s="5"/>
      <c r="H78" s="5"/>
      <c r="I78" s="5"/>
      <c r="J78" s="5"/>
      <c r="K78" s="108"/>
      <c r="S78" s="117"/>
      <c r="T78" s="98"/>
      <c r="U78" s="98"/>
      <c r="V78" s="98"/>
      <c r="W78" s="98"/>
      <c r="X78" s="98"/>
      <c r="Y78" s="118"/>
    </row>
    <row r="79" spans="1:25" x14ac:dyDescent="0.3">
      <c r="A79" s="23"/>
      <c r="B79" s="98"/>
      <c r="C79" s="98"/>
      <c r="D79" s="40">
        <v>11165</v>
      </c>
      <c r="E79" s="33" t="s">
        <v>5</v>
      </c>
      <c r="F79" s="33" t="s">
        <v>20</v>
      </c>
      <c r="G79" s="33">
        <v>6</v>
      </c>
      <c r="H79" s="98">
        <v>1</v>
      </c>
      <c r="I79" s="5"/>
      <c r="J79" s="5"/>
      <c r="K79" s="108"/>
      <c r="S79" s="117" t="s">
        <v>5</v>
      </c>
      <c r="T79" s="98" t="s">
        <v>20</v>
      </c>
      <c r="U79" s="98">
        <v>6</v>
      </c>
      <c r="V79" s="98">
        <v>1</v>
      </c>
      <c r="W79" s="98"/>
      <c r="X79" s="126">
        <f t="shared" ref="X79:X80" si="8">(IF(U79&gt;V79,3,IF(U79=V79,1,2)))</f>
        <v>3</v>
      </c>
      <c r="Y79" s="125">
        <f t="shared" ref="Y79:Y80" si="9">(IF(V79&gt;U79,3,IF(U79=V79,1,2)))</f>
        <v>2</v>
      </c>
    </row>
    <row r="80" spans="1:25" ht="15" thickBot="1" x14ac:dyDescent="0.35">
      <c r="A80" s="23"/>
      <c r="B80" s="98"/>
      <c r="C80" s="98"/>
      <c r="D80" s="58"/>
      <c r="E80" s="59"/>
      <c r="F80" s="59"/>
      <c r="G80" s="59" t="s">
        <v>172</v>
      </c>
      <c r="H80" s="99" t="s">
        <v>171</v>
      </c>
      <c r="I80" s="5"/>
      <c r="J80" s="5"/>
      <c r="K80" s="108"/>
      <c r="S80" s="117" t="s">
        <v>18</v>
      </c>
      <c r="T80" s="98" t="s">
        <v>8</v>
      </c>
      <c r="U80" s="98">
        <v>6</v>
      </c>
      <c r="V80" s="98">
        <v>1</v>
      </c>
      <c r="W80" s="98"/>
      <c r="X80" s="126">
        <f t="shared" si="8"/>
        <v>3</v>
      </c>
      <c r="Y80" s="125">
        <f t="shared" si="9"/>
        <v>2</v>
      </c>
    </row>
    <row r="81" spans="1:37" x14ac:dyDescent="0.3">
      <c r="A81" s="23"/>
      <c r="B81" s="98"/>
      <c r="C81" s="98"/>
      <c r="D81" s="40">
        <v>11166</v>
      </c>
      <c r="E81" s="33" t="s">
        <v>18</v>
      </c>
      <c r="F81" s="33" t="s">
        <v>8</v>
      </c>
      <c r="G81" s="33">
        <v>6</v>
      </c>
      <c r="H81" s="98">
        <v>1</v>
      </c>
      <c r="I81" s="5"/>
      <c r="J81" s="5"/>
      <c r="K81" s="108"/>
      <c r="S81" s="117"/>
      <c r="T81" s="98"/>
      <c r="U81" s="98"/>
      <c r="V81" s="98"/>
      <c r="W81" s="98"/>
      <c r="X81" s="98"/>
      <c r="Y81" s="118"/>
    </row>
    <row r="82" spans="1:37" x14ac:dyDescent="0.3">
      <c r="A82" s="23"/>
      <c r="B82" s="98"/>
      <c r="C82" s="98"/>
      <c r="D82" s="98"/>
      <c r="E82" s="98"/>
      <c r="F82" s="98"/>
      <c r="G82" s="5" t="s">
        <v>264</v>
      </c>
      <c r="H82" s="5" t="s">
        <v>183</v>
      </c>
      <c r="I82" s="5"/>
      <c r="J82" s="5"/>
      <c r="K82" s="108"/>
      <c r="S82" s="117"/>
      <c r="T82" s="98"/>
      <c r="U82" s="98"/>
      <c r="V82" s="98"/>
      <c r="W82" s="98"/>
      <c r="X82" s="98"/>
      <c r="Y82" s="118"/>
    </row>
    <row r="83" spans="1:37" x14ac:dyDescent="0.3">
      <c r="A83" s="23"/>
      <c r="B83" s="98"/>
      <c r="C83" s="98"/>
      <c r="D83" s="98"/>
      <c r="E83" s="98"/>
      <c r="F83" s="98"/>
      <c r="G83" s="5"/>
      <c r="H83" s="5"/>
      <c r="I83" s="5"/>
      <c r="J83" s="5"/>
      <c r="K83" s="108"/>
      <c r="S83" s="117"/>
      <c r="T83" s="98"/>
      <c r="U83" s="98"/>
      <c r="V83" s="98"/>
      <c r="W83" s="98"/>
      <c r="X83" s="98"/>
      <c r="Y83" s="118"/>
    </row>
    <row r="84" spans="1:37" ht="15" thickBot="1" x14ac:dyDescent="0.35">
      <c r="A84" s="23"/>
      <c r="B84" s="98"/>
      <c r="C84" s="98"/>
      <c r="D84" s="98"/>
      <c r="E84" s="98"/>
      <c r="F84" s="98"/>
      <c r="G84" s="5"/>
      <c r="H84" s="5"/>
      <c r="I84" s="5"/>
      <c r="J84" s="5"/>
      <c r="K84" s="108"/>
      <c r="S84" s="117"/>
      <c r="T84" s="98"/>
      <c r="U84" s="98"/>
      <c r="V84" s="98"/>
      <c r="W84" s="98"/>
      <c r="X84" s="98"/>
      <c r="Y84" s="118"/>
    </row>
    <row r="85" spans="1:37" ht="21" x14ac:dyDescent="0.4">
      <c r="A85" s="23"/>
      <c r="B85" s="98"/>
      <c r="C85" s="420" t="s">
        <v>452</v>
      </c>
      <c r="D85" s="433"/>
      <c r="E85" s="433"/>
      <c r="F85" s="433"/>
      <c r="G85" s="433"/>
      <c r="H85" s="433"/>
      <c r="I85" s="422"/>
      <c r="J85" s="5"/>
      <c r="K85" s="108"/>
      <c r="S85" s="117"/>
      <c r="T85" s="98"/>
      <c r="U85" s="98"/>
      <c r="V85" s="98"/>
      <c r="W85" s="98"/>
      <c r="X85" s="98"/>
      <c r="Y85" s="118"/>
    </row>
    <row r="86" spans="1:37" ht="14.4" customHeight="1" x14ac:dyDescent="0.4">
      <c r="A86" s="353"/>
      <c r="B86" s="352"/>
      <c r="C86" s="364"/>
      <c r="D86" s="352"/>
      <c r="E86" s="352"/>
      <c r="F86" s="352"/>
      <c r="G86" s="352"/>
      <c r="H86" s="352"/>
      <c r="I86" s="355"/>
      <c r="J86" s="5"/>
      <c r="K86" s="108"/>
      <c r="S86" s="117"/>
      <c r="T86" s="352"/>
      <c r="U86" s="352"/>
      <c r="V86" s="352"/>
      <c r="W86" s="352"/>
      <c r="X86" s="352"/>
      <c r="Y86" s="118"/>
      <c r="Z86" s="357"/>
      <c r="AA86" s="357"/>
      <c r="AC86" s="357"/>
      <c r="AD86" s="357"/>
      <c r="AE86" s="357"/>
      <c r="AF86" s="357"/>
      <c r="AG86" s="357"/>
      <c r="AH86" s="357"/>
      <c r="AI86" s="357"/>
      <c r="AJ86" s="357"/>
      <c r="AK86" s="357"/>
    </row>
    <row r="87" spans="1:37" x14ac:dyDescent="0.3">
      <c r="A87" s="23"/>
      <c r="B87" s="98"/>
      <c r="C87" s="3"/>
      <c r="D87" s="33" t="s">
        <v>8</v>
      </c>
      <c r="E87" s="55" t="s">
        <v>20</v>
      </c>
      <c r="F87" s="365" t="s">
        <v>451</v>
      </c>
      <c r="G87" s="366" t="s">
        <v>451</v>
      </c>
      <c r="I87" s="6"/>
      <c r="J87" s="5"/>
      <c r="K87" s="108"/>
      <c r="S87" s="117"/>
      <c r="T87" s="98"/>
      <c r="U87" s="98"/>
      <c r="V87" s="98"/>
      <c r="W87" s="98"/>
      <c r="X87" s="98"/>
      <c r="Y87" s="118"/>
    </row>
    <row r="88" spans="1:37" ht="15" thickBot="1" x14ac:dyDescent="0.35">
      <c r="A88" s="23"/>
      <c r="B88" s="98"/>
      <c r="C88" s="7"/>
      <c r="D88" s="99"/>
      <c r="E88" s="356"/>
      <c r="F88" s="356"/>
      <c r="G88" s="8"/>
      <c r="H88" s="8"/>
      <c r="I88" s="9"/>
      <c r="J88" s="5"/>
      <c r="K88" s="108"/>
      <c r="S88" s="117"/>
      <c r="T88" s="98"/>
      <c r="U88" s="98"/>
      <c r="V88" s="98"/>
      <c r="W88" s="98"/>
      <c r="X88" s="98"/>
      <c r="Y88" s="118"/>
    </row>
    <row r="89" spans="1:37" x14ac:dyDescent="0.3">
      <c r="A89" s="23"/>
      <c r="B89" s="98"/>
      <c r="C89" s="98"/>
      <c r="D89" s="98"/>
      <c r="E89" s="98"/>
      <c r="F89" s="98"/>
      <c r="G89" s="5"/>
      <c r="H89" s="5"/>
      <c r="I89" s="5"/>
      <c r="J89" s="5"/>
      <c r="K89" s="108"/>
      <c r="S89" s="117"/>
      <c r="T89" s="98"/>
      <c r="U89" s="98"/>
      <c r="V89" s="98"/>
      <c r="W89" s="98"/>
      <c r="X89" s="98"/>
      <c r="Y89" s="118"/>
    </row>
    <row r="90" spans="1:37" x14ac:dyDescent="0.3">
      <c r="A90" s="23"/>
      <c r="B90" s="98"/>
      <c r="C90" s="98"/>
      <c r="D90" s="98"/>
      <c r="E90" s="98"/>
      <c r="F90" s="352" t="s">
        <v>23</v>
      </c>
      <c r="G90" s="5"/>
      <c r="H90" s="5"/>
      <c r="I90" s="5"/>
      <c r="J90" s="5"/>
      <c r="K90" s="108"/>
      <c r="S90" s="117"/>
      <c r="T90" s="98"/>
      <c r="U90" s="98"/>
      <c r="V90" s="98"/>
      <c r="W90" s="98"/>
      <c r="X90" s="98"/>
      <c r="Y90" s="118"/>
    </row>
    <row r="91" spans="1:37" x14ac:dyDescent="0.3">
      <c r="A91" s="23"/>
      <c r="B91" s="98"/>
      <c r="C91" s="98"/>
      <c r="D91" s="98"/>
      <c r="E91" s="98"/>
      <c r="F91" s="98"/>
      <c r="G91" s="5"/>
      <c r="H91" s="5"/>
      <c r="I91" s="5"/>
      <c r="J91" s="5"/>
      <c r="K91" s="108"/>
      <c r="S91" s="117"/>
      <c r="T91" s="98"/>
      <c r="U91" s="98"/>
      <c r="V91" s="98"/>
      <c r="W91" s="98"/>
      <c r="X91" s="98"/>
      <c r="Y91" s="118"/>
    </row>
    <row r="92" spans="1:37" ht="15" thickBot="1" x14ac:dyDescent="0.35">
      <c r="A92" s="23"/>
      <c r="B92" s="98"/>
      <c r="C92" s="98"/>
      <c r="D92" s="98"/>
      <c r="E92" s="98"/>
      <c r="F92" s="98"/>
      <c r="G92" s="5"/>
      <c r="H92" s="5"/>
      <c r="I92" s="5"/>
      <c r="J92" s="5"/>
      <c r="K92" s="108"/>
      <c r="S92" s="117"/>
      <c r="T92" s="98"/>
      <c r="U92" s="98"/>
      <c r="V92" s="98"/>
      <c r="W92" s="98"/>
      <c r="X92" s="98"/>
      <c r="Y92" s="118"/>
    </row>
    <row r="93" spans="1:37" ht="21" x14ac:dyDescent="0.4">
      <c r="A93" s="23"/>
      <c r="B93" s="98"/>
      <c r="C93" s="420" t="s">
        <v>331</v>
      </c>
      <c r="D93" s="421"/>
      <c r="E93" s="421"/>
      <c r="F93" s="421"/>
      <c r="G93" s="421"/>
      <c r="H93" s="421"/>
      <c r="I93" s="422"/>
      <c r="J93" s="5"/>
      <c r="K93" s="108"/>
      <c r="S93" s="117"/>
      <c r="T93" s="98"/>
      <c r="U93" s="98"/>
      <c r="V93" s="98"/>
      <c r="W93" s="98"/>
      <c r="X93" s="98"/>
      <c r="Y93" s="118"/>
    </row>
    <row r="94" spans="1:37" ht="14.4" customHeight="1" x14ac:dyDescent="0.4">
      <c r="A94" s="353"/>
      <c r="B94" s="352"/>
      <c r="C94" s="364"/>
      <c r="D94" s="351"/>
      <c r="E94" s="351"/>
      <c r="F94" s="351"/>
      <c r="G94" s="351"/>
      <c r="H94" s="351"/>
      <c r="I94" s="355"/>
      <c r="J94" s="5"/>
      <c r="K94" s="108"/>
      <c r="S94" s="117"/>
      <c r="T94" s="352"/>
      <c r="U94" s="352"/>
      <c r="V94" s="352"/>
      <c r="W94" s="352"/>
      <c r="X94" s="352"/>
      <c r="Y94" s="118"/>
      <c r="Z94" s="357"/>
      <c r="AA94" s="357"/>
      <c r="AC94" s="357"/>
      <c r="AD94" s="357"/>
      <c r="AE94" s="357"/>
      <c r="AF94" s="357"/>
      <c r="AG94" s="357"/>
      <c r="AH94" s="357"/>
      <c r="AI94" s="357"/>
      <c r="AJ94" s="357"/>
      <c r="AK94" s="357"/>
    </row>
    <row r="95" spans="1:37" x14ac:dyDescent="0.3">
      <c r="A95" s="23"/>
      <c r="B95" s="98"/>
      <c r="C95" s="3"/>
      <c r="D95" s="33" t="s">
        <v>18</v>
      </c>
      <c r="E95" s="55" t="s">
        <v>5</v>
      </c>
      <c r="F95" s="98">
        <v>4</v>
      </c>
      <c r="G95" s="5">
        <v>2</v>
      </c>
      <c r="I95" s="6"/>
      <c r="J95" s="5"/>
      <c r="K95" s="108"/>
      <c r="S95" s="117" t="s">
        <v>18</v>
      </c>
      <c r="T95" s="98" t="s">
        <v>5</v>
      </c>
      <c r="U95" s="98">
        <v>4</v>
      </c>
      <c r="V95" s="98">
        <v>2</v>
      </c>
      <c r="W95" s="98"/>
      <c r="X95" s="126">
        <f t="shared" ref="X95" si="10">(IF(U95&gt;V95,3,IF(U95=V95,1,2)))</f>
        <v>3</v>
      </c>
      <c r="Y95" s="125">
        <f t="shared" ref="Y95" si="11">(IF(V95&gt;U95,3,IF(U95=V95,1,2)))</f>
        <v>2</v>
      </c>
    </row>
    <row r="96" spans="1:37" x14ac:dyDescent="0.3">
      <c r="A96" s="23"/>
      <c r="B96" s="98"/>
      <c r="C96" s="3"/>
      <c r="D96" s="33"/>
      <c r="E96" s="55"/>
      <c r="F96" s="98" t="s">
        <v>172</v>
      </c>
      <c r="G96" s="5" t="s">
        <v>173</v>
      </c>
      <c r="I96" s="6"/>
      <c r="J96" s="5"/>
      <c r="K96" s="108"/>
      <c r="S96" s="117"/>
      <c r="T96" s="98"/>
      <c r="U96" s="98"/>
      <c r="V96" s="98"/>
      <c r="W96" s="98"/>
      <c r="X96" s="98"/>
      <c r="Y96" s="118"/>
    </row>
    <row r="97" spans="1:37" ht="15" thickBot="1" x14ac:dyDescent="0.35">
      <c r="A97" s="23"/>
      <c r="B97" s="98"/>
      <c r="C97" s="7"/>
      <c r="D97" s="99"/>
      <c r="E97" s="99"/>
      <c r="F97" s="99"/>
      <c r="G97" s="99"/>
      <c r="H97" s="8"/>
      <c r="I97" s="9"/>
      <c r="J97" s="5"/>
      <c r="K97" s="108"/>
      <c r="S97" s="117"/>
      <c r="T97" s="98"/>
      <c r="U97" s="98"/>
      <c r="V97" s="98"/>
      <c r="W97" s="98"/>
      <c r="X97" s="98"/>
      <c r="Y97" s="118"/>
    </row>
    <row r="98" spans="1:37" x14ac:dyDescent="0.3">
      <c r="A98" s="23"/>
      <c r="B98" s="98"/>
      <c r="C98" s="98"/>
      <c r="D98" s="98"/>
      <c r="E98" s="98"/>
      <c r="F98" s="98"/>
      <c r="G98" s="5"/>
      <c r="H98" s="5"/>
      <c r="I98" s="5"/>
      <c r="J98" s="5"/>
      <c r="K98" s="108"/>
      <c r="S98" s="141"/>
      <c r="T98" s="141"/>
      <c r="U98" s="141"/>
      <c r="V98" s="141"/>
      <c r="W98" s="141"/>
      <c r="X98" s="141"/>
      <c r="Y98" s="141"/>
    </row>
    <row r="99" spans="1:37" x14ac:dyDescent="0.3">
      <c r="A99" s="23"/>
      <c r="B99" s="98"/>
      <c r="C99" s="98"/>
      <c r="D99" s="98"/>
      <c r="E99" s="41"/>
      <c r="F99" s="41"/>
      <c r="G99" s="348"/>
      <c r="H99" s="5"/>
      <c r="I99" s="5"/>
      <c r="J99" s="5"/>
      <c r="K99" s="108"/>
      <c r="S99" s="17"/>
      <c r="T99" s="17"/>
      <c r="U99" s="17"/>
      <c r="V99" s="17"/>
      <c r="W99" s="17"/>
      <c r="X99" s="17"/>
      <c r="Y99" s="17"/>
    </row>
    <row r="100" spans="1:37" x14ac:dyDescent="0.3">
      <c r="A100" s="23"/>
      <c r="B100" s="98"/>
      <c r="C100" s="98"/>
      <c r="D100" s="98"/>
      <c r="E100" s="98"/>
      <c r="F100" s="98"/>
      <c r="G100" s="5"/>
      <c r="H100" s="5"/>
      <c r="I100" s="5"/>
      <c r="J100" s="5"/>
      <c r="K100" s="108"/>
      <c r="S100" s="17"/>
      <c r="T100" s="17"/>
      <c r="U100" s="17"/>
      <c r="V100" s="17"/>
      <c r="W100" s="17"/>
      <c r="X100" s="17"/>
      <c r="Y100" s="17"/>
    </row>
    <row r="101" spans="1:37" x14ac:dyDescent="0.3">
      <c r="A101" s="23"/>
      <c r="B101" s="17"/>
      <c r="C101" s="17"/>
      <c r="D101" s="17"/>
      <c r="E101" s="17"/>
      <c r="F101" s="17"/>
      <c r="G101" s="18"/>
      <c r="H101" s="18"/>
      <c r="I101" s="18"/>
      <c r="J101" s="18"/>
      <c r="K101" s="109"/>
      <c r="S101" s="17"/>
      <c r="T101" s="17"/>
      <c r="U101" s="17"/>
      <c r="V101" s="17"/>
      <c r="W101" s="17"/>
      <c r="X101" s="17"/>
      <c r="Y101" s="17"/>
    </row>
    <row r="102" spans="1:37" ht="15" thickBot="1" x14ac:dyDescent="0.35">
      <c r="A102" s="23"/>
      <c r="B102" s="17" t="s">
        <v>298</v>
      </c>
      <c r="C102" s="17" t="s">
        <v>12</v>
      </c>
      <c r="D102" s="17" t="s">
        <v>13</v>
      </c>
      <c r="E102" s="17" t="s">
        <v>14</v>
      </c>
      <c r="F102" s="17" t="s">
        <v>15</v>
      </c>
      <c r="G102" s="18" t="s">
        <v>24</v>
      </c>
      <c r="H102" s="18" t="s">
        <v>25</v>
      </c>
      <c r="I102" s="18" t="s">
        <v>26</v>
      </c>
      <c r="J102" s="18" t="s">
        <v>27</v>
      </c>
      <c r="K102" s="109"/>
      <c r="S102" s="17"/>
      <c r="T102" s="17"/>
      <c r="U102" s="17"/>
      <c r="V102" s="17"/>
      <c r="W102" s="17"/>
      <c r="X102" s="17"/>
      <c r="Y102" s="17"/>
    </row>
    <row r="103" spans="1:37" s="13" customFormat="1" x14ac:dyDescent="0.3">
      <c r="A103" s="129"/>
      <c r="B103" s="179" t="s">
        <v>18</v>
      </c>
      <c r="C103" s="105">
        <f>COUNTIF($S$12:$T$95,"Uruguay")</f>
        <v>4</v>
      </c>
      <c r="D103" s="124">
        <f t="shared" ref="D103:D115" si="12">SUMPRODUCT(($S$12:$T$95=B103)*($X$12:$Y$95=3))</f>
        <v>4</v>
      </c>
      <c r="E103" s="124">
        <f t="shared" ref="E103:E115" si="13">SUMPRODUCT(($S$12:$T$95=B103)*($X$12:$Y$95=1))</f>
        <v>0</v>
      </c>
      <c r="F103" s="124">
        <f t="shared" ref="F103:F115" si="14">SUMPRODUCT(($S$12:$T$95=B103)*($X$12:$Y$95=2))</f>
        <v>0</v>
      </c>
      <c r="G103" s="124">
        <f t="shared" ref="G103:G115" si="15">SUMPRODUCT(($S$12:$S$95=B103)*($U$12:$U$95))+SUMPRODUCT(($T$12:$T$95=B103)*($V$12:$V$95))</f>
        <v>15</v>
      </c>
      <c r="H103" s="124">
        <f t="shared" ref="H103:H115" si="16">SUMPRODUCT(($S$12:$S$95=B103)*($V$12:$V$95))+SUMPRODUCT(($T$12:$T$95=B103)*($U$12:$U$95))</f>
        <v>3</v>
      </c>
      <c r="I103" s="15">
        <f t="shared" ref="I103:I115" si="17">(D103*2)+E103</f>
        <v>8</v>
      </c>
      <c r="J103" s="16">
        <f t="shared" ref="J103:J115" si="18">(F103*2)+E103</f>
        <v>0</v>
      </c>
      <c r="K103" s="109"/>
      <c r="L103"/>
      <c r="M103"/>
      <c r="N103"/>
      <c r="O103"/>
      <c r="P103"/>
      <c r="Q103"/>
      <c r="R103"/>
      <c r="S103" s="17"/>
      <c r="T103" s="17"/>
      <c r="U103" s="17"/>
      <c r="V103" s="17"/>
      <c r="W103" s="17"/>
      <c r="X103" s="17"/>
      <c r="Y103" s="17"/>
      <c r="Z103" s="100"/>
      <c r="AA103" s="100"/>
      <c r="AC103" s="10"/>
      <c r="AD103" s="10"/>
      <c r="AE103" s="10"/>
      <c r="AF103" s="10"/>
      <c r="AG103" s="10"/>
      <c r="AH103" s="10"/>
      <c r="AI103" s="10"/>
      <c r="AJ103" s="10"/>
      <c r="AK103" s="10"/>
    </row>
    <row r="104" spans="1:37" x14ac:dyDescent="0.3">
      <c r="A104" s="130"/>
      <c r="B104" s="95" t="s">
        <v>5</v>
      </c>
      <c r="C104" s="17">
        <f>COUNTIF($S$12:$T$95,"Argentinien")</f>
        <v>5</v>
      </c>
      <c r="D104" s="43">
        <f t="shared" si="12"/>
        <v>4</v>
      </c>
      <c r="E104" s="43">
        <f t="shared" si="13"/>
        <v>0</v>
      </c>
      <c r="F104" s="43">
        <f t="shared" si="14"/>
        <v>1</v>
      </c>
      <c r="G104" s="43">
        <f t="shared" si="15"/>
        <v>18</v>
      </c>
      <c r="H104" s="43">
        <f t="shared" si="16"/>
        <v>9</v>
      </c>
      <c r="I104" s="18">
        <f t="shared" si="17"/>
        <v>8</v>
      </c>
      <c r="J104" s="22">
        <f t="shared" si="18"/>
        <v>2</v>
      </c>
      <c r="K104" s="109"/>
      <c r="L104" s="13"/>
      <c r="M104" s="13"/>
      <c r="N104" s="13"/>
      <c r="O104" s="13"/>
      <c r="P104" s="13"/>
      <c r="Q104" s="13"/>
      <c r="R104" s="13"/>
      <c r="S104" s="17"/>
      <c r="T104" s="17"/>
      <c r="U104" s="17"/>
      <c r="V104" s="17"/>
      <c r="W104" s="17"/>
      <c r="X104" s="17"/>
      <c r="Y104" s="17"/>
      <c r="Z104" s="10"/>
      <c r="AA104" s="10"/>
    </row>
    <row r="105" spans="1:37" x14ac:dyDescent="0.3">
      <c r="A105" s="129"/>
      <c r="B105" s="17" t="s">
        <v>20</v>
      </c>
      <c r="C105" s="17">
        <f>COUNTIF($S$12:$T$95,"USA")</f>
        <v>3</v>
      </c>
      <c r="D105" s="43">
        <f t="shared" si="12"/>
        <v>2</v>
      </c>
      <c r="E105" s="43">
        <f t="shared" si="13"/>
        <v>0</v>
      </c>
      <c r="F105" s="43">
        <f t="shared" si="14"/>
        <v>1</v>
      </c>
      <c r="G105" s="43">
        <f t="shared" si="15"/>
        <v>7</v>
      </c>
      <c r="H105" s="43">
        <f t="shared" si="16"/>
        <v>6</v>
      </c>
      <c r="I105" s="18">
        <f t="shared" si="17"/>
        <v>4</v>
      </c>
      <c r="J105" s="22">
        <f t="shared" si="18"/>
        <v>2</v>
      </c>
      <c r="K105" s="109"/>
      <c r="S105" s="17"/>
      <c r="T105" s="17"/>
      <c r="U105" s="17"/>
      <c r="V105" s="17"/>
      <c r="W105" s="17"/>
      <c r="X105" s="17"/>
      <c r="Y105" s="17"/>
    </row>
    <row r="106" spans="1:37" x14ac:dyDescent="0.3">
      <c r="A106" s="129"/>
      <c r="B106" s="17" t="s">
        <v>8</v>
      </c>
      <c r="C106" s="17">
        <f>COUNTIF($S$12:$T$95,"Jugoslawien")</f>
        <v>3</v>
      </c>
      <c r="D106" s="43">
        <f t="shared" si="12"/>
        <v>2</v>
      </c>
      <c r="E106" s="43">
        <f t="shared" si="13"/>
        <v>0</v>
      </c>
      <c r="F106" s="43">
        <f t="shared" si="14"/>
        <v>1</v>
      </c>
      <c r="G106" s="43">
        <f t="shared" si="15"/>
        <v>7</v>
      </c>
      <c r="H106" s="43">
        <f t="shared" si="16"/>
        <v>7</v>
      </c>
      <c r="I106" s="18">
        <f t="shared" si="17"/>
        <v>4</v>
      </c>
      <c r="J106" s="22">
        <f t="shared" si="18"/>
        <v>2</v>
      </c>
      <c r="K106" s="109"/>
      <c r="S106" s="17"/>
      <c r="T106" s="17"/>
      <c r="U106" s="17"/>
      <c r="V106" s="17"/>
      <c r="W106" s="17"/>
      <c r="X106" s="17"/>
      <c r="Y106" s="17"/>
    </row>
    <row r="107" spans="1:37" x14ac:dyDescent="0.3">
      <c r="A107" s="129"/>
      <c r="B107" s="17" t="s">
        <v>6</v>
      </c>
      <c r="C107" s="17">
        <f>COUNTIF($S$12:$T$95,"Chile")</f>
        <v>3</v>
      </c>
      <c r="D107" s="43">
        <f t="shared" si="12"/>
        <v>2</v>
      </c>
      <c r="E107" s="43">
        <f t="shared" si="13"/>
        <v>0</v>
      </c>
      <c r="F107" s="43">
        <f t="shared" si="14"/>
        <v>1</v>
      </c>
      <c r="G107" s="43">
        <f t="shared" si="15"/>
        <v>5</v>
      </c>
      <c r="H107" s="43">
        <f t="shared" si="16"/>
        <v>3</v>
      </c>
      <c r="I107" s="18">
        <f t="shared" si="17"/>
        <v>4</v>
      </c>
      <c r="J107" s="22">
        <f t="shared" si="18"/>
        <v>2</v>
      </c>
      <c r="K107" s="109"/>
      <c r="S107" s="17"/>
      <c r="T107" s="17"/>
      <c r="U107" s="17"/>
      <c r="V107" s="17"/>
      <c r="W107" s="17"/>
      <c r="X107" s="17"/>
      <c r="Y107" s="17"/>
    </row>
    <row r="108" spans="1:37" s="13" customFormat="1" x14ac:dyDescent="0.3">
      <c r="A108" s="130"/>
      <c r="B108" s="17" t="s">
        <v>9</v>
      </c>
      <c r="C108" s="17">
        <f>COUNTIF($S$12:$T$95,"Brasilien")</f>
        <v>2</v>
      </c>
      <c r="D108" s="43">
        <f t="shared" si="12"/>
        <v>1</v>
      </c>
      <c r="E108" s="43">
        <f t="shared" si="13"/>
        <v>0</v>
      </c>
      <c r="F108" s="43">
        <f t="shared" si="14"/>
        <v>1</v>
      </c>
      <c r="G108" s="43">
        <f t="shared" si="15"/>
        <v>5</v>
      </c>
      <c r="H108" s="43">
        <f t="shared" si="16"/>
        <v>2</v>
      </c>
      <c r="I108" s="18">
        <f t="shared" si="17"/>
        <v>2</v>
      </c>
      <c r="J108" s="22">
        <f t="shared" si="18"/>
        <v>2</v>
      </c>
      <c r="K108" s="109"/>
      <c r="S108" s="17"/>
      <c r="T108" s="17"/>
      <c r="U108" s="17"/>
      <c r="V108" s="17"/>
      <c r="W108" s="17"/>
      <c r="X108" s="17"/>
      <c r="Y108" s="17"/>
      <c r="Z108" s="10"/>
      <c r="AA108" s="10"/>
      <c r="AC108" s="10"/>
      <c r="AD108" s="10"/>
      <c r="AE108" s="10"/>
      <c r="AF108" s="10"/>
      <c r="AG108" s="10"/>
      <c r="AH108" s="10"/>
      <c r="AI108" s="10"/>
      <c r="AJ108" s="10"/>
      <c r="AK108" s="10"/>
    </row>
    <row r="109" spans="1:37" x14ac:dyDescent="0.3">
      <c r="A109" s="129"/>
      <c r="B109" s="17" t="s">
        <v>16</v>
      </c>
      <c r="C109" s="17">
        <f>COUNTIF($S$12:$T$95,"Rumänien")</f>
        <v>2</v>
      </c>
      <c r="D109" s="43">
        <f t="shared" si="12"/>
        <v>1</v>
      </c>
      <c r="E109" s="43">
        <f t="shared" si="13"/>
        <v>0</v>
      </c>
      <c r="F109" s="43">
        <f t="shared" si="14"/>
        <v>1</v>
      </c>
      <c r="G109" s="43">
        <f t="shared" si="15"/>
        <v>3</v>
      </c>
      <c r="H109" s="43">
        <f t="shared" si="16"/>
        <v>5</v>
      </c>
      <c r="I109" s="18">
        <f t="shared" si="17"/>
        <v>2</v>
      </c>
      <c r="J109" s="22">
        <f t="shared" si="18"/>
        <v>2</v>
      </c>
      <c r="K109" s="109"/>
      <c r="S109" s="17"/>
      <c r="T109" s="17"/>
      <c r="U109" s="17"/>
      <c r="V109" s="17"/>
      <c r="W109" s="17"/>
      <c r="X109" s="17"/>
      <c r="Y109" s="17"/>
    </row>
    <row r="110" spans="1:37" x14ac:dyDescent="0.3">
      <c r="A110" s="129"/>
      <c r="B110" s="17" t="s">
        <v>22</v>
      </c>
      <c r="C110" s="17">
        <f>COUNTIF($S$12:$T$95,"Paraguay")</f>
        <v>2</v>
      </c>
      <c r="D110" s="43">
        <f t="shared" si="12"/>
        <v>1</v>
      </c>
      <c r="E110" s="43">
        <f t="shared" si="13"/>
        <v>0</v>
      </c>
      <c r="F110" s="43">
        <f t="shared" si="14"/>
        <v>1</v>
      </c>
      <c r="G110" s="43">
        <f t="shared" si="15"/>
        <v>1</v>
      </c>
      <c r="H110" s="43">
        <f t="shared" si="16"/>
        <v>3</v>
      </c>
      <c r="I110" s="18">
        <f t="shared" si="17"/>
        <v>2</v>
      </c>
      <c r="J110" s="22">
        <f t="shared" si="18"/>
        <v>2</v>
      </c>
      <c r="K110" s="109"/>
      <c r="S110" s="17"/>
      <c r="T110" s="17"/>
      <c r="U110" s="17"/>
      <c r="V110" s="17"/>
      <c r="W110" s="17"/>
      <c r="X110" s="17"/>
      <c r="Y110" s="17"/>
    </row>
    <row r="111" spans="1:37" x14ac:dyDescent="0.3">
      <c r="A111" s="129"/>
      <c r="B111" s="17" t="s">
        <v>3</v>
      </c>
      <c r="C111" s="17">
        <f>COUNTIF($S$12:$T$95,"Frankreich")</f>
        <v>3</v>
      </c>
      <c r="D111" s="43">
        <f t="shared" si="12"/>
        <v>1</v>
      </c>
      <c r="E111" s="43">
        <f t="shared" si="13"/>
        <v>0</v>
      </c>
      <c r="F111" s="43">
        <f t="shared" si="14"/>
        <v>2</v>
      </c>
      <c r="G111" s="43">
        <f t="shared" si="15"/>
        <v>4</v>
      </c>
      <c r="H111" s="43">
        <f t="shared" si="16"/>
        <v>3</v>
      </c>
      <c r="I111" s="18">
        <f t="shared" si="17"/>
        <v>2</v>
      </c>
      <c r="J111" s="22">
        <f t="shared" si="18"/>
        <v>4</v>
      </c>
      <c r="K111" s="109"/>
      <c r="S111" s="17"/>
      <c r="T111" s="17"/>
      <c r="U111" s="17"/>
      <c r="V111" s="17"/>
      <c r="W111" s="17"/>
      <c r="X111" s="17"/>
      <c r="Y111" s="17"/>
    </row>
    <row r="112" spans="1:37" x14ac:dyDescent="0.3">
      <c r="A112" s="129"/>
      <c r="B112" s="17" t="s">
        <v>17</v>
      </c>
      <c r="C112" s="17">
        <f>COUNTIF($S$12:$T$95,"Peru")</f>
        <v>2</v>
      </c>
      <c r="D112" s="43">
        <f t="shared" si="12"/>
        <v>0</v>
      </c>
      <c r="E112" s="43">
        <f t="shared" si="13"/>
        <v>0</v>
      </c>
      <c r="F112" s="43">
        <f t="shared" si="14"/>
        <v>2</v>
      </c>
      <c r="G112" s="43">
        <f t="shared" si="15"/>
        <v>1</v>
      </c>
      <c r="H112" s="43">
        <f t="shared" si="16"/>
        <v>4</v>
      </c>
      <c r="I112" s="18">
        <f t="shared" si="17"/>
        <v>0</v>
      </c>
      <c r="J112" s="22">
        <f t="shared" si="18"/>
        <v>4</v>
      </c>
      <c r="K112" s="109"/>
      <c r="S112" s="17"/>
      <c r="T112" s="17"/>
      <c r="U112" s="17"/>
      <c r="V112" s="17"/>
      <c r="W112" s="17"/>
      <c r="X112" s="17"/>
      <c r="Y112" s="17"/>
    </row>
    <row r="113" spans="1:25" x14ac:dyDescent="0.3">
      <c r="A113" s="129"/>
      <c r="B113" s="17" t="s">
        <v>21</v>
      </c>
      <c r="C113" s="17">
        <f>COUNTIF($S$12:$T$95,"Belgien")</f>
        <v>2</v>
      </c>
      <c r="D113" s="43">
        <f t="shared" si="12"/>
        <v>0</v>
      </c>
      <c r="E113" s="43">
        <f t="shared" si="13"/>
        <v>0</v>
      </c>
      <c r="F113" s="43">
        <f t="shared" si="14"/>
        <v>2</v>
      </c>
      <c r="G113" s="43">
        <f t="shared" si="15"/>
        <v>0</v>
      </c>
      <c r="H113" s="43">
        <f t="shared" si="16"/>
        <v>4</v>
      </c>
      <c r="I113" s="18">
        <f t="shared" si="17"/>
        <v>0</v>
      </c>
      <c r="J113" s="22">
        <f t="shared" si="18"/>
        <v>4</v>
      </c>
      <c r="K113" s="109"/>
      <c r="S113" s="17"/>
      <c r="T113" s="17"/>
      <c r="U113" s="17"/>
      <c r="V113" s="17"/>
      <c r="W113" s="17"/>
      <c r="X113" s="17"/>
      <c r="Y113" s="17"/>
    </row>
    <row r="114" spans="1:25" x14ac:dyDescent="0.3">
      <c r="A114" s="129"/>
      <c r="B114" s="17" t="s">
        <v>10</v>
      </c>
      <c r="C114" s="17">
        <f>COUNTIF($S$12:$T$95,"Bolivien")</f>
        <v>2</v>
      </c>
      <c r="D114" s="43">
        <f t="shared" si="12"/>
        <v>0</v>
      </c>
      <c r="E114" s="43">
        <f t="shared" si="13"/>
        <v>0</v>
      </c>
      <c r="F114" s="43">
        <f t="shared" si="14"/>
        <v>2</v>
      </c>
      <c r="G114" s="43">
        <f t="shared" si="15"/>
        <v>0</v>
      </c>
      <c r="H114" s="43">
        <f t="shared" si="16"/>
        <v>8</v>
      </c>
      <c r="I114" s="18">
        <f t="shared" si="17"/>
        <v>0</v>
      </c>
      <c r="J114" s="22">
        <f t="shared" si="18"/>
        <v>4</v>
      </c>
      <c r="K114" s="109"/>
      <c r="S114" s="17"/>
      <c r="T114" s="17"/>
      <c r="U114" s="17"/>
      <c r="V114" s="17"/>
      <c r="W114" s="17"/>
      <c r="X114" s="17"/>
      <c r="Y114" s="17"/>
    </row>
    <row r="115" spans="1:25" ht="15" thickBot="1" x14ac:dyDescent="0.35">
      <c r="A115" s="129"/>
      <c r="B115" s="30" t="s">
        <v>4</v>
      </c>
      <c r="C115" s="30">
        <f>COUNTIF($S$12:$T$95,"Mexiko")</f>
        <v>3</v>
      </c>
      <c r="D115" s="80">
        <f t="shared" si="12"/>
        <v>0</v>
      </c>
      <c r="E115" s="80">
        <f t="shared" si="13"/>
        <v>0</v>
      </c>
      <c r="F115" s="80">
        <f t="shared" si="14"/>
        <v>3</v>
      </c>
      <c r="G115" s="80">
        <f t="shared" si="15"/>
        <v>4</v>
      </c>
      <c r="H115" s="80">
        <f t="shared" si="16"/>
        <v>13</v>
      </c>
      <c r="I115" s="31">
        <f t="shared" si="17"/>
        <v>0</v>
      </c>
      <c r="J115" s="32">
        <f t="shared" si="18"/>
        <v>6</v>
      </c>
      <c r="K115" s="109"/>
      <c r="S115" s="17"/>
      <c r="T115" s="17"/>
      <c r="U115" s="17"/>
      <c r="V115" s="17"/>
      <c r="W115" s="17"/>
      <c r="X115" s="17"/>
      <c r="Y115" s="17"/>
    </row>
    <row r="116" spans="1:25" x14ac:dyDescent="0.3">
      <c r="A116" s="23"/>
      <c r="B116" s="17"/>
      <c r="C116" s="17"/>
      <c r="D116" s="17"/>
      <c r="E116" s="17"/>
      <c r="F116" s="17"/>
      <c r="G116" s="18"/>
      <c r="H116" s="18"/>
      <c r="I116" s="18"/>
      <c r="J116" s="18"/>
      <c r="K116" s="109"/>
      <c r="S116" s="17"/>
      <c r="T116" s="17"/>
      <c r="U116" s="17"/>
      <c r="V116" s="17"/>
      <c r="W116" s="17"/>
      <c r="X116" s="17"/>
      <c r="Y116" s="17"/>
    </row>
    <row r="117" spans="1:25" ht="15" thickBot="1" x14ac:dyDescent="0.35">
      <c r="A117" s="110"/>
      <c r="B117" s="111"/>
      <c r="C117" s="111"/>
      <c r="D117" s="111"/>
      <c r="E117" s="111"/>
      <c r="F117" s="111"/>
      <c r="G117" s="112"/>
      <c r="H117" s="112"/>
      <c r="I117" s="112"/>
      <c r="J117" s="112"/>
      <c r="K117" s="113"/>
      <c r="S117" s="17"/>
      <c r="T117" s="17"/>
      <c r="U117" s="17"/>
      <c r="V117" s="17"/>
      <c r="W117" s="17"/>
      <c r="X117" s="17"/>
      <c r="Y117" s="17"/>
    </row>
    <row r="118" spans="1:25" ht="15" thickTop="1" x14ac:dyDescent="0.3">
      <c r="B118" s="10"/>
      <c r="C118" s="10"/>
      <c r="D118" s="10"/>
      <c r="E118" s="10"/>
      <c r="F118" s="10"/>
      <c r="G118" s="12"/>
      <c r="H118" s="12"/>
      <c r="I118" s="12"/>
      <c r="J118" s="12"/>
      <c r="K118" s="13"/>
      <c r="S118" s="17"/>
      <c r="T118" s="17"/>
      <c r="U118" s="17"/>
      <c r="V118" s="17"/>
      <c r="W118" s="17"/>
      <c r="X118" s="17"/>
      <c r="Y118" s="17"/>
    </row>
    <row r="119" spans="1:25" x14ac:dyDescent="0.3">
      <c r="B119" s="17"/>
      <c r="C119" s="17"/>
      <c r="D119" s="43"/>
      <c r="E119" s="43"/>
      <c r="F119" s="43"/>
      <c r="G119" s="18"/>
      <c r="H119" s="18"/>
      <c r="I119" s="18"/>
      <c r="J119" s="18"/>
      <c r="K119" s="13"/>
    </row>
  </sheetData>
  <sortState ref="B72:J74">
    <sortCondition descending="1" ref="I72:I74"/>
    <sortCondition ref="J72:J74"/>
    <sortCondition descending="1" ref="G72:G74"/>
    <sortCondition ref="H72:H74"/>
  </sortState>
  <mergeCells count="7">
    <mergeCell ref="C93:I93"/>
    <mergeCell ref="C77:I77"/>
    <mergeCell ref="A2:K2"/>
    <mergeCell ref="A4:K4"/>
    <mergeCell ref="A5:K5"/>
    <mergeCell ref="A7:K7"/>
    <mergeCell ref="C85:I85"/>
  </mergeCells>
  <pageMargins left="0.7" right="0.7" top="0.78740157499999996" bottom="0.78740157499999996" header="0.3" footer="0.3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A176"/>
  <sheetViews>
    <sheetView topLeftCell="A149" workbookViewId="0">
      <selection activeCell="M164" sqref="M164"/>
    </sheetView>
  </sheetViews>
  <sheetFormatPr baseColWidth="10" defaultRowHeight="14.4" x14ac:dyDescent="0.3"/>
  <cols>
    <col min="1" max="6" width="11.77734375" style="1" customWidth="1"/>
    <col min="7" max="10" width="11.77734375" style="2" customWidth="1"/>
    <col min="11" max="12" width="11.77734375" style="1" customWidth="1"/>
    <col min="13" max="18" width="11.77734375" customWidth="1"/>
    <col min="19" max="25" width="11.77734375" style="139" customWidth="1"/>
  </cols>
  <sheetData>
    <row r="1" spans="1:27" ht="15" thickTop="1" x14ac:dyDescent="0.3">
      <c r="A1" s="106"/>
      <c r="B1" s="25"/>
      <c r="C1" s="25"/>
      <c r="D1" s="25"/>
      <c r="E1" s="25"/>
      <c r="F1" s="25"/>
      <c r="G1" s="26"/>
      <c r="H1" s="26"/>
      <c r="I1" s="26"/>
      <c r="J1" s="26"/>
      <c r="K1" s="196"/>
      <c r="S1" s="114"/>
      <c r="T1" s="115"/>
      <c r="U1" s="115"/>
      <c r="V1" s="115"/>
      <c r="W1" s="115"/>
      <c r="X1" s="115"/>
      <c r="Y1" s="116"/>
    </row>
    <row r="2" spans="1:27" ht="46.2" x14ac:dyDescent="0.85">
      <c r="A2" s="425" t="s">
        <v>166</v>
      </c>
      <c r="B2" s="426"/>
      <c r="C2" s="426"/>
      <c r="D2" s="426"/>
      <c r="E2" s="426"/>
      <c r="F2" s="426"/>
      <c r="G2" s="426"/>
      <c r="H2" s="426"/>
      <c r="I2" s="426"/>
      <c r="J2" s="426"/>
      <c r="K2" s="437"/>
      <c r="S2" s="117"/>
      <c r="T2" s="138"/>
      <c r="U2" s="138"/>
      <c r="V2" s="138"/>
      <c r="W2" s="138"/>
      <c r="X2" s="138"/>
      <c r="Y2" s="118"/>
    </row>
    <row r="3" spans="1:27" x14ac:dyDescent="0.3">
      <c r="A3" s="176"/>
      <c r="B3" s="173"/>
      <c r="C3" s="173"/>
      <c r="D3" s="173"/>
      <c r="E3" s="173"/>
      <c r="F3" s="173"/>
      <c r="G3" s="5"/>
      <c r="H3" s="5"/>
      <c r="I3" s="5"/>
      <c r="J3" s="5"/>
      <c r="K3" s="93"/>
      <c r="S3" s="117"/>
      <c r="T3" s="138"/>
      <c r="U3" s="138"/>
      <c r="V3" s="138"/>
      <c r="W3" s="138"/>
      <c r="X3" s="138"/>
      <c r="Y3" s="118"/>
    </row>
    <row r="4" spans="1:27" ht="28.8" x14ac:dyDescent="0.55000000000000004">
      <c r="A4" s="428" t="s">
        <v>148</v>
      </c>
      <c r="B4" s="429"/>
      <c r="C4" s="429"/>
      <c r="D4" s="429"/>
      <c r="E4" s="429"/>
      <c r="F4" s="429"/>
      <c r="G4" s="429"/>
      <c r="H4" s="429"/>
      <c r="I4" s="429"/>
      <c r="J4" s="429"/>
      <c r="K4" s="438"/>
      <c r="S4" s="117"/>
      <c r="T4" s="138"/>
      <c r="U4" s="138"/>
      <c r="V4" s="138"/>
      <c r="W4" s="138"/>
      <c r="X4" s="138"/>
      <c r="Y4" s="118"/>
    </row>
    <row r="5" spans="1:27" ht="21" x14ac:dyDescent="0.4">
      <c r="A5" s="430" t="s">
        <v>333</v>
      </c>
      <c r="B5" s="431"/>
      <c r="C5" s="431"/>
      <c r="D5" s="431"/>
      <c r="E5" s="431"/>
      <c r="F5" s="431"/>
      <c r="G5" s="431"/>
      <c r="H5" s="431"/>
      <c r="I5" s="431"/>
      <c r="J5" s="431"/>
      <c r="K5" s="439"/>
      <c r="S5" s="117"/>
      <c r="T5" s="138"/>
      <c r="U5" s="138"/>
      <c r="V5" s="138"/>
      <c r="W5" s="138"/>
      <c r="X5" s="138"/>
      <c r="Y5" s="118"/>
    </row>
    <row r="6" spans="1:27" x14ac:dyDescent="0.3">
      <c r="A6" s="176"/>
      <c r="B6" s="173"/>
      <c r="C6" s="173"/>
      <c r="D6" s="173"/>
      <c r="E6" s="173"/>
      <c r="F6" s="173"/>
      <c r="G6" s="5"/>
      <c r="H6" s="5"/>
      <c r="I6" s="5"/>
      <c r="J6" s="5"/>
      <c r="K6" s="93"/>
      <c r="S6" s="117"/>
      <c r="T6" s="138"/>
      <c r="U6" s="138"/>
      <c r="V6" s="138"/>
      <c r="W6" s="138"/>
      <c r="X6" s="138"/>
      <c r="Y6" s="118"/>
    </row>
    <row r="7" spans="1:27" x14ac:dyDescent="0.3">
      <c r="A7" s="176"/>
      <c r="B7" s="173"/>
      <c r="C7" s="173"/>
      <c r="D7" s="173"/>
      <c r="E7" s="173"/>
      <c r="F7" s="173"/>
      <c r="G7" s="5"/>
      <c r="H7" s="5"/>
      <c r="I7" s="5"/>
      <c r="J7" s="5"/>
      <c r="K7" s="93"/>
      <c r="L7" s="148"/>
      <c r="S7" s="117"/>
      <c r="T7" s="146"/>
      <c r="U7" s="146"/>
      <c r="V7" s="146"/>
      <c r="W7" s="146"/>
      <c r="X7" s="146"/>
      <c r="Y7" s="118"/>
    </row>
    <row r="8" spans="1:27" x14ac:dyDescent="0.3">
      <c r="A8" s="176"/>
      <c r="B8" s="173"/>
      <c r="C8" s="173"/>
      <c r="D8" s="173"/>
      <c r="E8" s="173"/>
      <c r="F8" s="173"/>
      <c r="G8" s="5"/>
      <c r="H8" s="5"/>
      <c r="I8" s="5"/>
      <c r="J8" s="5"/>
      <c r="K8" s="93"/>
      <c r="L8" s="148"/>
      <c r="S8" s="117"/>
      <c r="T8" s="146"/>
      <c r="U8" s="146"/>
      <c r="V8" s="146"/>
      <c r="W8" s="146"/>
      <c r="X8" s="146"/>
      <c r="Y8" s="118"/>
    </row>
    <row r="9" spans="1:27" x14ac:dyDescent="0.3">
      <c r="A9" s="176"/>
      <c r="B9" s="173"/>
      <c r="C9" s="173"/>
      <c r="D9" s="173"/>
      <c r="E9" s="173"/>
      <c r="F9" s="173"/>
      <c r="G9" s="5"/>
      <c r="H9" s="5"/>
      <c r="I9" s="5"/>
      <c r="J9" s="5"/>
      <c r="K9" s="93"/>
      <c r="S9" s="117"/>
      <c r="T9" s="138"/>
      <c r="U9" s="138"/>
      <c r="V9" s="138"/>
      <c r="W9" s="138"/>
      <c r="X9" s="138"/>
      <c r="Y9" s="118"/>
    </row>
    <row r="10" spans="1:27" ht="21" x14ac:dyDescent="0.4">
      <c r="A10" s="176"/>
      <c r="B10" s="173"/>
      <c r="C10" s="173"/>
      <c r="D10" s="173"/>
      <c r="E10" s="173"/>
      <c r="F10" s="172" t="s">
        <v>2</v>
      </c>
      <c r="G10" s="5"/>
      <c r="H10" s="5"/>
      <c r="I10" s="5"/>
      <c r="J10" s="5"/>
      <c r="K10" s="93"/>
      <c r="S10" s="117"/>
      <c r="T10" s="138"/>
      <c r="U10" s="138"/>
      <c r="V10" s="138"/>
      <c r="W10" s="138"/>
      <c r="X10" s="138"/>
      <c r="Y10" s="118"/>
    </row>
    <row r="11" spans="1:27" x14ac:dyDescent="0.3">
      <c r="A11" s="176"/>
      <c r="B11" s="173"/>
      <c r="C11" s="173"/>
      <c r="D11" s="173"/>
      <c r="E11" s="173"/>
      <c r="F11" s="28"/>
      <c r="G11" s="5"/>
      <c r="H11" s="5"/>
      <c r="I11" s="5"/>
      <c r="J11" s="5"/>
      <c r="K11" s="93"/>
      <c r="L11" s="148"/>
      <c r="S11" s="117"/>
      <c r="T11" s="146"/>
      <c r="U11" s="146"/>
      <c r="V11" s="146"/>
      <c r="W11" s="146"/>
      <c r="X11" s="146"/>
      <c r="Y11" s="118"/>
    </row>
    <row r="12" spans="1:27" x14ac:dyDescent="0.3">
      <c r="A12" s="176"/>
      <c r="B12" s="173"/>
      <c r="C12" s="40">
        <v>27194</v>
      </c>
      <c r="D12" s="33" t="s">
        <v>88</v>
      </c>
      <c r="E12" s="33" t="s">
        <v>6</v>
      </c>
      <c r="F12" s="33">
        <v>1</v>
      </c>
      <c r="G12" s="33">
        <v>0</v>
      </c>
      <c r="H12" s="33"/>
      <c r="I12" s="5" t="s">
        <v>149</v>
      </c>
      <c r="J12" s="5"/>
      <c r="K12" s="93"/>
      <c r="S12" s="117" t="s">
        <v>88</v>
      </c>
      <c r="T12" s="138" t="s">
        <v>6</v>
      </c>
      <c r="U12" s="138">
        <v>1</v>
      </c>
      <c r="V12" s="138">
        <v>0</v>
      </c>
      <c r="W12" s="138"/>
      <c r="X12" s="126">
        <f t="shared" ref="X12:X17" si="0">(IF(U12&gt;V12,3,IF(U12=V12,1,2)))</f>
        <v>3</v>
      </c>
      <c r="Y12" s="125">
        <f t="shared" ref="Y12:Y17" si="1">(IF(V12&gt;U12,3,IF(U12=V12,1,2)))</f>
        <v>2</v>
      </c>
      <c r="AA12" t="s">
        <v>61</v>
      </c>
    </row>
    <row r="13" spans="1:27" ht="15" thickBot="1" x14ac:dyDescent="0.35">
      <c r="A13" s="176"/>
      <c r="B13" s="173"/>
      <c r="C13" s="58"/>
      <c r="D13" s="59"/>
      <c r="E13" s="59"/>
      <c r="F13" s="59"/>
      <c r="G13" s="59"/>
      <c r="H13" s="59"/>
      <c r="I13" s="8"/>
      <c r="J13" s="5"/>
      <c r="K13" s="93"/>
      <c r="L13" s="148"/>
      <c r="S13" s="117" t="s">
        <v>151</v>
      </c>
      <c r="T13" s="146" t="s">
        <v>152</v>
      </c>
      <c r="U13" s="146">
        <v>2</v>
      </c>
      <c r="V13" s="146">
        <v>0</v>
      </c>
      <c r="W13" s="146"/>
      <c r="X13" s="126">
        <f t="shared" si="0"/>
        <v>3</v>
      </c>
      <c r="Y13" s="125">
        <f t="shared" si="1"/>
        <v>2</v>
      </c>
      <c r="AA13" t="s">
        <v>88</v>
      </c>
    </row>
    <row r="14" spans="1:27" x14ac:dyDescent="0.3">
      <c r="A14" s="176"/>
      <c r="B14" s="173"/>
      <c r="C14" s="40">
        <v>27194</v>
      </c>
      <c r="D14" s="33" t="s">
        <v>151</v>
      </c>
      <c r="E14" s="33" t="s">
        <v>152</v>
      </c>
      <c r="F14" s="33">
        <v>2</v>
      </c>
      <c r="G14" s="33">
        <v>0</v>
      </c>
      <c r="H14" s="33"/>
      <c r="I14" s="5" t="s">
        <v>153</v>
      </c>
      <c r="J14" s="5"/>
      <c r="K14" s="93"/>
      <c r="S14" s="117" t="s">
        <v>152</v>
      </c>
      <c r="T14" s="138" t="s">
        <v>88</v>
      </c>
      <c r="U14" s="138">
        <v>0</v>
      </c>
      <c r="V14" s="138">
        <v>3</v>
      </c>
      <c r="W14" s="138"/>
      <c r="X14" s="126">
        <f t="shared" si="0"/>
        <v>2</v>
      </c>
      <c r="Y14" s="125">
        <f t="shared" si="1"/>
        <v>3</v>
      </c>
      <c r="AA14" t="s">
        <v>63</v>
      </c>
    </row>
    <row r="15" spans="1:27" ht="15" thickBot="1" x14ac:dyDescent="0.35">
      <c r="A15" s="176"/>
      <c r="B15" s="173"/>
      <c r="C15" s="58"/>
      <c r="D15" s="59"/>
      <c r="E15" s="59"/>
      <c r="F15" s="59"/>
      <c r="G15" s="59"/>
      <c r="H15" s="59"/>
      <c r="I15" s="8"/>
      <c r="J15" s="5"/>
      <c r="K15" s="93"/>
      <c r="L15" s="148"/>
      <c r="S15" s="117" t="s">
        <v>6</v>
      </c>
      <c r="T15" s="146" t="s">
        <v>151</v>
      </c>
      <c r="U15" s="146">
        <v>1</v>
      </c>
      <c r="V15" s="146">
        <v>1</v>
      </c>
      <c r="W15" s="146"/>
      <c r="X15" s="126">
        <f t="shared" si="0"/>
        <v>1</v>
      </c>
      <c r="Y15" s="125">
        <f t="shared" si="1"/>
        <v>1</v>
      </c>
      <c r="AA15" t="s">
        <v>9</v>
      </c>
    </row>
    <row r="16" spans="1:27" x14ac:dyDescent="0.3">
      <c r="A16" s="176"/>
      <c r="B16" s="173"/>
      <c r="C16" s="40">
        <v>27198</v>
      </c>
      <c r="D16" s="33" t="s">
        <v>152</v>
      </c>
      <c r="E16" s="33" t="s">
        <v>88</v>
      </c>
      <c r="F16" s="33">
        <v>0</v>
      </c>
      <c r="G16" s="33">
        <v>3</v>
      </c>
      <c r="H16" s="33"/>
      <c r="I16" s="5" t="s">
        <v>153</v>
      </c>
      <c r="J16" s="5"/>
      <c r="K16" s="93"/>
      <c r="S16" s="117" t="s">
        <v>152</v>
      </c>
      <c r="T16" s="138" t="s">
        <v>6</v>
      </c>
      <c r="U16" s="138">
        <v>0</v>
      </c>
      <c r="V16" s="138">
        <v>0</v>
      </c>
      <c r="W16" s="138"/>
      <c r="X16" s="126">
        <f t="shared" si="0"/>
        <v>1</v>
      </c>
      <c r="Y16" s="125">
        <f t="shared" si="1"/>
        <v>1</v>
      </c>
      <c r="AA16" t="s">
        <v>41</v>
      </c>
    </row>
    <row r="17" spans="1:27" ht="15" thickBot="1" x14ac:dyDescent="0.35">
      <c r="A17" s="176"/>
      <c r="B17" s="173"/>
      <c r="C17" s="58"/>
      <c r="D17" s="59"/>
      <c r="E17" s="59"/>
      <c r="F17" s="59"/>
      <c r="G17" s="59"/>
      <c r="H17" s="59"/>
      <c r="I17" s="8"/>
      <c r="J17" s="5"/>
      <c r="K17" s="93"/>
      <c r="L17" s="148"/>
      <c r="S17" s="117" t="s">
        <v>151</v>
      </c>
      <c r="T17" s="146" t="s">
        <v>88</v>
      </c>
      <c r="U17" s="146">
        <v>1</v>
      </c>
      <c r="V17" s="146">
        <v>0</v>
      </c>
      <c r="W17" s="146"/>
      <c r="X17" s="126">
        <f t="shared" si="0"/>
        <v>3</v>
      </c>
      <c r="Y17" s="125">
        <f t="shared" si="1"/>
        <v>2</v>
      </c>
      <c r="AA17" t="s">
        <v>151</v>
      </c>
    </row>
    <row r="18" spans="1:27" x14ac:dyDescent="0.3">
      <c r="A18" s="176"/>
      <c r="B18" s="173"/>
      <c r="C18" s="40">
        <v>27198</v>
      </c>
      <c r="D18" s="33" t="s">
        <v>6</v>
      </c>
      <c r="E18" s="33" t="s">
        <v>151</v>
      </c>
      <c r="F18" s="33">
        <v>1</v>
      </c>
      <c r="G18" s="33">
        <v>1</v>
      </c>
      <c r="H18" s="33"/>
      <c r="I18" s="5" t="s">
        <v>149</v>
      </c>
      <c r="J18" s="5"/>
      <c r="K18" s="93"/>
      <c r="S18" s="117"/>
      <c r="T18" s="138"/>
      <c r="U18" s="138"/>
      <c r="V18" s="138"/>
      <c r="W18" s="138"/>
      <c r="X18" s="126"/>
      <c r="Y18" s="125"/>
      <c r="AA18" t="s">
        <v>81</v>
      </c>
    </row>
    <row r="19" spans="1:27" ht="15" thickBot="1" x14ac:dyDescent="0.35">
      <c r="A19" s="176"/>
      <c r="B19" s="173"/>
      <c r="C19" s="58"/>
      <c r="D19" s="59"/>
      <c r="E19" s="59"/>
      <c r="F19" s="59"/>
      <c r="G19" s="59"/>
      <c r="H19" s="59"/>
      <c r="I19" s="8"/>
      <c r="J19" s="5"/>
      <c r="K19" s="93"/>
      <c r="L19" s="148"/>
      <c r="S19" s="117"/>
      <c r="T19" s="146"/>
      <c r="U19" s="146"/>
      <c r="V19" s="146"/>
      <c r="W19" s="146"/>
      <c r="X19" s="126"/>
      <c r="Y19" s="125"/>
      <c r="AA19" t="s">
        <v>8</v>
      </c>
    </row>
    <row r="20" spans="1:27" ht="15" thickBot="1" x14ac:dyDescent="0.35">
      <c r="A20" s="176"/>
      <c r="B20" s="173"/>
      <c r="C20" s="58">
        <v>27202</v>
      </c>
      <c r="D20" s="59" t="s">
        <v>152</v>
      </c>
      <c r="E20" s="59" t="s">
        <v>6</v>
      </c>
      <c r="F20" s="59">
        <v>0</v>
      </c>
      <c r="G20" s="59">
        <v>0</v>
      </c>
      <c r="H20" s="59"/>
      <c r="I20" s="8" t="s">
        <v>149</v>
      </c>
      <c r="J20" s="5"/>
      <c r="K20" s="93"/>
      <c r="S20" s="117"/>
      <c r="T20" s="138"/>
      <c r="U20" s="138"/>
      <c r="V20" s="138"/>
      <c r="W20" s="138"/>
      <c r="X20" s="126"/>
      <c r="Y20" s="125"/>
      <c r="AA20" t="s">
        <v>5</v>
      </c>
    </row>
    <row r="21" spans="1:27" x14ac:dyDescent="0.3">
      <c r="A21" s="176"/>
      <c r="B21" s="173"/>
      <c r="C21" s="40">
        <v>27202</v>
      </c>
      <c r="D21" s="33" t="s">
        <v>151</v>
      </c>
      <c r="E21" s="33" t="s">
        <v>88</v>
      </c>
      <c r="F21" s="33">
        <v>1</v>
      </c>
      <c r="G21" s="33">
        <v>0</v>
      </c>
      <c r="H21" s="33"/>
      <c r="I21" s="5" t="s">
        <v>153</v>
      </c>
      <c r="J21" s="5"/>
      <c r="K21" s="93"/>
      <c r="S21" s="122"/>
      <c r="T21" s="17"/>
      <c r="U21" s="17"/>
      <c r="V21" s="17"/>
      <c r="X21" s="126"/>
      <c r="Y21" s="125"/>
      <c r="AA21" t="s">
        <v>37</v>
      </c>
    </row>
    <row r="22" spans="1:27" x14ac:dyDescent="0.3">
      <c r="A22" s="156"/>
      <c r="B22" s="173"/>
      <c r="C22" s="173"/>
      <c r="D22" s="33"/>
      <c r="E22" s="33"/>
      <c r="F22" s="33" t="s">
        <v>281</v>
      </c>
      <c r="G22" s="309" t="s">
        <v>282</v>
      </c>
      <c r="H22" s="309"/>
      <c r="I22" s="5"/>
      <c r="J22" s="5"/>
      <c r="K22" s="93"/>
      <c r="S22" s="117"/>
      <c r="T22" s="138"/>
      <c r="U22" s="138"/>
      <c r="V22" s="138"/>
      <c r="X22" s="126"/>
      <c r="Y22" s="125"/>
      <c r="AA22" t="s">
        <v>125</v>
      </c>
    </row>
    <row r="23" spans="1:27" x14ac:dyDescent="0.3">
      <c r="A23" s="156"/>
      <c r="B23" s="173"/>
      <c r="C23" s="173"/>
      <c r="D23" s="173"/>
      <c r="E23" s="173"/>
      <c r="F23" s="173"/>
      <c r="G23" s="5"/>
      <c r="H23" s="5"/>
      <c r="I23" s="5"/>
      <c r="J23" s="5"/>
      <c r="K23" s="93"/>
      <c r="L23" s="148"/>
      <c r="S23" s="117"/>
      <c r="T23" s="146"/>
      <c r="U23" s="146"/>
      <c r="V23" s="146"/>
      <c r="W23" s="148"/>
      <c r="X23" s="126"/>
      <c r="Y23" s="125"/>
      <c r="AA23" t="s">
        <v>6</v>
      </c>
    </row>
    <row r="24" spans="1:27" ht="15" thickBot="1" x14ac:dyDescent="0.35">
      <c r="A24" s="176"/>
      <c r="B24" s="173"/>
      <c r="C24" s="173" t="s">
        <v>12</v>
      </c>
      <c r="D24" s="173" t="s">
        <v>13</v>
      </c>
      <c r="E24" s="173" t="s">
        <v>14</v>
      </c>
      <c r="F24" s="173" t="s">
        <v>15</v>
      </c>
      <c r="G24" s="5" t="s">
        <v>24</v>
      </c>
      <c r="H24" s="5" t="s">
        <v>25</v>
      </c>
      <c r="I24" s="5" t="s">
        <v>26</v>
      </c>
      <c r="J24" s="5" t="s">
        <v>27</v>
      </c>
      <c r="K24" s="93"/>
      <c r="S24" s="117"/>
      <c r="T24" s="138"/>
      <c r="U24" s="138"/>
      <c r="V24" s="138"/>
      <c r="X24" s="126"/>
      <c r="Y24" s="125"/>
      <c r="AA24" t="s">
        <v>18</v>
      </c>
    </row>
    <row r="25" spans="1:27" x14ac:dyDescent="0.3">
      <c r="A25" s="176"/>
      <c r="B25" s="14" t="s">
        <v>88</v>
      </c>
      <c r="C25" s="179"/>
      <c r="D25" s="179"/>
      <c r="E25" s="179"/>
      <c r="F25" s="179"/>
      <c r="G25" s="15"/>
      <c r="H25" s="15"/>
      <c r="I25" s="15"/>
      <c r="J25" s="16"/>
      <c r="K25" s="93"/>
      <c r="S25" s="117"/>
      <c r="T25" s="138"/>
      <c r="U25" s="138"/>
      <c r="V25" s="138"/>
      <c r="X25" s="126"/>
      <c r="Y25" s="125"/>
      <c r="AA25" t="s">
        <v>152</v>
      </c>
    </row>
    <row r="26" spans="1:27" x14ac:dyDescent="0.3">
      <c r="A26" s="176"/>
      <c r="B26" s="21" t="s">
        <v>6</v>
      </c>
      <c r="C26" s="17"/>
      <c r="D26" s="17"/>
      <c r="E26" s="17"/>
      <c r="F26" s="17"/>
      <c r="G26" s="18"/>
      <c r="H26" s="18"/>
      <c r="I26" s="18"/>
      <c r="J26" s="22"/>
      <c r="K26" s="93"/>
      <c r="S26" s="117"/>
      <c r="T26" s="138"/>
      <c r="U26" s="138"/>
      <c r="V26" s="138"/>
      <c r="X26" s="126"/>
      <c r="Y26" s="125"/>
      <c r="AA26" t="s">
        <v>160</v>
      </c>
    </row>
    <row r="27" spans="1:27" x14ac:dyDescent="0.3">
      <c r="A27" s="176"/>
      <c r="B27" s="3" t="s">
        <v>151</v>
      </c>
      <c r="C27" s="173"/>
      <c r="D27" s="173"/>
      <c r="E27" s="173"/>
      <c r="F27" s="173"/>
      <c r="G27" s="5"/>
      <c r="H27" s="5"/>
      <c r="I27" s="5"/>
      <c r="J27" s="6"/>
      <c r="K27" s="93"/>
      <c r="S27" s="117"/>
      <c r="T27" s="138"/>
      <c r="U27" s="138"/>
      <c r="V27" s="138"/>
      <c r="X27" s="126"/>
      <c r="Y27" s="125"/>
      <c r="AA27" t="s">
        <v>155</v>
      </c>
    </row>
    <row r="28" spans="1:27" ht="15" thickBot="1" x14ac:dyDescent="0.35">
      <c r="A28" s="176"/>
      <c r="B28" s="7" t="s">
        <v>152</v>
      </c>
      <c r="C28" s="178"/>
      <c r="D28" s="178"/>
      <c r="E28" s="178"/>
      <c r="F28" s="178"/>
      <c r="G28" s="8"/>
      <c r="H28" s="8"/>
      <c r="I28" s="8"/>
      <c r="J28" s="9"/>
      <c r="K28" s="93"/>
      <c r="S28" s="117"/>
      <c r="T28" s="138"/>
      <c r="U28" s="138"/>
      <c r="V28" s="138"/>
      <c r="W28" s="138"/>
      <c r="X28" s="138"/>
      <c r="Y28" s="118"/>
    </row>
    <row r="29" spans="1:27" ht="15" thickBot="1" x14ac:dyDescent="0.35">
      <c r="A29" s="176"/>
      <c r="B29" s="173"/>
      <c r="C29" s="173"/>
      <c r="D29" s="173"/>
      <c r="E29" s="173"/>
      <c r="F29" s="173"/>
      <c r="G29" s="5"/>
      <c r="H29" s="5"/>
      <c r="I29" s="5"/>
      <c r="J29" s="5"/>
      <c r="K29" s="197"/>
      <c r="S29" s="117"/>
      <c r="T29" s="138"/>
      <c r="U29" s="138"/>
      <c r="V29" s="138"/>
      <c r="W29" s="138"/>
      <c r="X29" s="138"/>
      <c r="Y29" s="118"/>
    </row>
    <row r="30" spans="1:27" ht="15" thickTop="1" x14ac:dyDescent="0.3">
      <c r="A30" s="106"/>
      <c r="B30" s="25"/>
      <c r="C30" s="25"/>
      <c r="D30" s="25"/>
      <c r="E30" s="25"/>
      <c r="F30" s="25"/>
      <c r="G30" s="26"/>
      <c r="H30" s="26"/>
      <c r="I30" s="26"/>
      <c r="J30" s="26"/>
      <c r="K30" s="93"/>
      <c r="S30" s="117"/>
      <c r="T30" s="138"/>
      <c r="U30" s="138"/>
      <c r="V30" s="138"/>
      <c r="W30" s="138"/>
      <c r="X30" s="138"/>
      <c r="Y30" s="118"/>
    </row>
    <row r="31" spans="1:27" ht="21" x14ac:dyDescent="0.4">
      <c r="A31" s="176"/>
      <c r="B31" s="173"/>
      <c r="C31" s="173"/>
      <c r="D31" s="173"/>
      <c r="E31" s="173"/>
      <c r="F31" s="172" t="s">
        <v>7</v>
      </c>
      <c r="G31" s="5"/>
      <c r="H31" s="5"/>
      <c r="I31" s="5"/>
      <c r="J31" s="5"/>
      <c r="K31" s="93"/>
      <c r="S31" s="117"/>
      <c r="T31" s="138"/>
      <c r="U31" s="138"/>
      <c r="V31" s="138"/>
      <c r="W31" s="138"/>
      <c r="X31" s="138"/>
      <c r="Y31" s="118"/>
    </row>
    <row r="32" spans="1:27" x14ac:dyDescent="0.3">
      <c r="A32" s="176"/>
      <c r="B32" s="173"/>
      <c r="C32" s="173"/>
      <c r="D32" s="173"/>
      <c r="E32" s="173"/>
      <c r="F32" s="28"/>
      <c r="G32" s="5"/>
      <c r="H32" s="5"/>
      <c r="I32" s="5"/>
      <c r="J32" s="5"/>
      <c r="K32" s="93"/>
      <c r="L32" s="148"/>
      <c r="S32" s="117"/>
      <c r="T32" s="146"/>
      <c r="U32" s="146"/>
      <c r="V32" s="146"/>
      <c r="W32" s="146"/>
      <c r="X32" s="146"/>
      <c r="Y32" s="118"/>
    </row>
    <row r="33" spans="1:25" ht="15" thickBot="1" x14ac:dyDescent="0.35">
      <c r="A33" s="176"/>
      <c r="B33" s="173"/>
      <c r="C33" s="58">
        <v>27193</v>
      </c>
      <c r="D33" s="178" t="s">
        <v>9</v>
      </c>
      <c r="E33" s="178" t="s">
        <v>8</v>
      </c>
      <c r="F33" s="178">
        <v>0</v>
      </c>
      <c r="G33" s="178">
        <v>0</v>
      </c>
      <c r="H33" s="178"/>
      <c r="I33" s="8" t="s">
        <v>154</v>
      </c>
      <c r="J33" s="5"/>
      <c r="K33" s="93"/>
      <c r="S33" s="117" t="s">
        <v>9</v>
      </c>
      <c r="T33" s="138" t="s">
        <v>8</v>
      </c>
      <c r="U33" s="138">
        <v>0</v>
      </c>
      <c r="V33" s="138">
        <v>0</v>
      </c>
      <c r="W33" s="138"/>
      <c r="X33" s="126">
        <f t="shared" ref="X33:X38" si="2">(IF(U33&gt;V33,3,IF(U33=V33,1,2)))</f>
        <v>1</v>
      </c>
      <c r="Y33" s="125">
        <f t="shared" ref="Y33:Y38" si="3">(IF(V33&gt;U33,3,IF(U33=V33,1,2)))</f>
        <v>1</v>
      </c>
    </row>
    <row r="34" spans="1:25" x14ac:dyDescent="0.3">
      <c r="A34" s="176"/>
      <c r="B34" s="173"/>
      <c r="C34" s="40">
        <v>27194</v>
      </c>
      <c r="D34" s="173" t="s">
        <v>155</v>
      </c>
      <c r="E34" s="173" t="s">
        <v>81</v>
      </c>
      <c r="F34" s="173">
        <v>0</v>
      </c>
      <c r="G34" s="173">
        <v>2</v>
      </c>
      <c r="H34" s="173"/>
      <c r="I34" s="5" t="s">
        <v>156</v>
      </c>
      <c r="J34" s="5"/>
      <c r="K34" s="93"/>
      <c r="S34" s="117" t="s">
        <v>155</v>
      </c>
      <c r="T34" s="138" t="s">
        <v>81</v>
      </c>
      <c r="U34" s="138">
        <v>0</v>
      </c>
      <c r="V34" s="138">
        <v>2</v>
      </c>
      <c r="W34" s="138"/>
      <c r="X34" s="126">
        <f t="shared" si="2"/>
        <v>2</v>
      </c>
      <c r="Y34" s="125">
        <f t="shared" si="3"/>
        <v>3</v>
      </c>
    </row>
    <row r="35" spans="1:25" ht="15" thickBot="1" x14ac:dyDescent="0.35">
      <c r="A35" s="176"/>
      <c r="B35" s="173"/>
      <c r="C35" s="58"/>
      <c r="D35" s="178"/>
      <c r="E35" s="178"/>
      <c r="F35" s="178"/>
      <c r="G35" s="178"/>
      <c r="H35" s="178"/>
      <c r="I35" s="8"/>
      <c r="J35" s="5"/>
      <c r="K35" s="93"/>
      <c r="L35" s="148"/>
      <c r="S35" s="117" t="s">
        <v>8</v>
      </c>
      <c r="T35" s="146" t="s">
        <v>155</v>
      </c>
      <c r="U35" s="146">
        <v>9</v>
      </c>
      <c r="V35" s="146">
        <v>0</v>
      </c>
      <c r="W35" s="146"/>
      <c r="X35" s="126">
        <f t="shared" si="2"/>
        <v>3</v>
      </c>
      <c r="Y35" s="125">
        <f t="shared" si="3"/>
        <v>2</v>
      </c>
    </row>
    <row r="36" spans="1:25" x14ac:dyDescent="0.3">
      <c r="A36" s="176"/>
      <c r="B36" s="173"/>
      <c r="C36" s="40">
        <v>27198</v>
      </c>
      <c r="D36" s="173" t="s">
        <v>8</v>
      </c>
      <c r="E36" s="173" t="s">
        <v>155</v>
      </c>
      <c r="F36" s="173">
        <v>9</v>
      </c>
      <c r="G36" s="173">
        <v>0</v>
      </c>
      <c r="H36" s="173"/>
      <c r="I36" s="5" t="s">
        <v>157</v>
      </c>
      <c r="J36" s="5"/>
      <c r="K36" s="93"/>
      <c r="S36" s="117" t="s">
        <v>81</v>
      </c>
      <c r="T36" s="138" t="s">
        <v>9</v>
      </c>
      <c r="U36" s="138">
        <v>0</v>
      </c>
      <c r="V36" s="138">
        <v>0</v>
      </c>
      <c r="W36" s="138"/>
      <c r="X36" s="126">
        <f t="shared" si="2"/>
        <v>1</v>
      </c>
      <c r="Y36" s="125">
        <f t="shared" si="3"/>
        <v>1</v>
      </c>
    </row>
    <row r="37" spans="1:25" ht="15" thickBot="1" x14ac:dyDescent="0.35">
      <c r="A37" s="176"/>
      <c r="B37" s="173"/>
      <c r="C37" s="58"/>
      <c r="D37" s="178"/>
      <c r="E37" s="178"/>
      <c r="F37" s="178"/>
      <c r="G37" s="178"/>
      <c r="H37" s="178"/>
      <c r="I37" s="8"/>
      <c r="J37" s="5"/>
      <c r="K37" s="93"/>
      <c r="L37" s="148"/>
      <c r="S37" s="117" t="s">
        <v>81</v>
      </c>
      <c r="T37" s="146" t="s">
        <v>8</v>
      </c>
      <c r="U37" s="146">
        <v>1</v>
      </c>
      <c r="V37" s="146">
        <v>1</v>
      </c>
      <c r="W37" s="146"/>
      <c r="X37" s="126">
        <f t="shared" si="2"/>
        <v>1</v>
      </c>
      <c r="Y37" s="125">
        <f t="shared" si="3"/>
        <v>1</v>
      </c>
    </row>
    <row r="38" spans="1:25" ht="15" thickBot="1" x14ac:dyDescent="0.35">
      <c r="A38" s="176"/>
      <c r="B38" s="173"/>
      <c r="C38" s="58">
        <v>27198</v>
      </c>
      <c r="D38" s="178" t="s">
        <v>81</v>
      </c>
      <c r="E38" s="178" t="s">
        <v>9</v>
      </c>
      <c r="F38" s="178">
        <v>0</v>
      </c>
      <c r="G38" s="178">
        <v>0</v>
      </c>
      <c r="H38" s="178"/>
      <c r="I38" s="8" t="s">
        <v>154</v>
      </c>
      <c r="J38" s="5"/>
      <c r="K38" s="93"/>
      <c r="S38" s="117" t="s">
        <v>155</v>
      </c>
      <c r="T38" s="138" t="s">
        <v>9</v>
      </c>
      <c r="U38" s="138">
        <v>0</v>
      </c>
      <c r="V38" s="138">
        <v>3</v>
      </c>
      <c r="W38" s="138"/>
      <c r="X38" s="126">
        <f t="shared" si="2"/>
        <v>2</v>
      </c>
      <c r="Y38" s="125">
        <f t="shared" si="3"/>
        <v>3</v>
      </c>
    </row>
    <row r="39" spans="1:25" x14ac:dyDescent="0.3">
      <c r="A39" s="176"/>
      <c r="B39" s="173"/>
      <c r="C39" s="40">
        <v>27202</v>
      </c>
      <c r="D39" s="17" t="s">
        <v>81</v>
      </c>
      <c r="E39" s="17" t="s">
        <v>8</v>
      </c>
      <c r="F39" s="17">
        <v>1</v>
      </c>
      <c r="G39" s="17">
        <v>1</v>
      </c>
      <c r="H39" s="17"/>
      <c r="I39" s="5" t="s">
        <v>154</v>
      </c>
      <c r="J39" s="5"/>
      <c r="K39" s="93"/>
      <c r="S39" s="122"/>
      <c r="T39" s="17"/>
      <c r="U39" s="17"/>
      <c r="V39" s="17"/>
      <c r="W39" s="17"/>
      <c r="X39" s="126"/>
      <c r="Y39" s="125"/>
    </row>
    <row r="40" spans="1:25" ht="15" thickBot="1" x14ac:dyDescent="0.35">
      <c r="A40" s="176"/>
      <c r="B40" s="173"/>
      <c r="C40" s="58"/>
      <c r="D40" s="30"/>
      <c r="E40" s="30"/>
      <c r="F40" s="30"/>
      <c r="G40" s="30"/>
      <c r="H40" s="30"/>
      <c r="I40" s="8"/>
      <c r="J40" s="5"/>
      <c r="K40" s="93"/>
      <c r="L40" s="148"/>
      <c r="S40" s="122"/>
      <c r="T40" s="17"/>
      <c r="U40" s="17"/>
      <c r="V40" s="17"/>
      <c r="W40" s="17"/>
      <c r="X40" s="126"/>
      <c r="Y40" s="125"/>
    </row>
    <row r="41" spans="1:25" x14ac:dyDescent="0.3">
      <c r="A41" s="176"/>
      <c r="B41" s="173"/>
      <c r="C41" s="40">
        <v>27202</v>
      </c>
      <c r="D41" s="17" t="s">
        <v>155</v>
      </c>
      <c r="E41" s="17" t="s">
        <v>9</v>
      </c>
      <c r="F41" s="17">
        <v>0</v>
      </c>
      <c r="G41" s="17">
        <v>3</v>
      </c>
      <c r="H41" s="17"/>
      <c r="I41" s="5" t="s">
        <v>157</v>
      </c>
      <c r="J41" s="5"/>
      <c r="K41" s="93"/>
      <c r="S41" s="122"/>
      <c r="T41" s="17"/>
      <c r="U41" s="17"/>
      <c r="V41" s="17"/>
      <c r="W41" s="17"/>
      <c r="X41" s="126"/>
      <c r="Y41" s="125"/>
    </row>
    <row r="42" spans="1:25" x14ac:dyDescent="0.3">
      <c r="A42" s="156"/>
      <c r="B42" s="17"/>
      <c r="C42" s="17"/>
      <c r="D42" s="17"/>
      <c r="E42" s="17"/>
      <c r="F42" s="17" t="s">
        <v>281</v>
      </c>
      <c r="G42" s="18" t="s">
        <v>282</v>
      </c>
      <c r="H42" s="5"/>
      <c r="I42" s="5"/>
      <c r="J42" s="5"/>
      <c r="K42" s="93"/>
      <c r="S42" s="122"/>
      <c r="T42" s="17"/>
      <c r="U42" s="17"/>
      <c r="V42" s="17"/>
      <c r="W42" s="17"/>
      <c r="X42" s="126"/>
      <c r="Y42" s="125"/>
    </row>
    <row r="43" spans="1:25" x14ac:dyDescent="0.3">
      <c r="A43" s="156"/>
      <c r="B43" s="17"/>
      <c r="C43" s="17"/>
      <c r="D43" s="17"/>
      <c r="E43" s="17"/>
      <c r="F43" s="17"/>
      <c r="G43" s="18"/>
      <c r="H43" s="5"/>
      <c r="I43" s="5"/>
      <c r="J43" s="5"/>
      <c r="K43" s="93"/>
      <c r="L43" s="148"/>
      <c r="S43" s="122"/>
      <c r="T43" s="17"/>
      <c r="U43" s="17"/>
      <c r="V43" s="17"/>
      <c r="W43" s="17"/>
      <c r="X43" s="126"/>
      <c r="Y43" s="125"/>
    </row>
    <row r="44" spans="1:25" ht="15" thickBot="1" x14ac:dyDescent="0.35">
      <c r="A44" s="176"/>
      <c r="B44" s="173"/>
      <c r="C44" s="173" t="s">
        <v>12</v>
      </c>
      <c r="D44" s="173" t="s">
        <v>13</v>
      </c>
      <c r="E44" s="173" t="s">
        <v>14</v>
      </c>
      <c r="F44" s="173" t="s">
        <v>15</v>
      </c>
      <c r="G44" s="5" t="s">
        <v>24</v>
      </c>
      <c r="H44" s="5" t="s">
        <v>25</v>
      </c>
      <c r="I44" s="5" t="s">
        <v>26</v>
      </c>
      <c r="J44" s="5" t="s">
        <v>27</v>
      </c>
      <c r="K44" s="93"/>
      <c r="S44" s="122"/>
      <c r="T44" s="17"/>
      <c r="U44" s="17"/>
      <c r="V44" s="17"/>
      <c r="W44" s="17"/>
      <c r="X44" s="126"/>
      <c r="Y44" s="125"/>
    </row>
    <row r="45" spans="1:25" x14ac:dyDescent="0.3">
      <c r="A45" s="176"/>
      <c r="B45" s="14" t="s">
        <v>9</v>
      </c>
      <c r="C45" s="179"/>
      <c r="D45" s="179"/>
      <c r="E45" s="179"/>
      <c r="F45" s="179"/>
      <c r="G45" s="15"/>
      <c r="H45" s="15"/>
      <c r="I45" s="15"/>
      <c r="J45" s="16"/>
      <c r="K45" s="93"/>
      <c r="S45" s="117"/>
      <c r="T45" s="138"/>
      <c r="U45" s="138"/>
      <c r="V45" s="138"/>
      <c r="W45" s="138"/>
      <c r="X45" s="126"/>
      <c r="Y45" s="125"/>
    </row>
    <row r="46" spans="1:25" s="13" customFormat="1" x14ac:dyDescent="0.3">
      <c r="A46" s="24"/>
      <c r="B46" s="21" t="s">
        <v>8</v>
      </c>
      <c r="C46" s="17"/>
      <c r="D46" s="17"/>
      <c r="E46" s="17"/>
      <c r="F46" s="17"/>
      <c r="G46" s="18"/>
      <c r="H46" s="18"/>
      <c r="I46" s="18"/>
      <c r="J46" s="22"/>
      <c r="K46" s="35"/>
      <c r="L46" s="10"/>
      <c r="S46" s="117"/>
      <c r="T46" s="138"/>
      <c r="U46" s="138"/>
      <c r="V46" s="138"/>
      <c r="W46" s="138"/>
      <c r="X46" s="126"/>
      <c r="Y46" s="125"/>
    </row>
    <row r="47" spans="1:25" x14ac:dyDescent="0.3">
      <c r="A47" s="176"/>
      <c r="B47" s="3" t="s">
        <v>155</v>
      </c>
      <c r="C47" s="173"/>
      <c r="D47" s="173"/>
      <c r="E47" s="173"/>
      <c r="F47" s="173"/>
      <c r="G47" s="5"/>
      <c r="H47" s="5"/>
      <c r="I47" s="5"/>
      <c r="J47" s="6"/>
      <c r="K47" s="93"/>
      <c r="S47" s="117"/>
      <c r="T47" s="138"/>
      <c r="U47" s="138"/>
      <c r="V47" s="138"/>
      <c r="W47" s="138"/>
      <c r="X47" s="126"/>
      <c r="Y47" s="125"/>
    </row>
    <row r="48" spans="1:25" ht="15" thickBot="1" x14ac:dyDescent="0.35">
      <c r="A48" s="176"/>
      <c r="B48" s="7" t="s">
        <v>81</v>
      </c>
      <c r="C48" s="178"/>
      <c r="D48" s="178"/>
      <c r="E48" s="178"/>
      <c r="F48" s="178"/>
      <c r="G48" s="8"/>
      <c r="H48" s="8"/>
      <c r="I48" s="8"/>
      <c r="J48" s="9"/>
      <c r="K48" s="93"/>
      <c r="S48" s="117"/>
      <c r="T48" s="138"/>
      <c r="U48" s="138"/>
      <c r="V48" s="138"/>
      <c r="W48" s="138"/>
      <c r="X48" s="126"/>
      <c r="Y48" s="125"/>
    </row>
    <row r="49" spans="1:25" ht="15" thickBot="1" x14ac:dyDescent="0.35">
      <c r="A49" s="176"/>
      <c r="B49" s="173"/>
      <c r="C49" s="173"/>
      <c r="D49" s="173"/>
      <c r="E49" s="173"/>
      <c r="F49" s="173"/>
      <c r="G49" s="5"/>
      <c r="H49" s="5"/>
      <c r="I49" s="5"/>
      <c r="J49" s="5"/>
      <c r="K49" s="197"/>
      <c r="S49" s="117"/>
      <c r="T49" s="138"/>
      <c r="U49" s="138"/>
      <c r="V49" s="138"/>
      <c r="W49" s="138"/>
      <c r="X49" s="126"/>
      <c r="Y49" s="125"/>
    </row>
    <row r="50" spans="1:25" ht="15" thickTop="1" x14ac:dyDescent="0.3">
      <c r="A50" s="106"/>
      <c r="B50" s="25"/>
      <c r="C50" s="25"/>
      <c r="D50" s="25"/>
      <c r="E50" s="25"/>
      <c r="F50" s="25"/>
      <c r="G50" s="26"/>
      <c r="H50" s="26"/>
      <c r="I50" s="26"/>
      <c r="J50" s="26"/>
      <c r="K50" s="93"/>
      <c r="S50" s="117"/>
      <c r="T50" s="138"/>
      <c r="U50" s="138"/>
      <c r="V50" s="138"/>
      <c r="W50" s="138"/>
      <c r="X50" s="126"/>
      <c r="Y50" s="125"/>
    </row>
    <row r="51" spans="1:25" ht="21" x14ac:dyDescent="0.4">
      <c r="A51" s="176"/>
      <c r="B51" s="173"/>
      <c r="C51" s="173"/>
      <c r="D51" s="173"/>
      <c r="E51" s="173"/>
      <c r="F51" s="172" t="s">
        <v>11</v>
      </c>
      <c r="G51" s="5"/>
      <c r="H51" s="5"/>
      <c r="I51" s="5"/>
      <c r="J51" s="5"/>
      <c r="K51" s="93"/>
      <c r="S51" s="117"/>
      <c r="T51" s="138"/>
      <c r="U51" s="138"/>
      <c r="V51" s="138"/>
      <c r="W51" s="138"/>
      <c r="X51" s="126"/>
      <c r="Y51" s="125"/>
    </row>
    <row r="52" spans="1:25" x14ac:dyDescent="0.3">
      <c r="A52" s="176"/>
      <c r="B52" s="28"/>
      <c r="C52" s="173"/>
      <c r="D52" s="173"/>
      <c r="E52" s="173"/>
      <c r="F52" s="173"/>
      <c r="G52" s="5"/>
      <c r="H52" s="5"/>
      <c r="I52" s="5"/>
      <c r="J52" s="5"/>
      <c r="K52" s="93"/>
      <c r="L52" s="148"/>
      <c r="S52" s="117"/>
      <c r="T52" s="146"/>
      <c r="U52" s="146"/>
      <c r="V52" s="146"/>
      <c r="W52" s="146"/>
      <c r="X52" s="126"/>
      <c r="Y52" s="125"/>
    </row>
    <row r="53" spans="1:25" ht="15" thickBot="1" x14ac:dyDescent="0.35">
      <c r="A53" s="176"/>
      <c r="B53" s="173"/>
      <c r="C53" s="58">
        <v>27195</v>
      </c>
      <c r="D53" s="178" t="s">
        <v>41</v>
      </c>
      <c r="E53" s="178" t="s">
        <v>125</v>
      </c>
      <c r="F53" s="178">
        <v>0</v>
      </c>
      <c r="G53" s="178">
        <v>0</v>
      </c>
      <c r="H53" s="178"/>
      <c r="I53" s="8" t="s">
        <v>158</v>
      </c>
      <c r="J53" s="5"/>
      <c r="K53" s="93"/>
      <c r="S53" s="117" t="s">
        <v>41</v>
      </c>
      <c r="T53" s="138" t="s">
        <v>125</v>
      </c>
      <c r="U53" s="138">
        <v>0</v>
      </c>
      <c r="V53" s="138">
        <v>0</v>
      </c>
      <c r="W53" s="138"/>
      <c r="X53" s="126">
        <f t="shared" ref="X53:X58" si="4">(IF(U53&gt;V53,3,IF(U53=V53,1,2)))</f>
        <v>1</v>
      </c>
      <c r="Y53" s="125">
        <f t="shared" ref="Y53:Y58" si="5">(IF(V53&gt;U53,3,IF(U53=V53,1,2)))</f>
        <v>1</v>
      </c>
    </row>
    <row r="54" spans="1:25" x14ac:dyDescent="0.3">
      <c r="A54" s="176"/>
      <c r="B54" s="173"/>
      <c r="C54" s="40">
        <v>27195</v>
      </c>
      <c r="D54" s="33" t="s">
        <v>63</v>
      </c>
      <c r="E54" s="33" t="s">
        <v>18</v>
      </c>
      <c r="F54" s="33">
        <v>2</v>
      </c>
      <c r="G54" s="33">
        <v>0</v>
      </c>
      <c r="H54" s="173"/>
      <c r="I54" s="5" t="s">
        <v>159</v>
      </c>
      <c r="J54" s="5"/>
      <c r="K54" s="93"/>
      <c r="S54" s="117" t="s">
        <v>63</v>
      </c>
      <c r="T54" s="138" t="s">
        <v>18</v>
      </c>
      <c r="U54" s="138">
        <v>2</v>
      </c>
      <c r="V54" s="138">
        <v>0</v>
      </c>
      <c r="W54" s="138"/>
      <c r="X54" s="126">
        <f t="shared" si="4"/>
        <v>3</v>
      </c>
      <c r="Y54" s="125">
        <f t="shared" si="5"/>
        <v>2</v>
      </c>
    </row>
    <row r="55" spans="1:25" ht="15" thickBot="1" x14ac:dyDescent="0.35">
      <c r="A55" s="176"/>
      <c r="B55" s="173"/>
      <c r="C55" s="58"/>
      <c r="D55" s="59"/>
      <c r="E55" s="59"/>
      <c r="F55" s="59"/>
      <c r="G55" s="59"/>
      <c r="H55" s="178"/>
      <c r="I55" s="8"/>
      <c r="J55" s="5"/>
      <c r="K55" s="93"/>
      <c r="L55" s="148"/>
      <c r="S55" s="117" t="s">
        <v>63</v>
      </c>
      <c r="T55" s="146" t="s">
        <v>41</v>
      </c>
      <c r="U55" s="146">
        <v>0</v>
      </c>
      <c r="V55" s="146">
        <v>0</v>
      </c>
      <c r="W55" s="146"/>
      <c r="X55" s="126">
        <f t="shared" si="4"/>
        <v>1</v>
      </c>
      <c r="Y55" s="125">
        <f t="shared" si="5"/>
        <v>1</v>
      </c>
    </row>
    <row r="56" spans="1:25" ht="15" thickBot="1" x14ac:dyDescent="0.35">
      <c r="A56" s="176"/>
      <c r="B56" s="173"/>
      <c r="C56" s="58">
        <v>27199</v>
      </c>
      <c r="D56" s="59" t="s">
        <v>63</v>
      </c>
      <c r="E56" s="59" t="s">
        <v>41</v>
      </c>
      <c r="F56" s="59">
        <v>0</v>
      </c>
      <c r="G56" s="59">
        <v>0</v>
      </c>
      <c r="H56" s="178"/>
      <c r="I56" s="8" t="s">
        <v>156</v>
      </c>
      <c r="J56" s="5"/>
      <c r="K56" s="93"/>
      <c r="S56" s="117" t="s">
        <v>125</v>
      </c>
      <c r="T56" s="138" t="s">
        <v>18</v>
      </c>
      <c r="U56" s="138">
        <v>1</v>
      </c>
      <c r="V56" s="138">
        <v>1</v>
      </c>
      <c r="W56" s="138"/>
      <c r="X56" s="126">
        <f t="shared" si="4"/>
        <v>1</v>
      </c>
      <c r="Y56" s="125">
        <f t="shared" si="5"/>
        <v>1</v>
      </c>
    </row>
    <row r="57" spans="1:25" x14ac:dyDescent="0.3">
      <c r="A57" s="176"/>
      <c r="B57" s="173"/>
      <c r="C57" s="40">
        <v>27199</v>
      </c>
      <c r="D57" s="33" t="s">
        <v>125</v>
      </c>
      <c r="E57" s="33" t="s">
        <v>18</v>
      </c>
      <c r="F57" s="33">
        <v>1</v>
      </c>
      <c r="G57" s="33">
        <v>1</v>
      </c>
      <c r="H57" s="173"/>
      <c r="I57" s="5" t="s">
        <v>159</v>
      </c>
      <c r="J57" s="5"/>
      <c r="K57" s="93"/>
      <c r="S57" s="117" t="s">
        <v>41</v>
      </c>
      <c r="T57" s="138" t="s">
        <v>18</v>
      </c>
      <c r="U57" s="138">
        <v>3</v>
      </c>
      <c r="V57" s="138">
        <v>0</v>
      </c>
      <c r="W57" s="138"/>
      <c r="X57" s="126">
        <f t="shared" si="4"/>
        <v>3</v>
      </c>
      <c r="Y57" s="125">
        <f t="shared" si="5"/>
        <v>2</v>
      </c>
    </row>
    <row r="58" spans="1:25" ht="15" thickBot="1" x14ac:dyDescent="0.35">
      <c r="A58" s="176"/>
      <c r="B58" s="173"/>
      <c r="C58" s="58"/>
      <c r="D58" s="59"/>
      <c r="E58" s="59"/>
      <c r="F58" s="59"/>
      <c r="G58" s="59"/>
      <c r="H58" s="178"/>
      <c r="I58" s="8"/>
      <c r="J58" s="5"/>
      <c r="K58" s="93"/>
      <c r="L58" s="148"/>
      <c r="S58" s="117" t="s">
        <v>63</v>
      </c>
      <c r="T58" s="146" t="s">
        <v>125</v>
      </c>
      <c r="U58" s="146">
        <v>4</v>
      </c>
      <c r="V58" s="146">
        <v>1</v>
      </c>
      <c r="W58" s="146"/>
      <c r="X58" s="126">
        <f t="shared" si="4"/>
        <v>3</v>
      </c>
      <c r="Y58" s="125">
        <f t="shared" si="5"/>
        <v>2</v>
      </c>
    </row>
    <row r="59" spans="1:25" x14ac:dyDescent="0.3">
      <c r="A59" s="176"/>
      <c r="B59" s="173"/>
      <c r="C59" s="40">
        <v>27203</v>
      </c>
      <c r="D59" s="33" t="s">
        <v>41</v>
      </c>
      <c r="E59" s="33" t="s">
        <v>18</v>
      </c>
      <c r="F59" s="33">
        <v>3</v>
      </c>
      <c r="G59" s="33">
        <v>0</v>
      </c>
      <c r="H59" s="173"/>
      <c r="I59" s="5" t="s">
        <v>158</v>
      </c>
      <c r="J59" s="5"/>
      <c r="K59" s="93"/>
      <c r="S59" s="117"/>
      <c r="T59" s="138"/>
      <c r="U59" s="138"/>
      <c r="V59" s="138"/>
      <c r="W59" s="138"/>
      <c r="X59" s="126"/>
      <c r="Y59" s="125"/>
    </row>
    <row r="60" spans="1:25" ht="15" thickBot="1" x14ac:dyDescent="0.35">
      <c r="A60" s="176"/>
      <c r="B60" s="173"/>
      <c r="C60" s="58"/>
      <c r="D60" s="59"/>
      <c r="E60" s="59"/>
      <c r="F60" s="59"/>
      <c r="G60" s="59"/>
      <c r="H60" s="178"/>
      <c r="I60" s="8"/>
      <c r="J60" s="5"/>
      <c r="K60" s="93"/>
      <c r="L60" s="148"/>
      <c r="S60" s="117"/>
      <c r="T60" s="146"/>
      <c r="U60" s="146"/>
      <c r="V60" s="146"/>
      <c r="W60" s="146"/>
      <c r="X60" s="126"/>
      <c r="Y60" s="125"/>
    </row>
    <row r="61" spans="1:25" x14ac:dyDescent="0.3">
      <c r="A61" s="176"/>
      <c r="B61" s="173"/>
      <c r="C61" s="40">
        <v>27203</v>
      </c>
      <c r="D61" s="33" t="s">
        <v>63</v>
      </c>
      <c r="E61" s="33" t="s">
        <v>125</v>
      </c>
      <c r="F61" s="33">
        <v>4</v>
      </c>
      <c r="G61" s="33">
        <v>1</v>
      </c>
      <c r="H61" s="173"/>
      <c r="I61" s="5" t="s">
        <v>156</v>
      </c>
      <c r="J61" s="5"/>
      <c r="K61" s="93"/>
      <c r="S61" s="117"/>
      <c r="T61" s="138"/>
      <c r="U61" s="138"/>
      <c r="V61" s="138"/>
      <c r="W61" s="138"/>
      <c r="X61" s="138"/>
      <c r="Y61" s="118"/>
    </row>
    <row r="62" spans="1:25" x14ac:dyDescent="0.3">
      <c r="A62" s="156"/>
      <c r="B62" s="173"/>
      <c r="C62" s="173"/>
      <c r="D62" s="33"/>
      <c r="E62" s="33"/>
      <c r="F62" s="33" t="s">
        <v>281</v>
      </c>
      <c r="G62" s="309" t="s">
        <v>282</v>
      </c>
      <c r="H62" s="5"/>
      <c r="I62" s="5"/>
      <c r="J62" s="5"/>
      <c r="K62" s="93"/>
      <c r="S62" s="117"/>
      <c r="T62" s="138"/>
      <c r="U62" s="138"/>
      <c r="V62" s="138"/>
      <c r="W62" s="138"/>
      <c r="X62" s="126"/>
      <c r="Y62" s="125"/>
    </row>
    <row r="63" spans="1:25" x14ac:dyDescent="0.3">
      <c r="A63" s="156"/>
      <c r="B63" s="173"/>
      <c r="C63" s="173"/>
      <c r="D63" s="173"/>
      <c r="E63" s="173"/>
      <c r="F63" s="173"/>
      <c r="G63" s="5"/>
      <c r="H63" s="5"/>
      <c r="I63" s="5"/>
      <c r="J63" s="5"/>
      <c r="K63" s="93"/>
      <c r="L63" s="148"/>
      <c r="S63" s="117"/>
      <c r="T63" s="146"/>
      <c r="U63" s="146"/>
      <c r="V63" s="146"/>
      <c r="W63" s="146"/>
      <c r="X63" s="126"/>
      <c r="Y63" s="125"/>
    </row>
    <row r="64" spans="1:25" ht="15" thickBot="1" x14ac:dyDescent="0.35">
      <c r="A64" s="176"/>
      <c r="B64" s="173"/>
      <c r="C64" s="173" t="s">
        <v>12</v>
      </c>
      <c r="D64" s="173" t="s">
        <v>13</v>
      </c>
      <c r="E64" s="173" t="s">
        <v>14</v>
      </c>
      <c r="F64" s="173" t="s">
        <v>15</v>
      </c>
      <c r="G64" s="5" t="s">
        <v>24</v>
      </c>
      <c r="H64" s="5" t="s">
        <v>25</v>
      </c>
      <c r="I64" s="5" t="s">
        <v>26</v>
      </c>
      <c r="J64" s="5" t="s">
        <v>27</v>
      </c>
      <c r="K64" s="93"/>
      <c r="S64" s="117"/>
      <c r="T64" s="138"/>
      <c r="U64" s="138"/>
      <c r="V64" s="138"/>
      <c r="W64" s="138"/>
      <c r="X64" s="126"/>
      <c r="Y64" s="125"/>
    </row>
    <row r="65" spans="1:25" x14ac:dyDescent="0.3">
      <c r="A65" s="176"/>
      <c r="B65" s="14" t="s">
        <v>41</v>
      </c>
      <c r="C65" s="179"/>
      <c r="D65" s="179"/>
      <c r="E65" s="179"/>
      <c r="F65" s="179"/>
      <c r="G65" s="15"/>
      <c r="H65" s="15"/>
      <c r="I65" s="15"/>
      <c r="J65" s="16"/>
      <c r="K65" s="93"/>
      <c r="S65" s="117"/>
      <c r="T65" s="138"/>
      <c r="U65" s="138"/>
      <c r="V65" s="138"/>
      <c r="W65" s="138"/>
      <c r="X65" s="126"/>
      <c r="Y65" s="125"/>
    </row>
    <row r="66" spans="1:25" s="13" customFormat="1" x14ac:dyDescent="0.3">
      <c r="A66" s="24"/>
      <c r="B66" s="21" t="s">
        <v>125</v>
      </c>
      <c r="C66" s="17"/>
      <c r="D66" s="17"/>
      <c r="E66" s="17"/>
      <c r="F66" s="17"/>
      <c r="G66" s="18"/>
      <c r="H66" s="18"/>
      <c r="I66" s="18"/>
      <c r="J66" s="22"/>
      <c r="K66" s="35"/>
      <c r="L66" s="10"/>
      <c r="S66" s="117"/>
      <c r="T66" s="138"/>
      <c r="U66" s="138"/>
      <c r="V66" s="138"/>
      <c r="W66" s="138"/>
      <c r="X66" s="126"/>
      <c r="Y66" s="125"/>
    </row>
    <row r="67" spans="1:25" x14ac:dyDescent="0.3">
      <c r="A67" s="176"/>
      <c r="B67" s="3" t="s">
        <v>63</v>
      </c>
      <c r="C67" s="173"/>
      <c r="D67" s="173"/>
      <c r="E67" s="173"/>
      <c r="F67" s="173"/>
      <c r="G67" s="5"/>
      <c r="H67" s="5"/>
      <c r="I67" s="5"/>
      <c r="J67" s="6"/>
      <c r="K67" s="93"/>
      <c r="S67" s="117"/>
      <c r="T67" s="138"/>
      <c r="U67" s="138"/>
      <c r="V67" s="138"/>
      <c r="W67" s="138"/>
      <c r="X67" s="138"/>
      <c r="Y67" s="118"/>
    </row>
    <row r="68" spans="1:25" ht="15" thickBot="1" x14ac:dyDescent="0.35">
      <c r="A68" s="176"/>
      <c r="B68" s="7" t="s">
        <v>18</v>
      </c>
      <c r="C68" s="178"/>
      <c r="D68" s="178"/>
      <c r="E68" s="178"/>
      <c r="F68" s="178"/>
      <c r="G68" s="8"/>
      <c r="H68" s="8"/>
      <c r="I68" s="8"/>
      <c r="J68" s="9"/>
      <c r="K68" s="93"/>
      <c r="S68" s="117"/>
      <c r="T68" s="138"/>
      <c r="U68" s="138"/>
      <c r="V68" s="138"/>
      <c r="W68" s="138"/>
      <c r="X68" s="138"/>
      <c r="Y68" s="118"/>
    </row>
    <row r="69" spans="1:25" ht="15" thickBot="1" x14ac:dyDescent="0.35">
      <c r="A69" s="176"/>
      <c r="B69" s="173"/>
      <c r="C69" s="173"/>
      <c r="D69" s="173"/>
      <c r="E69" s="173"/>
      <c r="F69" s="173"/>
      <c r="G69" s="5"/>
      <c r="H69" s="5"/>
      <c r="I69" s="5"/>
      <c r="J69" s="5"/>
      <c r="K69" s="197"/>
      <c r="S69" s="117"/>
      <c r="T69" s="138"/>
      <c r="U69" s="138"/>
      <c r="V69" s="138"/>
      <c r="W69" s="138"/>
      <c r="X69" s="126"/>
      <c r="Y69" s="125"/>
    </row>
    <row r="70" spans="1:25" ht="15" thickTop="1" x14ac:dyDescent="0.3">
      <c r="A70" s="106"/>
      <c r="B70" s="25"/>
      <c r="C70" s="25"/>
      <c r="D70" s="25"/>
      <c r="E70" s="25"/>
      <c r="F70" s="25"/>
      <c r="G70" s="26"/>
      <c r="H70" s="26"/>
      <c r="I70" s="26"/>
      <c r="J70" s="26"/>
      <c r="K70" s="93"/>
      <c r="S70" s="117"/>
      <c r="T70" s="138"/>
      <c r="U70" s="138"/>
      <c r="V70" s="138"/>
      <c r="W70" s="138"/>
      <c r="X70" s="126"/>
      <c r="Y70" s="125"/>
    </row>
    <row r="71" spans="1:25" ht="21" x14ac:dyDescent="0.4">
      <c r="A71" s="176"/>
      <c r="B71" s="173"/>
      <c r="C71" s="173"/>
      <c r="D71" s="173"/>
      <c r="E71" s="173"/>
      <c r="F71" s="172" t="s">
        <v>19</v>
      </c>
      <c r="G71" s="5"/>
      <c r="H71" s="5"/>
      <c r="I71" s="5"/>
      <c r="J71" s="5"/>
      <c r="K71" s="93"/>
      <c r="S71" s="117"/>
      <c r="T71" s="138"/>
      <c r="U71" s="138"/>
      <c r="V71" s="138"/>
      <c r="W71" s="138"/>
      <c r="X71" s="126"/>
      <c r="Y71" s="125"/>
    </row>
    <row r="72" spans="1:25" x14ac:dyDescent="0.3">
      <c r="A72" s="176"/>
      <c r="B72" s="28"/>
      <c r="C72" s="173"/>
      <c r="D72" s="173"/>
      <c r="E72" s="173"/>
      <c r="F72" s="173"/>
      <c r="G72" s="5"/>
      <c r="H72" s="5"/>
      <c r="I72" s="5"/>
      <c r="J72" s="5"/>
      <c r="K72" s="93"/>
      <c r="L72" s="148"/>
      <c r="S72" s="117"/>
      <c r="T72" s="146"/>
      <c r="U72" s="146"/>
      <c r="V72" s="146"/>
      <c r="W72" s="146"/>
      <c r="X72" s="126"/>
      <c r="Y72" s="125"/>
    </row>
    <row r="73" spans="1:25" x14ac:dyDescent="0.3">
      <c r="A73" s="176"/>
      <c r="B73" s="173"/>
      <c r="C73" s="40">
        <v>27195</v>
      </c>
      <c r="D73" s="33" t="s">
        <v>37</v>
      </c>
      <c r="E73" s="33" t="s">
        <v>160</v>
      </c>
      <c r="F73" s="33">
        <v>3</v>
      </c>
      <c r="G73" s="33">
        <v>1</v>
      </c>
      <c r="H73" s="173"/>
      <c r="I73" s="5" t="s">
        <v>161</v>
      </c>
      <c r="J73" s="5"/>
      <c r="K73" s="93"/>
      <c r="S73" s="117" t="s">
        <v>37</v>
      </c>
      <c r="T73" s="138" t="s">
        <v>160</v>
      </c>
      <c r="U73" s="138">
        <v>3</v>
      </c>
      <c r="V73" s="138">
        <v>1</v>
      </c>
      <c r="W73" s="138"/>
      <c r="X73" s="126">
        <f t="shared" ref="X73:X78" si="6">(IF(U73&gt;V73,3,IF(U73=V73,1,2)))</f>
        <v>3</v>
      </c>
      <c r="Y73" s="125">
        <f t="shared" ref="Y73:Y78" si="7">(IF(V73&gt;U73,3,IF(U73=V73,1,2)))</f>
        <v>2</v>
      </c>
    </row>
    <row r="74" spans="1:25" ht="15" thickBot="1" x14ac:dyDescent="0.35">
      <c r="A74" s="176"/>
      <c r="B74" s="173"/>
      <c r="C74" s="58"/>
      <c r="D74" s="59"/>
      <c r="E74" s="59"/>
      <c r="F74" s="59"/>
      <c r="G74" s="59"/>
      <c r="H74" s="178"/>
      <c r="I74" s="8"/>
      <c r="J74" s="5"/>
      <c r="K74" s="93"/>
      <c r="L74" s="148"/>
      <c r="S74" s="117" t="s">
        <v>61</v>
      </c>
      <c r="T74" s="146" t="s">
        <v>5</v>
      </c>
      <c r="U74" s="146">
        <v>3</v>
      </c>
      <c r="V74" s="146">
        <v>2</v>
      </c>
      <c r="W74" s="146"/>
      <c r="X74" s="126">
        <f t="shared" si="6"/>
        <v>3</v>
      </c>
      <c r="Y74" s="125">
        <f t="shared" si="7"/>
        <v>2</v>
      </c>
    </row>
    <row r="75" spans="1:25" x14ac:dyDescent="0.3">
      <c r="A75" s="176"/>
      <c r="B75" s="173"/>
      <c r="C75" s="40">
        <v>27195</v>
      </c>
      <c r="D75" s="33" t="s">
        <v>61</v>
      </c>
      <c r="E75" s="33" t="s">
        <v>5</v>
      </c>
      <c r="F75" s="33">
        <v>3</v>
      </c>
      <c r="G75" s="33">
        <v>2</v>
      </c>
      <c r="H75" s="173"/>
      <c r="I75" s="5" t="s">
        <v>162</v>
      </c>
      <c r="J75" s="5"/>
      <c r="K75" s="93"/>
      <c r="S75" s="117" t="s">
        <v>61</v>
      </c>
      <c r="T75" s="138" t="s">
        <v>160</v>
      </c>
      <c r="U75" s="138">
        <v>7</v>
      </c>
      <c r="V75" s="138">
        <v>0</v>
      </c>
      <c r="W75" s="138"/>
      <c r="X75" s="126">
        <f t="shared" si="6"/>
        <v>3</v>
      </c>
      <c r="Y75" s="125">
        <f t="shared" si="7"/>
        <v>2</v>
      </c>
    </row>
    <row r="76" spans="1:25" ht="15" thickBot="1" x14ac:dyDescent="0.35">
      <c r="A76" s="176"/>
      <c r="B76" s="173"/>
      <c r="C76" s="58"/>
      <c r="D76" s="59"/>
      <c r="E76" s="59"/>
      <c r="F76" s="59"/>
      <c r="G76" s="59"/>
      <c r="H76" s="178"/>
      <c r="I76" s="8"/>
      <c r="J76" s="5"/>
      <c r="K76" s="93"/>
      <c r="L76" s="148"/>
      <c r="S76" s="117" t="s">
        <v>5</v>
      </c>
      <c r="T76" s="146" t="s">
        <v>37</v>
      </c>
      <c r="U76" s="146">
        <v>1</v>
      </c>
      <c r="V76" s="146">
        <v>1</v>
      </c>
      <c r="W76" s="146"/>
      <c r="X76" s="126">
        <f t="shared" si="6"/>
        <v>1</v>
      </c>
      <c r="Y76" s="125">
        <f t="shared" si="7"/>
        <v>1</v>
      </c>
    </row>
    <row r="77" spans="1:25" x14ac:dyDescent="0.3">
      <c r="A77" s="176"/>
      <c r="B77" s="173"/>
      <c r="C77" s="40">
        <v>27199</v>
      </c>
      <c r="D77" s="33" t="s">
        <v>61</v>
      </c>
      <c r="E77" s="33" t="s">
        <v>160</v>
      </c>
      <c r="F77" s="33">
        <v>7</v>
      </c>
      <c r="G77" s="33">
        <v>0</v>
      </c>
      <c r="H77" s="173"/>
      <c r="I77" s="5" t="s">
        <v>161</v>
      </c>
      <c r="J77" s="5"/>
      <c r="K77" s="93"/>
      <c r="S77" s="117" t="s">
        <v>5</v>
      </c>
      <c r="T77" s="138" t="s">
        <v>160</v>
      </c>
      <c r="U77" s="138">
        <v>4</v>
      </c>
      <c r="V77" s="138">
        <v>1</v>
      </c>
      <c r="W77" s="138"/>
      <c r="X77" s="126">
        <f t="shared" si="6"/>
        <v>3</v>
      </c>
      <c r="Y77" s="125">
        <f t="shared" si="7"/>
        <v>2</v>
      </c>
    </row>
    <row r="78" spans="1:25" ht="15" thickBot="1" x14ac:dyDescent="0.35">
      <c r="A78" s="176"/>
      <c r="B78" s="173"/>
      <c r="C78" s="58"/>
      <c r="D78" s="59"/>
      <c r="E78" s="59"/>
      <c r="F78" s="59"/>
      <c r="G78" s="59"/>
      <c r="H78" s="178"/>
      <c r="I78" s="8"/>
      <c r="J78" s="5"/>
      <c r="K78" s="93"/>
      <c r="L78" s="148"/>
      <c r="S78" s="117" t="s">
        <v>61</v>
      </c>
      <c r="T78" s="146" t="s">
        <v>37</v>
      </c>
      <c r="U78" s="146">
        <v>2</v>
      </c>
      <c r="V78" s="146">
        <v>1</v>
      </c>
      <c r="W78" s="146"/>
      <c r="X78" s="126">
        <f t="shared" si="6"/>
        <v>3</v>
      </c>
      <c r="Y78" s="125">
        <f t="shared" si="7"/>
        <v>2</v>
      </c>
    </row>
    <row r="79" spans="1:25" x14ac:dyDescent="0.3">
      <c r="A79" s="176"/>
      <c r="B79" s="173"/>
      <c r="C79" s="40">
        <v>27199</v>
      </c>
      <c r="D79" s="33" t="s">
        <v>5</v>
      </c>
      <c r="E79" s="33" t="s">
        <v>37</v>
      </c>
      <c r="F79" s="33">
        <v>1</v>
      </c>
      <c r="G79" s="33">
        <v>1</v>
      </c>
      <c r="H79" s="173"/>
      <c r="I79" s="5" t="s">
        <v>162</v>
      </c>
      <c r="J79" s="5"/>
      <c r="K79" s="93"/>
      <c r="S79" s="117"/>
      <c r="T79" s="138"/>
      <c r="U79" s="138"/>
      <c r="V79" s="138"/>
      <c r="W79" s="138"/>
      <c r="X79" s="126"/>
      <c r="Y79" s="125"/>
    </row>
    <row r="80" spans="1:25" ht="15" thickBot="1" x14ac:dyDescent="0.35">
      <c r="A80" s="176"/>
      <c r="B80" s="173"/>
      <c r="C80" s="58"/>
      <c r="D80" s="59"/>
      <c r="E80" s="59"/>
      <c r="F80" s="59"/>
      <c r="G80" s="59"/>
      <c r="H80" s="178"/>
      <c r="I80" s="8"/>
      <c r="J80" s="5"/>
      <c r="K80" s="93"/>
      <c r="L80" s="148"/>
      <c r="S80" s="117"/>
      <c r="T80" s="146"/>
      <c r="U80" s="146"/>
      <c r="V80" s="146"/>
      <c r="W80" s="146"/>
      <c r="X80" s="126"/>
      <c r="Y80" s="125"/>
    </row>
    <row r="81" spans="1:25" x14ac:dyDescent="0.3">
      <c r="A81" s="176"/>
      <c r="B81" s="173"/>
      <c r="C81" s="40">
        <v>27203</v>
      </c>
      <c r="D81" s="33" t="s">
        <v>5</v>
      </c>
      <c r="E81" s="33" t="s">
        <v>160</v>
      </c>
      <c r="F81" s="33">
        <v>4</v>
      </c>
      <c r="G81" s="33">
        <v>1</v>
      </c>
      <c r="H81" s="173"/>
      <c r="I81" s="5" t="s">
        <v>161</v>
      </c>
      <c r="J81" s="5"/>
      <c r="K81" s="93"/>
      <c r="S81" s="117"/>
      <c r="T81" s="138"/>
      <c r="U81" s="138"/>
      <c r="V81" s="138"/>
      <c r="W81" s="138"/>
      <c r="X81" s="126"/>
      <c r="Y81" s="125"/>
    </row>
    <row r="82" spans="1:25" ht="15" thickBot="1" x14ac:dyDescent="0.35">
      <c r="A82" s="176"/>
      <c r="B82" s="173"/>
      <c r="C82" s="58"/>
      <c r="D82" s="59"/>
      <c r="E82" s="59"/>
      <c r="F82" s="59"/>
      <c r="G82" s="59"/>
      <c r="H82" s="178"/>
      <c r="I82" s="8"/>
      <c r="J82" s="5"/>
      <c r="K82" s="93"/>
      <c r="L82" s="148"/>
      <c r="S82" s="117"/>
      <c r="T82" s="146"/>
      <c r="U82" s="146"/>
      <c r="V82" s="146"/>
      <c r="W82" s="146"/>
      <c r="X82" s="126"/>
      <c r="Y82" s="125"/>
    </row>
    <row r="83" spans="1:25" x14ac:dyDescent="0.3">
      <c r="A83" s="176"/>
      <c r="B83" s="173"/>
      <c r="C83" s="40">
        <v>27203</v>
      </c>
      <c r="D83" s="66" t="s">
        <v>61</v>
      </c>
      <c r="E83" s="66" t="s">
        <v>37</v>
      </c>
      <c r="F83" s="66">
        <v>2</v>
      </c>
      <c r="G83" s="66">
        <v>1</v>
      </c>
      <c r="H83" s="173"/>
      <c r="I83" s="5" t="s">
        <v>162</v>
      </c>
      <c r="J83" s="5"/>
      <c r="K83" s="93"/>
      <c r="S83" s="117"/>
      <c r="T83" s="138"/>
      <c r="U83" s="138"/>
      <c r="V83" s="138"/>
      <c r="W83" s="138"/>
      <c r="X83" s="138"/>
      <c r="Y83" s="118"/>
    </row>
    <row r="84" spans="1:25" x14ac:dyDescent="0.3">
      <c r="A84" s="156"/>
      <c r="B84" s="17"/>
      <c r="C84" s="17"/>
      <c r="D84" s="66"/>
      <c r="E84" s="66"/>
      <c r="F84" s="33" t="s">
        <v>281</v>
      </c>
      <c r="G84" s="309" t="s">
        <v>282</v>
      </c>
      <c r="H84" s="5"/>
      <c r="I84" s="5"/>
      <c r="J84" s="5"/>
      <c r="K84" s="93"/>
      <c r="S84" s="117"/>
      <c r="T84" s="138"/>
      <c r="U84" s="138"/>
      <c r="V84" s="138"/>
      <c r="W84" s="138"/>
      <c r="X84" s="138"/>
      <c r="Y84" s="118"/>
    </row>
    <row r="85" spans="1:25" x14ac:dyDescent="0.3">
      <c r="A85" s="156"/>
      <c r="B85" s="17"/>
      <c r="C85" s="17"/>
      <c r="D85" s="17"/>
      <c r="E85" s="17"/>
      <c r="F85" s="173"/>
      <c r="G85" s="5"/>
      <c r="H85" s="5"/>
      <c r="I85" s="5"/>
      <c r="J85" s="5"/>
      <c r="K85" s="93"/>
      <c r="L85" s="148"/>
      <c r="S85" s="117"/>
      <c r="T85" s="146"/>
      <c r="U85" s="146"/>
      <c r="V85" s="146"/>
      <c r="W85" s="146"/>
      <c r="X85" s="146"/>
      <c r="Y85" s="118"/>
    </row>
    <row r="86" spans="1:25" ht="15" thickBot="1" x14ac:dyDescent="0.35">
      <c r="A86" s="176"/>
      <c r="B86" s="173"/>
      <c r="C86" s="173" t="s">
        <v>12</v>
      </c>
      <c r="D86" s="173" t="s">
        <v>13</v>
      </c>
      <c r="E86" s="173" t="s">
        <v>14</v>
      </c>
      <c r="F86" s="173" t="s">
        <v>15</v>
      </c>
      <c r="G86" s="5" t="s">
        <v>24</v>
      </c>
      <c r="H86" s="5" t="s">
        <v>25</v>
      </c>
      <c r="I86" s="5" t="s">
        <v>26</v>
      </c>
      <c r="J86" s="5" t="s">
        <v>27</v>
      </c>
      <c r="K86" s="93"/>
      <c r="S86" s="117"/>
      <c r="T86" s="138"/>
      <c r="U86" s="138"/>
      <c r="V86" s="138"/>
      <c r="W86" s="138"/>
      <c r="X86" s="126"/>
      <c r="Y86" s="125"/>
    </row>
    <row r="87" spans="1:25" s="13" customFormat="1" x14ac:dyDescent="0.3">
      <c r="A87" s="24"/>
      <c r="B87" s="14" t="s">
        <v>37</v>
      </c>
      <c r="C87" s="179"/>
      <c r="D87" s="179"/>
      <c r="E87" s="179"/>
      <c r="F87" s="179"/>
      <c r="G87" s="15"/>
      <c r="H87" s="15"/>
      <c r="I87" s="15"/>
      <c r="J87" s="16"/>
      <c r="K87" s="35"/>
      <c r="L87" s="10"/>
      <c r="S87" s="117"/>
      <c r="T87" s="138"/>
      <c r="U87" s="138"/>
      <c r="V87" s="138"/>
      <c r="W87" s="138"/>
      <c r="X87" s="138"/>
      <c r="Y87" s="118"/>
    </row>
    <row r="88" spans="1:25" x14ac:dyDescent="0.3">
      <c r="A88" s="176"/>
      <c r="B88" s="21" t="s">
        <v>160</v>
      </c>
      <c r="C88" s="17"/>
      <c r="D88" s="17"/>
      <c r="E88" s="17"/>
      <c r="F88" s="17"/>
      <c r="G88" s="18"/>
      <c r="H88" s="18"/>
      <c r="I88" s="18"/>
      <c r="J88" s="22"/>
      <c r="K88" s="93"/>
      <c r="S88" s="117"/>
      <c r="T88" s="138"/>
      <c r="U88" s="138"/>
      <c r="V88" s="138"/>
      <c r="W88" s="138"/>
      <c r="X88" s="138"/>
      <c r="Y88" s="118"/>
    </row>
    <row r="89" spans="1:25" s="13" customFormat="1" x14ac:dyDescent="0.3">
      <c r="A89" s="24"/>
      <c r="B89" s="21" t="s">
        <v>61</v>
      </c>
      <c r="C89" s="17"/>
      <c r="D89" s="17"/>
      <c r="E89" s="17"/>
      <c r="F89" s="17"/>
      <c r="G89" s="18"/>
      <c r="H89" s="18"/>
      <c r="I89" s="18"/>
      <c r="J89" s="22"/>
      <c r="K89" s="35"/>
      <c r="L89" s="10"/>
      <c r="S89" s="117"/>
      <c r="T89" s="138"/>
      <c r="U89" s="138"/>
      <c r="V89" s="138"/>
      <c r="W89" s="138"/>
      <c r="X89" s="126"/>
      <c r="Y89" s="125"/>
    </row>
    <row r="90" spans="1:25" s="13" customFormat="1" ht="15" thickBot="1" x14ac:dyDescent="0.35">
      <c r="A90" s="24"/>
      <c r="B90" s="29" t="s">
        <v>5</v>
      </c>
      <c r="C90" s="30"/>
      <c r="D90" s="30"/>
      <c r="E90" s="30"/>
      <c r="F90" s="30"/>
      <c r="G90" s="31"/>
      <c r="H90" s="31"/>
      <c r="I90" s="31"/>
      <c r="J90" s="32"/>
      <c r="K90" s="35"/>
      <c r="L90" s="10"/>
      <c r="S90" s="117"/>
      <c r="T90" s="138"/>
      <c r="U90" s="138"/>
      <c r="V90" s="138"/>
      <c r="W90" s="138"/>
      <c r="X90" s="126"/>
      <c r="Y90" s="125"/>
    </row>
    <row r="91" spans="1:25" ht="15" thickBot="1" x14ac:dyDescent="0.35">
      <c r="A91" s="176"/>
      <c r="B91" s="173"/>
      <c r="C91" s="173"/>
      <c r="D91" s="173"/>
      <c r="E91" s="173"/>
      <c r="F91" s="173"/>
      <c r="G91" s="5"/>
      <c r="H91" s="5"/>
      <c r="I91" s="5"/>
      <c r="J91" s="5"/>
      <c r="K91" s="197"/>
      <c r="S91" s="117"/>
      <c r="T91" s="138"/>
      <c r="U91" s="138"/>
      <c r="V91" s="138"/>
      <c r="W91" s="138"/>
      <c r="X91" s="126"/>
      <c r="Y91" s="125"/>
    </row>
    <row r="92" spans="1:25" ht="15" thickTop="1" x14ac:dyDescent="0.3">
      <c r="A92" s="106"/>
      <c r="B92" s="25"/>
      <c r="C92" s="25"/>
      <c r="D92" s="25"/>
      <c r="E92" s="25"/>
      <c r="F92" s="25"/>
      <c r="G92" s="26"/>
      <c r="H92" s="26"/>
      <c r="I92" s="26"/>
      <c r="J92" s="26"/>
      <c r="K92" s="93"/>
      <c r="S92" s="117"/>
      <c r="T92" s="138"/>
      <c r="U92" s="138"/>
      <c r="V92" s="138"/>
      <c r="W92" s="138"/>
      <c r="X92" s="126"/>
      <c r="Y92" s="125"/>
    </row>
    <row r="93" spans="1:25" ht="21" x14ac:dyDescent="0.4">
      <c r="A93" s="176"/>
      <c r="B93" s="173"/>
      <c r="C93" s="173"/>
      <c r="D93" s="173"/>
      <c r="E93" s="173"/>
      <c r="F93" s="172" t="s">
        <v>163</v>
      </c>
      <c r="G93" s="5"/>
      <c r="H93" s="5"/>
      <c r="I93" s="5"/>
      <c r="J93" s="5"/>
      <c r="K93" s="93"/>
      <c r="S93" s="117"/>
      <c r="T93" s="138"/>
      <c r="U93" s="138"/>
      <c r="V93" s="138"/>
      <c r="W93" s="138"/>
      <c r="X93" s="126"/>
      <c r="Y93" s="125"/>
    </row>
    <row r="94" spans="1:25" x14ac:dyDescent="0.3">
      <c r="A94" s="176"/>
      <c r="B94" s="28"/>
      <c r="C94" s="173"/>
      <c r="D94" s="173"/>
      <c r="E94" s="173"/>
      <c r="F94" s="173"/>
      <c r="G94" s="5"/>
      <c r="H94" s="5"/>
      <c r="I94" s="5"/>
      <c r="J94" s="5"/>
      <c r="K94" s="93"/>
      <c r="L94" s="148"/>
      <c r="S94" s="117"/>
      <c r="T94" s="146"/>
      <c r="U94" s="146"/>
      <c r="V94" s="146"/>
      <c r="W94" s="146"/>
      <c r="X94" s="126"/>
      <c r="Y94" s="125"/>
    </row>
    <row r="95" spans="1:25" x14ac:dyDescent="0.3">
      <c r="A95" s="176"/>
      <c r="B95" s="173"/>
      <c r="C95" s="40">
        <v>27206</v>
      </c>
      <c r="D95" s="33" t="s">
        <v>63</v>
      </c>
      <c r="E95" s="33" t="s">
        <v>5</v>
      </c>
      <c r="F95" s="33">
        <v>4</v>
      </c>
      <c r="G95" s="33">
        <v>0</v>
      </c>
      <c r="H95" s="173"/>
      <c r="I95" s="5" t="s">
        <v>157</v>
      </c>
      <c r="J95" s="5"/>
      <c r="K95" s="93"/>
      <c r="S95" s="117" t="s">
        <v>63</v>
      </c>
      <c r="T95" s="138" t="s">
        <v>5</v>
      </c>
      <c r="U95" s="138">
        <v>4</v>
      </c>
      <c r="V95" s="138">
        <v>0</v>
      </c>
      <c r="W95" s="138"/>
      <c r="X95" s="126">
        <f t="shared" ref="X95:X100" si="8">(IF(U95&gt;V95,3,IF(U95=V95,1,2)))</f>
        <v>3</v>
      </c>
      <c r="Y95" s="125">
        <f t="shared" ref="Y95:Y100" si="9">(IF(V95&gt;U95,3,IF(U95=V95,1,2)))</f>
        <v>2</v>
      </c>
    </row>
    <row r="96" spans="1:25" ht="15" thickBot="1" x14ac:dyDescent="0.35">
      <c r="A96" s="176"/>
      <c r="B96" s="173"/>
      <c r="C96" s="58"/>
      <c r="D96" s="59"/>
      <c r="E96" s="59"/>
      <c r="F96" s="59"/>
      <c r="G96" s="59"/>
      <c r="H96" s="178"/>
      <c r="I96" s="8"/>
      <c r="J96" s="5"/>
      <c r="K96" s="93"/>
      <c r="L96" s="148"/>
      <c r="S96" s="117" t="s">
        <v>9</v>
      </c>
      <c r="T96" s="146" t="s">
        <v>151</v>
      </c>
      <c r="U96" s="146">
        <v>1</v>
      </c>
      <c r="V96" s="146">
        <v>0</v>
      </c>
      <c r="W96" s="146"/>
      <c r="X96" s="126">
        <f t="shared" si="8"/>
        <v>3</v>
      </c>
      <c r="Y96" s="125">
        <f t="shared" si="9"/>
        <v>2</v>
      </c>
    </row>
    <row r="97" spans="1:25" x14ac:dyDescent="0.3">
      <c r="A97" s="176"/>
      <c r="B97" s="173"/>
      <c r="C97" s="40">
        <v>27206</v>
      </c>
      <c r="D97" s="33" t="s">
        <v>9</v>
      </c>
      <c r="E97" s="33" t="s">
        <v>151</v>
      </c>
      <c r="F97" s="33">
        <v>1</v>
      </c>
      <c r="G97" s="33">
        <v>0</v>
      </c>
      <c r="H97" s="173"/>
      <c r="I97" s="5" t="s">
        <v>159</v>
      </c>
      <c r="J97" s="5"/>
      <c r="K97" s="93"/>
      <c r="S97" s="117" t="s">
        <v>63</v>
      </c>
      <c r="T97" s="138" t="s">
        <v>151</v>
      </c>
      <c r="U97" s="138">
        <v>2</v>
      </c>
      <c r="V97" s="138">
        <v>0</v>
      </c>
      <c r="W97" s="138"/>
      <c r="X97" s="126">
        <f t="shared" si="8"/>
        <v>3</v>
      </c>
      <c r="Y97" s="125">
        <f t="shared" si="9"/>
        <v>2</v>
      </c>
    </row>
    <row r="98" spans="1:25" ht="15" thickBot="1" x14ac:dyDescent="0.35">
      <c r="A98" s="176"/>
      <c r="B98" s="173"/>
      <c r="C98" s="58"/>
      <c r="D98" s="59"/>
      <c r="E98" s="59"/>
      <c r="F98" s="59"/>
      <c r="G98" s="59"/>
      <c r="H98" s="178"/>
      <c r="I98" s="8"/>
      <c r="J98" s="5"/>
      <c r="K98" s="93"/>
      <c r="L98" s="148"/>
      <c r="S98" s="117" t="s">
        <v>9</v>
      </c>
      <c r="T98" s="146" t="s">
        <v>5</v>
      </c>
      <c r="U98" s="146">
        <v>2</v>
      </c>
      <c r="V98" s="146">
        <v>1</v>
      </c>
      <c r="W98" s="146"/>
      <c r="X98" s="126">
        <f t="shared" si="8"/>
        <v>3</v>
      </c>
      <c r="Y98" s="125">
        <f t="shared" si="9"/>
        <v>2</v>
      </c>
    </row>
    <row r="99" spans="1:25" x14ac:dyDescent="0.3">
      <c r="A99" s="176"/>
      <c r="B99" s="173"/>
      <c r="C99" s="40">
        <v>27210</v>
      </c>
      <c r="D99" s="33" t="s">
        <v>63</v>
      </c>
      <c r="E99" s="33" t="s">
        <v>151</v>
      </c>
      <c r="F99" s="33">
        <v>2</v>
      </c>
      <c r="G99" s="33">
        <v>0</v>
      </c>
      <c r="H99" s="173"/>
      <c r="I99" s="5" t="s">
        <v>157</v>
      </c>
      <c r="J99" s="5"/>
      <c r="K99" s="93"/>
      <c r="S99" s="117" t="s">
        <v>5</v>
      </c>
      <c r="T99" s="138" t="s">
        <v>151</v>
      </c>
      <c r="U99" s="138">
        <v>1</v>
      </c>
      <c r="V99" s="138">
        <v>1</v>
      </c>
      <c r="W99" s="138"/>
      <c r="X99" s="126">
        <f t="shared" si="8"/>
        <v>1</v>
      </c>
      <c r="Y99" s="125">
        <f t="shared" si="9"/>
        <v>1</v>
      </c>
    </row>
    <row r="100" spans="1:25" ht="15" thickBot="1" x14ac:dyDescent="0.35">
      <c r="A100" s="176"/>
      <c r="B100" s="173"/>
      <c r="C100" s="58"/>
      <c r="D100" s="59"/>
      <c r="E100" s="59"/>
      <c r="F100" s="59"/>
      <c r="G100" s="59"/>
      <c r="H100" s="178"/>
      <c r="I100" s="8"/>
      <c r="J100" s="5"/>
      <c r="K100" s="93"/>
      <c r="L100" s="148"/>
      <c r="S100" s="117" t="s">
        <v>63</v>
      </c>
      <c r="T100" s="146" t="s">
        <v>9</v>
      </c>
      <c r="U100" s="146">
        <v>2</v>
      </c>
      <c r="V100" s="146">
        <v>0</v>
      </c>
      <c r="W100" s="146"/>
      <c r="X100" s="126">
        <f t="shared" si="8"/>
        <v>3</v>
      </c>
      <c r="Y100" s="125">
        <f t="shared" si="9"/>
        <v>2</v>
      </c>
    </row>
    <row r="101" spans="1:25" x14ac:dyDescent="0.3">
      <c r="A101" s="176"/>
      <c r="B101" s="173"/>
      <c r="C101" s="40">
        <v>27210</v>
      </c>
      <c r="D101" s="33" t="s">
        <v>9</v>
      </c>
      <c r="E101" s="33" t="s">
        <v>5</v>
      </c>
      <c r="F101" s="33">
        <v>2</v>
      </c>
      <c r="G101" s="33">
        <v>1</v>
      </c>
      <c r="H101" s="173"/>
      <c r="I101" s="5" t="s">
        <v>159</v>
      </c>
      <c r="J101" s="5"/>
      <c r="K101" s="93"/>
      <c r="S101" s="117"/>
      <c r="T101" s="138"/>
      <c r="U101" s="138"/>
      <c r="V101" s="138"/>
      <c r="W101" s="138"/>
      <c r="X101" s="126"/>
      <c r="Y101" s="125"/>
    </row>
    <row r="102" spans="1:25" ht="15" thickBot="1" x14ac:dyDescent="0.35">
      <c r="A102" s="176"/>
      <c r="B102" s="173"/>
      <c r="C102" s="58"/>
      <c r="D102" s="59"/>
      <c r="E102" s="59"/>
      <c r="F102" s="59"/>
      <c r="G102" s="59"/>
      <c r="H102" s="178"/>
      <c r="I102" s="8"/>
      <c r="J102" s="5"/>
      <c r="K102" s="93"/>
      <c r="L102" s="148"/>
      <c r="S102" s="117"/>
      <c r="T102" s="146"/>
      <c r="U102" s="146"/>
      <c r="V102" s="146"/>
      <c r="W102" s="146"/>
      <c r="X102" s="126"/>
      <c r="Y102" s="125"/>
    </row>
    <row r="103" spans="1:25" x14ac:dyDescent="0.3">
      <c r="A103" s="176"/>
      <c r="B103" s="173"/>
      <c r="C103" s="40">
        <v>27213</v>
      </c>
      <c r="D103" s="33" t="s">
        <v>5</v>
      </c>
      <c r="E103" s="33" t="s">
        <v>151</v>
      </c>
      <c r="F103" s="33">
        <v>1</v>
      </c>
      <c r="G103" s="33">
        <v>1</v>
      </c>
      <c r="H103" s="173"/>
      <c r="I103" s="5" t="s">
        <v>157</v>
      </c>
      <c r="J103" s="5"/>
      <c r="K103" s="93"/>
      <c r="S103" s="117"/>
      <c r="T103" s="138"/>
      <c r="U103" s="138"/>
      <c r="V103" s="138"/>
      <c r="W103" s="138"/>
      <c r="X103" s="126"/>
      <c r="Y103" s="125"/>
    </row>
    <row r="104" spans="1:25" ht="15" thickBot="1" x14ac:dyDescent="0.35">
      <c r="A104" s="176"/>
      <c r="B104" s="173"/>
      <c r="C104" s="58"/>
      <c r="D104" s="59"/>
      <c r="E104" s="59"/>
      <c r="F104" s="59"/>
      <c r="G104" s="59"/>
      <c r="H104" s="178"/>
      <c r="I104" s="8"/>
      <c r="J104" s="5"/>
      <c r="K104" s="93"/>
      <c r="L104" s="148"/>
      <c r="S104" s="117"/>
      <c r="T104" s="146"/>
      <c r="U104" s="146"/>
      <c r="V104" s="146"/>
      <c r="W104" s="146"/>
      <c r="X104" s="126"/>
      <c r="Y104" s="125"/>
    </row>
    <row r="105" spans="1:25" x14ac:dyDescent="0.3">
      <c r="A105" s="176"/>
      <c r="B105" s="173"/>
      <c r="C105" s="40">
        <v>27213</v>
      </c>
      <c r="D105" s="33" t="s">
        <v>63</v>
      </c>
      <c r="E105" s="33" t="s">
        <v>9</v>
      </c>
      <c r="F105" s="33">
        <v>2</v>
      </c>
      <c r="G105" s="33">
        <v>0</v>
      </c>
      <c r="H105" s="173"/>
      <c r="I105" s="5" t="s">
        <v>156</v>
      </c>
      <c r="J105" s="5"/>
      <c r="K105" s="93"/>
      <c r="S105" s="117"/>
      <c r="T105" s="138"/>
      <c r="U105" s="138"/>
      <c r="V105" s="138"/>
      <c r="W105" s="138"/>
      <c r="X105" s="126"/>
      <c r="Y105" s="125"/>
    </row>
    <row r="106" spans="1:25" x14ac:dyDescent="0.3">
      <c r="A106" s="156"/>
      <c r="B106" s="173"/>
      <c r="C106" s="173"/>
      <c r="D106" s="173"/>
      <c r="E106" s="173"/>
      <c r="F106" s="173" t="s">
        <v>281</v>
      </c>
      <c r="G106" s="5" t="s">
        <v>282</v>
      </c>
      <c r="H106" s="5"/>
      <c r="I106" s="5"/>
      <c r="J106" s="5"/>
      <c r="K106" s="93"/>
      <c r="S106" s="117"/>
      <c r="T106" s="138"/>
      <c r="U106" s="138"/>
      <c r="V106" s="138"/>
      <c r="W106" s="138"/>
      <c r="X106" s="126"/>
      <c r="Y106" s="125"/>
    </row>
    <row r="107" spans="1:25" x14ac:dyDescent="0.3">
      <c r="A107" s="156"/>
      <c r="B107" s="173"/>
      <c r="C107" s="173"/>
      <c r="D107" s="173"/>
      <c r="E107" s="173"/>
      <c r="F107" s="173"/>
      <c r="G107" s="5"/>
      <c r="H107" s="5"/>
      <c r="I107" s="5"/>
      <c r="J107" s="5"/>
      <c r="K107" s="93"/>
      <c r="L107" s="148"/>
      <c r="S107" s="117"/>
      <c r="T107" s="146"/>
      <c r="U107" s="146"/>
      <c r="V107" s="146"/>
      <c r="W107" s="146"/>
      <c r="X107" s="126"/>
      <c r="Y107" s="125"/>
    </row>
    <row r="108" spans="1:25" ht="15" thickBot="1" x14ac:dyDescent="0.35">
      <c r="A108" s="176"/>
      <c r="B108" s="173"/>
      <c r="C108" s="173" t="s">
        <v>12</v>
      </c>
      <c r="D108" s="173" t="s">
        <v>13</v>
      </c>
      <c r="E108" s="173" t="s">
        <v>14</v>
      </c>
      <c r="F108" s="173" t="s">
        <v>15</v>
      </c>
      <c r="G108" s="5" t="s">
        <v>24</v>
      </c>
      <c r="H108" s="5" t="s">
        <v>25</v>
      </c>
      <c r="I108" s="5" t="s">
        <v>26</v>
      </c>
      <c r="J108" s="5" t="s">
        <v>27</v>
      </c>
      <c r="K108" s="93"/>
      <c r="S108" s="117"/>
      <c r="T108" s="138"/>
      <c r="U108" s="138"/>
      <c r="V108" s="138"/>
      <c r="W108" s="138"/>
      <c r="X108" s="126"/>
      <c r="Y108" s="125"/>
    </row>
    <row r="109" spans="1:25" s="13" customFormat="1" x14ac:dyDescent="0.3">
      <c r="A109" s="24"/>
      <c r="B109" s="14" t="s">
        <v>63</v>
      </c>
      <c r="C109" s="179"/>
      <c r="D109" s="179"/>
      <c r="E109" s="179"/>
      <c r="F109" s="179"/>
      <c r="G109" s="15"/>
      <c r="H109" s="15"/>
      <c r="I109" s="15"/>
      <c r="J109" s="16"/>
      <c r="K109" s="35"/>
      <c r="L109" s="10"/>
      <c r="S109" s="117"/>
      <c r="T109" s="138"/>
      <c r="U109" s="138"/>
      <c r="V109" s="138"/>
      <c r="W109" s="138"/>
      <c r="X109" s="138"/>
      <c r="Y109" s="118"/>
    </row>
    <row r="110" spans="1:25" s="13" customFormat="1" x14ac:dyDescent="0.3">
      <c r="A110" s="24"/>
      <c r="B110" s="21" t="s">
        <v>5</v>
      </c>
      <c r="C110" s="17"/>
      <c r="D110" s="17"/>
      <c r="E110" s="17"/>
      <c r="F110" s="17"/>
      <c r="G110" s="18"/>
      <c r="H110" s="18"/>
      <c r="I110" s="18"/>
      <c r="J110" s="22"/>
      <c r="K110" s="35"/>
      <c r="L110" s="10"/>
      <c r="S110" s="117"/>
      <c r="T110" s="138"/>
      <c r="U110" s="138"/>
      <c r="V110" s="138"/>
      <c r="W110" s="138"/>
      <c r="X110" s="138"/>
      <c r="Y110" s="118"/>
    </row>
    <row r="111" spans="1:25" s="13" customFormat="1" x14ac:dyDescent="0.3">
      <c r="A111" s="24"/>
      <c r="B111" s="21" t="s">
        <v>9</v>
      </c>
      <c r="C111" s="17"/>
      <c r="D111" s="17"/>
      <c r="E111" s="17"/>
      <c r="F111" s="17"/>
      <c r="G111" s="18"/>
      <c r="H111" s="18"/>
      <c r="I111" s="18"/>
      <c r="J111" s="22"/>
      <c r="K111" s="35"/>
      <c r="L111" s="10"/>
      <c r="S111" s="117"/>
      <c r="T111" s="138"/>
      <c r="U111" s="138"/>
      <c r="V111" s="138"/>
      <c r="W111" s="138"/>
      <c r="X111" s="126"/>
      <c r="Y111" s="125"/>
    </row>
    <row r="112" spans="1:25" s="13" customFormat="1" ht="15" thickBot="1" x14ac:dyDescent="0.35">
      <c r="A112" s="24"/>
      <c r="B112" s="29" t="s">
        <v>151</v>
      </c>
      <c r="C112" s="30"/>
      <c r="D112" s="30"/>
      <c r="E112" s="30"/>
      <c r="F112" s="30"/>
      <c r="G112" s="31"/>
      <c r="H112" s="31"/>
      <c r="I112" s="31"/>
      <c r="J112" s="32"/>
      <c r="K112" s="35"/>
      <c r="L112" s="10"/>
      <c r="S112" s="117"/>
      <c r="T112" s="138"/>
      <c r="U112" s="138"/>
      <c r="V112" s="138"/>
      <c r="W112" s="138"/>
      <c r="X112" s="138"/>
      <c r="Y112" s="118"/>
    </row>
    <row r="113" spans="1:25" x14ac:dyDescent="0.3">
      <c r="A113" s="156"/>
      <c r="B113" s="173"/>
      <c r="C113" s="173"/>
      <c r="D113" s="173"/>
      <c r="E113" s="173"/>
      <c r="F113" s="173"/>
      <c r="G113" s="5"/>
      <c r="H113" s="5"/>
      <c r="I113" s="5"/>
      <c r="J113" s="5"/>
      <c r="K113" s="93"/>
      <c r="S113" s="117"/>
      <c r="T113" s="138"/>
      <c r="U113" s="138"/>
      <c r="V113" s="138"/>
      <c r="W113" s="138"/>
      <c r="X113" s="126"/>
      <c r="Y113" s="125"/>
    </row>
    <row r="114" spans="1:25" x14ac:dyDescent="0.3">
      <c r="A114" s="156"/>
      <c r="B114" s="173"/>
      <c r="C114" s="173"/>
      <c r="D114" s="173"/>
      <c r="E114" s="173"/>
      <c r="F114" s="173"/>
      <c r="G114" s="5"/>
      <c r="H114" s="5"/>
      <c r="I114" s="5"/>
      <c r="J114" s="5"/>
      <c r="K114" s="93"/>
      <c r="S114" s="117"/>
      <c r="T114" s="138"/>
      <c r="U114" s="138"/>
      <c r="V114" s="138"/>
      <c r="W114" s="138"/>
      <c r="X114" s="126"/>
      <c r="Y114" s="125"/>
    </row>
    <row r="115" spans="1:25" ht="21" x14ac:dyDescent="0.4">
      <c r="A115" s="156"/>
      <c r="B115" s="173"/>
      <c r="C115" s="173"/>
      <c r="D115" s="173"/>
      <c r="E115" s="173"/>
      <c r="F115" s="172" t="s">
        <v>164</v>
      </c>
      <c r="G115" s="5"/>
      <c r="H115" s="5"/>
      <c r="I115" s="5"/>
      <c r="J115" s="5"/>
      <c r="K115" s="93"/>
      <c r="S115" s="117"/>
      <c r="T115" s="138"/>
      <c r="U115" s="138"/>
      <c r="V115" s="138"/>
      <c r="W115" s="138"/>
      <c r="X115" s="138"/>
      <c r="Y115" s="118"/>
    </row>
    <row r="116" spans="1:25" x14ac:dyDescent="0.3">
      <c r="A116" s="156"/>
      <c r="B116" s="28"/>
      <c r="C116" s="173"/>
      <c r="D116" s="173"/>
      <c r="E116" s="173"/>
      <c r="F116" s="173"/>
      <c r="G116" s="5"/>
      <c r="H116" s="5"/>
      <c r="I116" s="5"/>
      <c r="J116" s="5"/>
      <c r="K116" s="93"/>
      <c r="L116" s="152"/>
      <c r="S116" s="117"/>
      <c r="T116" s="151"/>
      <c r="U116" s="151"/>
      <c r="V116" s="151"/>
      <c r="W116" s="151"/>
      <c r="X116" s="151"/>
      <c r="Y116" s="118"/>
    </row>
    <row r="117" spans="1:25" x14ac:dyDescent="0.3">
      <c r="A117" s="176"/>
      <c r="B117" s="173"/>
      <c r="C117" s="40">
        <v>27206</v>
      </c>
      <c r="D117" s="33" t="s">
        <v>88</v>
      </c>
      <c r="E117" s="33" t="s">
        <v>8</v>
      </c>
      <c r="F117" s="33">
        <v>2</v>
      </c>
      <c r="G117" s="33">
        <v>0</v>
      </c>
      <c r="H117" s="33"/>
      <c r="I117" s="5" t="s">
        <v>158</v>
      </c>
      <c r="J117" s="5"/>
      <c r="K117" s="93"/>
      <c r="S117" s="117" t="s">
        <v>88</v>
      </c>
      <c r="T117" s="138" t="s">
        <v>8</v>
      </c>
      <c r="U117" s="138">
        <v>2</v>
      </c>
      <c r="V117" s="138">
        <v>0</v>
      </c>
      <c r="W117" s="138"/>
      <c r="X117" s="126">
        <f t="shared" ref="X117:X120" si="10">(IF(U117&gt;V117,3,IF(U117=V117,1,2)))</f>
        <v>3</v>
      </c>
      <c r="Y117" s="125">
        <f t="shared" ref="Y117:Y120" si="11">(IF(V117&gt;U117,3,IF(U117=V117,1,2)))</f>
        <v>2</v>
      </c>
    </row>
    <row r="118" spans="1:25" ht="15" thickBot="1" x14ac:dyDescent="0.35">
      <c r="A118" s="176"/>
      <c r="B118" s="173"/>
      <c r="C118" s="58"/>
      <c r="D118" s="59"/>
      <c r="E118" s="59"/>
      <c r="F118" s="59"/>
      <c r="G118" s="59"/>
      <c r="H118" s="59"/>
      <c r="I118" s="8"/>
      <c r="J118" s="5"/>
      <c r="K118" s="93"/>
      <c r="L118" s="152"/>
      <c r="S118" s="117" t="s">
        <v>61</v>
      </c>
      <c r="T118" s="151" t="s">
        <v>41</v>
      </c>
      <c r="U118" s="151">
        <v>1</v>
      </c>
      <c r="V118" s="151">
        <v>0</v>
      </c>
      <c r="W118" s="151"/>
      <c r="X118" s="126">
        <f t="shared" si="10"/>
        <v>3</v>
      </c>
      <c r="Y118" s="125">
        <f t="shared" si="11"/>
        <v>2</v>
      </c>
    </row>
    <row r="119" spans="1:25" x14ac:dyDescent="0.3">
      <c r="A119" s="176"/>
      <c r="B119" s="173"/>
      <c r="C119" s="40">
        <v>27206</v>
      </c>
      <c r="D119" s="33" t="s">
        <v>61</v>
      </c>
      <c r="E119" s="33" t="s">
        <v>41</v>
      </c>
      <c r="F119" s="33">
        <v>1</v>
      </c>
      <c r="G119" s="33">
        <v>0</v>
      </c>
      <c r="H119" s="33"/>
      <c r="I119" s="5" t="s">
        <v>162</v>
      </c>
      <c r="J119" s="5"/>
      <c r="K119" s="93"/>
      <c r="S119" s="117" t="s">
        <v>61</v>
      </c>
      <c r="T119" s="138" t="s">
        <v>8</v>
      </c>
      <c r="U119" s="138">
        <v>2</v>
      </c>
      <c r="V119" s="138">
        <v>1</v>
      </c>
      <c r="W119" s="138"/>
      <c r="X119" s="126">
        <f t="shared" si="10"/>
        <v>3</v>
      </c>
      <c r="Y119" s="125">
        <f t="shared" si="11"/>
        <v>2</v>
      </c>
    </row>
    <row r="120" spans="1:25" ht="15" thickBot="1" x14ac:dyDescent="0.35">
      <c r="A120" s="176"/>
      <c r="B120" s="173"/>
      <c r="C120" s="58"/>
      <c r="D120" s="59"/>
      <c r="E120" s="59"/>
      <c r="F120" s="59"/>
      <c r="G120" s="59"/>
      <c r="H120" s="59"/>
      <c r="I120" s="8"/>
      <c r="J120" s="5"/>
      <c r="K120" s="93"/>
      <c r="L120" s="152"/>
      <c r="S120" s="117" t="s">
        <v>88</v>
      </c>
      <c r="T120" s="151" t="s">
        <v>41</v>
      </c>
      <c r="U120" s="151">
        <v>4</v>
      </c>
      <c r="V120" s="151">
        <v>2</v>
      </c>
      <c r="W120" s="151"/>
      <c r="X120" s="126">
        <f t="shared" si="10"/>
        <v>3</v>
      </c>
      <c r="Y120" s="125">
        <f t="shared" si="11"/>
        <v>2</v>
      </c>
    </row>
    <row r="121" spans="1:25" x14ac:dyDescent="0.3">
      <c r="A121" s="176"/>
      <c r="B121" s="173"/>
      <c r="C121" s="40">
        <v>27210</v>
      </c>
      <c r="D121" s="33" t="s">
        <v>61</v>
      </c>
      <c r="E121" s="33" t="s">
        <v>8</v>
      </c>
      <c r="F121" s="33">
        <v>2</v>
      </c>
      <c r="G121" s="33">
        <v>1</v>
      </c>
      <c r="H121" s="33"/>
      <c r="I121" s="5" t="s">
        <v>154</v>
      </c>
      <c r="J121" s="5"/>
      <c r="K121" s="93"/>
      <c r="S121" s="117" t="s">
        <v>88</v>
      </c>
      <c r="T121" s="138" t="s">
        <v>61</v>
      </c>
      <c r="U121" s="138">
        <v>1</v>
      </c>
      <c r="V121" s="138">
        <v>0</v>
      </c>
      <c r="W121" s="138"/>
      <c r="X121" s="126">
        <f t="shared" ref="X121" si="12">(IF(U121&gt;V121,3,IF(U121=V121,1,2)))</f>
        <v>3</v>
      </c>
      <c r="Y121" s="125">
        <f t="shared" ref="Y121" si="13">(IF(V121&gt;U121,3,IF(U121=V121,1,2)))</f>
        <v>2</v>
      </c>
    </row>
    <row r="122" spans="1:25" ht="15" thickBot="1" x14ac:dyDescent="0.35">
      <c r="A122" s="176"/>
      <c r="B122" s="173"/>
      <c r="C122" s="58"/>
      <c r="D122" s="59"/>
      <c r="E122" s="59"/>
      <c r="F122" s="59"/>
      <c r="G122" s="59"/>
      <c r="H122" s="59"/>
      <c r="I122" s="8"/>
      <c r="J122" s="5"/>
      <c r="K122" s="93"/>
      <c r="L122" s="152"/>
      <c r="S122" s="117" t="s">
        <v>41</v>
      </c>
      <c r="T122" s="151" t="s">
        <v>8</v>
      </c>
      <c r="U122" s="151">
        <v>2</v>
      </c>
      <c r="V122" s="151">
        <v>1</v>
      </c>
      <c r="W122" s="151"/>
      <c r="X122" s="126">
        <f t="shared" ref="X122" si="14">(IF(U122&gt;V122,3,IF(U122=V122,1,2)))</f>
        <v>3</v>
      </c>
      <c r="Y122" s="125">
        <f t="shared" ref="Y122" si="15">(IF(V122&gt;U122,3,IF(U122=V122,1,2)))</f>
        <v>2</v>
      </c>
    </row>
    <row r="123" spans="1:25" x14ac:dyDescent="0.3">
      <c r="A123" s="176"/>
      <c r="B123" s="173"/>
      <c r="C123" s="40">
        <v>27210</v>
      </c>
      <c r="D123" s="33" t="s">
        <v>88</v>
      </c>
      <c r="E123" s="33" t="s">
        <v>41</v>
      </c>
      <c r="F123" s="33">
        <v>4</v>
      </c>
      <c r="G123" s="33">
        <v>2</v>
      </c>
      <c r="H123" s="33"/>
      <c r="I123" s="5" t="s">
        <v>158</v>
      </c>
      <c r="J123" s="5"/>
      <c r="K123" s="93"/>
      <c r="S123" s="122"/>
      <c r="T123" s="17"/>
      <c r="U123" s="17"/>
      <c r="V123" s="17"/>
      <c r="W123" s="17"/>
      <c r="X123" s="126"/>
      <c r="Y123" s="125"/>
    </row>
    <row r="124" spans="1:25" ht="15" thickBot="1" x14ac:dyDescent="0.35">
      <c r="A124" s="176"/>
      <c r="B124" s="173"/>
      <c r="C124" s="58"/>
      <c r="D124" s="59"/>
      <c r="E124" s="59"/>
      <c r="F124" s="59"/>
      <c r="G124" s="59"/>
      <c r="H124" s="59"/>
      <c r="I124" s="8"/>
      <c r="J124" s="5"/>
      <c r="K124" s="93"/>
      <c r="L124" s="152"/>
      <c r="S124" s="122"/>
      <c r="T124" s="17"/>
      <c r="U124" s="17"/>
      <c r="V124" s="17"/>
      <c r="W124" s="17"/>
      <c r="X124" s="126"/>
      <c r="Y124" s="125"/>
    </row>
    <row r="125" spans="1:25" x14ac:dyDescent="0.3">
      <c r="A125" s="176"/>
      <c r="B125" s="173"/>
      <c r="C125" s="40">
        <v>27213</v>
      </c>
      <c r="D125" s="33" t="s">
        <v>88</v>
      </c>
      <c r="E125" s="33" t="s">
        <v>61</v>
      </c>
      <c r="F125" s="33">
        <v>1</v>
      </c>
      <c r="G125" s="33">
        <v>0</v>
      </c>
      <c r="H125" s="33"/>
      <c r="I125" s="5" t="s">
        <v>154</v>
      </c>
      <c r="J125" s="5"/>
      <c r="K125" s="93"/>
      <c r="S125" s="122"/>
      <c r="T125" s="17"/>
      <c r="U125" s="17"/>
      <c r="V125" s="17"/>
      <c r="W125" s="17"/>
      <c r="X125" s="126"/>
      <c r="Y125" s="125"/>
    </row>
    <row r="126" spans="1:25" ht="15" thickBot="1" x14ac:dyDescent="0.35">
      <c r="A126" s="176"/>
      <c r="B126" s="173"/>
      <c r="C126" s="58"/>
      <c r="D126" s="59"/>
      <c r="E126" s="59"/>
      <c r="F126" s="59"/>
      <c r="G126" s="59"/>
      <c r="H126" s="59"/>
      <c r="I126" s="8"/>
      <c r="J126" s="5"/>
      <c r="K126" s="93"/>
      <c r="L126" s="152"/>
      <c r="S126" s="122"/>
      <c r="T126" s="17"/>
      <c r="U126" s="17"/>
      <c r="V126" s="17"/>
      <c r="W126" s="17"/>
      <c r="X126" s="126"/>
      <c r="Y126" s="125"/>
    </row>
    <row r="127" spans="1:25" x14ac:dyDescent="0.3">
      <c r="A127" s="176"/>
      <c r="B127" s="173"/>
      <c r="C127" s="40">
        <v>27213</v>
      </c>
      <c r="D127" s="33" t="s">
        <v>41</v>
      </c>
      <c r="E127" s="33" t="s">
        <v>8</v>
      </c>
      <c r="F127" s="33">
        <v>2</v>
      </c>
      <c r="G127" s="33">
        <v>1</v>
      </c>
      <c r="H127" s="33"/>
      <c r="I127" s="5" t="s">
        <v>158</v>
      </c>
      <c r="J127" s="5"/>
      <c r="K127" s="93"/>
      <c r="S127" s="122"/>
      <c r="T127" s="17"/>
      <c r="U127" s="17"/>
      <c r="V127" s="17"/>
      <c r="W127" s="17"/>
      <c r="X127" s="126"/>
      <c r="Y127" s="125"/>
    </row>
    <row r="128" spans="1:25" x14ac:dyDescent="0.3">
      <c r="A128" s="156"/>
      <c r="B128" s="173"/>
      <c r="C128" s="173"/>
      <c r="D128" s="173"/>
      <c r="E128" s="173"/>
      <c r="F128" s="173" t="s">
        <v>281</v>
      </c>
      <c r="G128" s="5" t="s">
        <v>282</v>
      </c>
      <c r="H128" s="5"/>
      <c r="I128" s="5"/>
      <c r="J128" s="5"/>
      <c r="K128" s="93"/>
      <c r="S128" s="117"/>
      <c r="T128" s="138"/>
      <c r="U128" s="138"/>
      <c r="V128" s="138"/>
      <c r="W128" s="138"/>
      <c r="X128" s="138"/>
      <c r="Y128" s="118"/>
    </row>
    <row r="129" spans="1:25" x14ac:dyDescent="0.3">
      <c r="A129" s="156"/>
      <c r="B129" s="173"/>
      <c r="C129" s="173"/>
      <c r="D129" s="173"/>
      <c r="E129" s="173"/>
      <c r="F129" s="173"/>
      <c r="G129" s="5"/>
      <c r="H129" s="5"/>
      <c r="I129" s="5"/>
      <c r="J129" s="5"/>
      <c r="K129" s="93"/>
      <c r="L129" s="152"/>
      <c r="S129" s="117"/>
      <c r="T129" s="151"/>
      <c r="U129" s="151"/>
      <c r="V129" s="151"/>
      <c r="W129" s="151"/>
      <c r="X129" s="151"/>
      <c r="Y129" s="118"/>
    </row>
    <row r="130" spans="1:25" ht="15" thickBot="1" x14ac:dyDescent="0.35">
      <c r="A130" s="176"/>
      <c r="B130" s="173"/>
      <c r="C130" s="173" t="s">
        <v>12</v>
      </c>
      <c r="D130" s="173" t="s">
        <v>13</v>
      </c>
      <c r="E130" s="173" t="s">
        <v>14</v>
      </c>
      <c r="F130" s="173" t="s">
        <v>15</v>
      </c>
      <c r="G130" s="5" t="s">
        <v>24</v>
      </c>
      <c r="H130" s="5" t="s">
        <v>25</v>
      </c>
      <c r="I130" s="5" t="s">
        <v>26</v>
      </c>
      <c r="J130" s="5" t="s">
        <v>27</v>
      </c>
      <c r="K130" s="93"/>
      <c r="S130" s="122"/>
      <c r="T130" s="17"/>
      <c r="U130" s="17"/>
      <c r="V130" s="17"/>
      <c r="W130" s="17"/>
      <c r="X130" s="17"/>
      <c r="Y130" s="123"/>
    </row>
    <row r="131" spans="1:25" s="13" customFormat="1" x14ac:dyDescent="0.3">
      <c r="A131" s="24"/>
      <c r="B131" s="14" t="s">
        <v>88</v>
      </c>
      <c r="C131" s="179"/>
      <c r="D131" s="179"/>
      <c r="E131" s="179"/>
      <c r="F131" s="179"/>
      <c r="G131" s="15"/>
      <c r="H131" s="15"/>
      <c r="I131" s="15"/>
      <c r="J131" s="16"/>
      <c r="K131" s="35"/>
      <c r="L131" s="10"/>
      <c r="S131" s="117"/>
      <c r="T131" s="138"/>
      <c r="U131" s="138"/>
      <c r="V131" s="138"/>
      <c r="W131" s="138"/>
      <c r="X131" s="138"/>
      <c r="Y131" s="118"/>
    </row>
    <row r="132" spans="1:25" s="13" customFormat="1" x14ac:dyDescent="0.3">
      <c r="A132" s="24"/>
      <c r="B132" s="21" t="s">
        <v>8</v>
      </c>
      <c r="C132" s="17"/>
      <c r="D132" s="17"/>
      <c r="E132" s="17"/>
      <c r="F132" s="17"/>
      <c r="G132" s="18"/>
      <c r="H132" s="18"/>
      <c r="I132" s="18"/>
      <c r="J132" s="22"/>
      <c r="K132" s="35"/>
      <c r="L132" s="10"/>
      <c r="S132" s="117"/>
      <c r="T132" s="138"/>
      <c r="U132" s="138"/>
      <c r="V132" s="138"/>
      <c r="W132" s="138"/>
      <c r="X132" s="138"/>
      <c r="Y132" s="118"/>
    </row>
    <row r="133" spans="1:25" s="13" customFormat="1" x14ac:dyDescent="0.3">
      <c r="A133" s="24"/>
      <c r="B133" s="21" t="s">
        <v>61</v>
      </c>
      <c r="C133" s="17"/>
      <c r="D133" s="17"/>
      <c r="E133" s="17"/>
      <c r="F133" s="17"/>
      <c r="G133" s="18"/>
      <c r="H133" s="18"/>
      <c r="I133" s="18"/>
      <c r="J133" s="22"/>
      <c r="K133" s="35"/>
      <c r="L133" s="10"/>
      <c r="S133" s="117"/>
      <c r="T133" s="138"/>
      <c r="U133" s="138"/>
      <c r="V133" s="138"/>
      <c r="W133" s="138"/>
      <c r="X133" s="126"/>
      <c r="Y133" s="125"/>
    </row>
    <row r="134" spans="1:25" s="13" customFormat="1" ht="15" thickBot="1" x14ac:dyDescent="0.35">
      <c r="A134" s="24"/>
      <c r="B134" s="29" t="s">
        <v>41</v>
      </c>
      <c r="C134" s="30"/>
      <c r="D134" s="30"/>
      <c r="E134" s="30"/>
      <c r="F134" s="30"/>
      <c r="G134" s="31"/>
      <c r="H134" s="31"/>
      <c r="I134" s="31"/>
      <c r="J134" s="32"/>
      <c r="K134" s="35"/>
      <c r="L134" s="10"/>
      <c r="S134" s="117"/>
      <c r="T134" s="138"/>
      <c r="U134" s="138"/>
      <c r="V134" s="138"/>
      <c r="W134" s="138"/>
      <c r="X134" s="138"/>
      <c r="Y134" s="118"/>
    </row>
    <row r="135" spans="1:25" ht="15" thickBot="1" x14ac:dyDescent="0.35">
      <c r="A135" s="110"/>
      <c r="B135" s="36"/>
      <c r="C135" s="36"/>
      <c r="D135" s="36"/>
      <c r="E135" s="36"/>
      <c r="F135" s="36"/>
      <c r="G135" s="37"/>
      <c r="H135" s="37"/>
      <c r="I135" s="37"/>
      <c r="J135" s="37"/>
      <c r="K135" s="197"/>
      <c r="S135" s="117"/>
      <c r="T135" s="138"/>
      <c r="U135" s="138"/>
      <c r="V135" s="138"/>
      <c r="W135" s="138"/>
      <c r="X135" s="138"/>
      <c r="Y135" s="118"/>
    </row>
    <row r="136" spans="1:25" ht="15.6" thickTop="1" thickBot="1" x14ac:dyDescent="0.35">
      <c r="A136" s="176"/>
      <c r="B136" s="173"/>
      <c r="C136" s="173"/>
      <c r="D136" s="173"/>
      <c r="E136" s="173"/>
      <c r="F136" s="173"/>
      <c r="G136" s="5"/>
      <c r="H136" s="5"/>
      <c r="I136" s="5"/>
      <c r="J136" s="5"/>
      <c r="K136" s="93"/>
      <c r="S136" s="117"/>
      <c r="T136" s="138"/>
      <c r="U136" s="138"/>
      <c r="V136" s="138"/>
      <c r="W136" s="138"/>
      <c r="X136" s="138"/>
      <c r="Y136" s="118"/>
    </row>
    <row r="137" spans="1:25" ht="21" x14ac:dyDescent="0.4">
      <c r="A137" s="156"/>
      <c r="B137" s="173"/>
      <c r="C137" s="420" t="s">
        <v>334</v>
      </c>
      <c r="D137" s="444"/>
      <c r="E137" s="444"/>
      <c r="F137" s="444"/>
      <c r="G137" s="444"/>
      <c r="H137" s="444"/>
      <c r="I137" s="445"/>
      <c r="J137" s="5"/>
      <c r="K137" s="93"/>
      <c r="S137" s="117"/>
      <c r="T137" s="138"/>
      <c r="U137" s="138"/>
      <c r="V137" s="138"/>
      <c r="W137" s="138"/>
      <c r="X137" s="126"/>
      <c r="Y137" s="125"/>
    </row>
    <row r="138" spans="1:25" ht="14.4" customHeight="1" x14ac:dyDescent="0.4">
      <c r="A138" s="156"/>
      <c r="B138" s="376"/>
      <c r="C138" s="364"/>
      <c r="D138" s="377"/>
      <c r="E138" s="377"/>
      <c r="F138" s="377"/>
      <c r="G138" s="377"/>
      <c r="H138" s="377"/>
      <c r="I138" s="384"/>
      <c r="J138" s="5"/>
      <c r="K138" s="380"/>
      <c r="L138" s="357"/>
      <c r="S138" s="117"/>
      <c r="T138" s="376"/>
      <c r="U138" s="376"/>
      <c r="V138" s="376"/>
      <c r="W138" s="376"/>
      <c r="X138" s="126"/>
      <c r="Y138" s="125"/>
    </row>
    <row r="139" spans="1:25" x14ac:dyDescent="0.3">
      <c r="A139" s="156"/>
      <c r="B139" s="173"/>
      <c r="C139" s="3"/>
      <c r="D139" s="33" t="s">
        <v>9</v>
      </c>
      <c r="E139" s="55" t="s">
        <v>61</v>
      </c>
      <c r="F139" s="33">
        <v>0</v>
      </c>
      <c r="G139" s="5">
        <v>1</v>
      </c>
      <c r="I139" s="6"/>
      <c r="J139" s="5"/>
      <c r="K139" s="93"/>
      <c r="S139" s="117" t="s">
        <v>9</v>
      </c>
      <c r="T139" s="138" t="s">
        <v>61</v>
      </c>
      <c r="U139" s="138">
        <v>0</v>
      </c>
      <c r="V139" s="138">
        <v>1</v>
      </c>
      <c r="W139" s="138"/>
      <c r="X139" s="126">
        <f t="shared" ref="X139" si="16">(IF(U139&gt;V139,3,IF(U139=V139,1,2)))</f>
        <v>2</v>
      </c>
      <c r="Y139" s="125">
        <f t="shared" ref="Y139" si="17">(IF(V139&gt;U139,3,IF(U139=V139,1,2)))</f>
        <v>3</v>
      </c>
    </row>
    <row r="140" spans="1:25" s="13" customFormat="1" x14ac:dyDescent="0.3">
      <c r="A140" s="194"/>
      <c r="B140" s="17"/>
      <c r="C140" s="21"/>
      <c r="D140" s="66"/>
      <c r="E140" s="95"/>
      <c r="F140" s="66" t="s">
        <v>170</v>
      </c>
      <c r="G140" s="18" t="s">
        <v>171</v>
      </c>
      <c r="I140" s="22"/>
      <c r="J140" s="18"/>
      <c r="K140" s="35"/>
      <c r="L140" s="10"/>
      <c r="S140" s="122"/>
      <c r="T140" s="17"/>
      <c r="U140" s="17"/>
      <c r="V140" s="17"/>
      <c r="W140" s="17"/>
      <c r="X140" s="17"/>
      <c r="Y140" s="123"/>
    </row>
    <row r="141" spans="1:25" ht="15" thickBot="1" x14ac:dyDescent="0.35">
      <c r="A141" s="156"/>
      <c r="B141" s="173"/>
      <c r="C141" s="7"/>
      <c r="D141" s="178"/>
      <c r="E141" s="178"/>
      <c r="F141" s="178"/>
      <c r="G141" s="178"/>
      <c r="H141" s="8"/>
      <c r="I141" s="9"/>
      <c r="J141" s="5"/>
      <c r="K141" s="93"/>
      <c r="S141" s="117"/>
      <c r="T141" s="138"/>
      <c r="U141" s="138"/>
      <c r="V141" s="138"/>
      <c r="W141" s="138"/>
      <c r="X141" s="138"/>
      <c r="Y141" s="118"/>
    </row>
    <row r="142" spans="1:25" x14ac:dyDescent="0.3">
      <c r="A142" s="156"/>
      <c r="B142" s="173"/>
      <c r="C142" s="173"/>
      <c r="D142" s="173"/>
      <c r="E142" s="173"/>
      <c r="F142" s="173"/>
      <c r="G142" s="5"/>
      <c r="H142" s="5"/>
      <c r="I142" s="5"/>
      <c r="J142" s="5"/>
      <c r="K142" s="93"/>
      <c r="S142" s="117"/>
      <c r="T142" s="138"/>
      <c r="U142" s="138"/>
      <c r="V142" s="138"/>
      <c r="W142" s="138"/>
      <c r="X142" s="138"/>
      <c r="Y142" s="118"/>
    </row>
    <row r="143" spans="1:25" x14ac:dyDescent="0.3">
      <c r="A143" s="156"/>
      <c r="B143" s="173"/>
      <c r="C143" s="173"/>
      <c r="D143" s="173"/>
      <c r="E143" s="173"/>
      <c r="F143" s="173"/>
      <c r="G143" s="5"/>
      <c r="H143" s="5"/>
      <c r="I143" s="5"/>
      <c r="J143" s="5"/>
      <c r="K143" s="93"/>
      <c r="L143" s="152"/>
      <c r="S143" s="117"/>
      <c r="T143" s="151"/>
      <c r="U143" s="151"/>
      <c r="V143" s="151"/>
      <c r="W143" s="151"/>
      <c r="X143" s="151"/>
      <c r="Y143" s="118"/>
    </row>
    <row r="144" spans="1:25" x14ac:dyDescent="0.3">
      <c r="A144" s="156"/>
      <c r="B144" s="173"/>
      <c r="C144" s="173"/>
      <c r="D144" s="173"/>
      <c r="E144" s="173"/>
      <c r="F144" s="173"/>
      <c r="G144" s="5"/>
      <c r="H144" s="5"/>
      <c r="I144" s="5"/>
      <c r="J144" s="5"/>
      <c r="K144" s="93"/>
      <c r="S144" s="117"/>
      <c r="T144" s="138"/>
      <c r="U144" s="138"/>
      <c r="V144" s="138"/>
      <c r="W144" s="138"/>
      <c r="X144" s="138"/>
      <c r="Y144" s="118"/>
    </row>
    <row r="145" spans="1:26" ht="15" thickBot="1" x14ac:dyDescent="0.35">
      <c r="A145" s="156"/>
      <c r="B145" s="173"/>
      <c r="C145" s="173"/>
      <c r="D145" s="173"/>
      <c r="E145" s="173"/>
      <c r="F145" s="173"/>
      <c r="G145" s="5"/>
      <c r="H145" s="5"/>
      <c r="I145" s="5"/>
      <c r="J145" s="5"/>
      <c r="K145" s="93"/>
      <c r="S145" s="117"/>
      <c r="T145" s="138"/>
      <c r="U145" s="138"/>
      <c r="V145" s="138"/>
      <c r="W145" s="138"/>
      <c r="X145" s="138"/>
      <c r="Y145" s="118"/>
    </row>
    <row r="146" spans="1:26" ht="21" x14ac:dyDescent="0.4">
      <c r="A146" s="156"/>
      <c r="B146" s="173"/>
      <c r="C146" s="420" t="s">
        <v>335</v>
      </c>
      <c r="D146" s="444"/>
      <c r="E146" s="444"/>
      <c r="F146" s="444"/>
      <c r="G146" s="444"/>
      <c r="H146" s="444"/>
      <c r="I146" s="445"/>
      <c r="J146" s="5"/>
      <c r="K146" s="93"/>
      <c r="S146" s="117"/>
      <c r="T146" s="138"/>
      <c r="U146" s="138"/>
      <c r="V146" s="138"/>
      <c r="W146" s="138"/>
      <c r="X146" s="126"/>
      <c r="Y146" s="125"/>
    </row>
    <row r="147" spans="1:26" ht="14.4" customHeight="1" x14ac:dyDescent="0.4">
      <c r="A147" s="156"/>
      <c r="B147" s="376"/>
      <c r="C147" s="364"/>
      <c r="D147" s="377"/>
      <c r="E147" s="377"/>
      <c r="F147" s="377"/>
      <c r="G147" s="377"/>
      <c r="H147" s="377"/>
      <c r="I147" s="384"/>
      <c r="J147" s="5"/>
      <c r="K147" s="380"/>
      <c r="L147" s="357"/>
      <c r="S147" s="117"/>
      <c r="T147" s="376"/>
      <c r="U147" s="376"/>
      <c r="V147" s="376"/>
      <c r="W147" s="376"/>
      <c r="X147" s="126"/>
      <c r="Y147" s="125"/>
    </row>
    <row r="148" spans="1:26" x14ac:dyDescent="0.3">
      <c r="A148" s="156"/>
      <c r="B148" s="173"/>
      <c r="C148" s="3"/>
      <c r="D148" s="33" t="s">
        <v>63</v>
      </c>
      <c r="E148" s="173" t="s">
        <v>88</v>
      </c>
      <c r="F148" s="33">
        <v>1</v>
      </c>
      <c r="G148" s="5">
        <v>2</v>
      </c>
      <c r="I148" s="6"/>
      <c r="J148" s="5"/>
      <c r="K148" s="93"/>
      <c r="S148" s="117" t="s">
        <v>63</v>
      </c>
      <c r="T148" s="138" t="s">
        <v>88</v>
      </c>
      <c r="U148" s="138">
        <v>1</v>
      </c>
      <c r="V148" s="138">
        <v>2</v>
      </c>
      <c r="W148" s="138"/>
      <c r="X148" s="126">
        <f t="shared" ref="X148" si="18">(IF(U148&gt;V148,3,IF(U148=V148,1,2)))</f>
        <v>2</v>
      </c>
      <c r="Y148" s="125">
        <f t="shared" ref="Y148" si="19">(IF(V148&gt;U148,3,IF(U148=V148,1,2)))</f>
        <v>3</v>
      </c>
    </row>
    <row r="149" spans="1:26" x14ac:dyDescent="0.3">
      <c r="A149" s="156"/>
      <c r="B149" s="173"/>
      <c r="C149" s="3"/>
      <c r="D149" s="33"/>
      <c r="E149" s="173"/>
      <c r="F149" s="33" t="s">
        <v>172</v>
      </c>
      <c r="G149" s="5" t="s">
        <v>173</v>
      </c>
      <c r="I149" s="6"/>
      <c r="J149" s="5"/>
      <c r="K149" s="93"/>
      <c r="S149" s="117"/>
      <c r="T149" s="138"/>
      <c r="U149" s="138"/>
      <c r="V149" s="138"/>
      <c r="W149" s="138"/>
      <c r="X149" s="138"/>
      <c r="Y149" s="118"/>
    </row>
    <row r="150" spans="1:26" ht="15" thickBot="1" x14ac:dyDescent="0.35">
      <c r="A150" s="156"/>
      <c r="B150" s="173"/>
      <c r="C150" s="7"/>
      <c r="D150" s="178"/>
      <c r="E150" s="59"/>
      <c r="F150" s="178"/>
      <c r="G150" s="178"/>
      <c r="H150" s="8"/>
      <c r="I150" s="9"/>
      <c r="J150" s="5"/>
      <c r="K150" s="93"/>
      <c r="S150" s="117"/>
      <c r="T150" s="138"/>
      <c r="U150" s="138"/>
      <c r="V150" s="138"/>
      <c r="W150" s="138"/>
      <c r="X150" s="138"/>
      <c r="Y150" s="118"/>
    </row>
    <row r="151" spans="1:26" x14ac:dyDescent="0.3">
      <c r="A151" s="156"/>
      <c r="B151" s="173"/>
      <c r="C151" s="173"/>
      <c r="D151" s="173"/>
      <c r="E151" s="173"/>
      <c r="F151" s="173"/>
      <c r="G151" s="5"/>
      <c r="H151" s="5"/>
      <c r="I151" s="5"/>
      <c r="J151" s="5"/>
      <c r="K151" s="93"/>
      <c r="S151" s="115"/>
      <c r="T151" s="115"/>
      <c r="U151" s="115"/>
      <c r="V151" s="115"/>
      <c r="W151" s="115"/>
      <c r="X151" s="115"/>
      <c r="Y151" s="115"/>
    </row>
    <row r="152" spans="1:26" x14ac:dyDescent="0.3">
      <c r="A152" s="156"/>
      <c r="B152" s="173"/>
      <c r="C152" s="173"/>
      <c r="D152" s="173"/>
      <c r="E152" s="173"/>
      <c r="F152" s="173"/>
      <c r="G152" s="5"/>
      <c r="H152" s="5"/>
      <c r="I152" s="5"/>
      <c r="J152" s="5"/>
      <c r="K152" s="93"/>
      <c r="L152" s="152"/>
      <c r="S152" s="151"/>
      <c r="T152" s="151"/>
      <c r="U152" s="151"/>
      <c r="V152" s="151"/>
      <c r="W152" s="151"/>
      <c r="X152" s="151"/>
      <c r="Y152" s="151"/>
    </row>
    <row r="153" spans="1:26" x14ac:dyDescent="0.3">
      <c r="A153" s="156"/>
      <c r="B153" s="173"/>
      <c r="C153" s="173"/>
      <c r="D153" s="173"/>
      <c r="E153" s="173"/>
      <c r="F153" s="173"/>
      <c r="G153" s="5"/>
      <c r="H153" s="5"/>
      <c r="I153" s="5"/>
      <c r="J153" s="5"/>
      <c r="K153" s="93"/>
      <c r="R153" s="39"/>
      <c r="S153" s="151"/>
      <c r="T153" s="151"/>
      <c r="U153" s="151"/>
      <c r="V153" s="151"/>
      <c r="W153" s="151"/>
      <c r="X153" s="126"/>
      <c r="Y153" s="126"/>
      <c r="Z153" s="39"/>
    </row>
    <row r="154" spans="1:26" x14ac:dyDescent="0.3">
      <c r="A154" s="176"/>
      <c r="B154" s="173"/>
      <c r="C154" s="173"/>
      <c r="D154" s="173"/>
      <c r="E154" s="173"/>
      <c r="F154" s="173"/>
      <c r="G154" s="5"/>
      <c r="H154" s="5"/>
      <c r="I154" s="5"/>
      <c r="J154" s="5"/>
      <c r="K154" s="93"/>
      <c r="R154" s="39"/>
      <c r="S154" s="17"/>
      <c r="T154" s="17"/>
      <c r="U154" s="17"/>
      <c r="V154" s="17"/>
      <c r="W154" s="17"/>
      <c r="X154" s="17"/>
      <c r="Y154" s="17"/>
      <c r="Z154" s="39"/>
    </row>
    <row r="155" spans="1:26" ht="15" thickBot="1" x14ac:dyDescent="0.35">
      <c r="A155" s="176"/>
      <c r="B155" s="173" t="s">
        <v>298</v>
      </c>
      <c r="C155" s="173" t="s">
        <v>12</v>
      </c>
      <c r="D155" s="173" t="s">
        <v>13</v>
      </c>
      <c r="E155" s="173" t="s">
        <v>14</v>
      </c>
      <c r="F155" s="173" t="s">
        <v>15</v>
      </c>
      <c r="G155" s="5" t="s">
        <v>24</v>
      </c>
      <c r="H155" s="5" t="s">
        <v>25</v>
      </c>
      <c r="I155" s="5" t="s">
        <v>26</v>
      </c>
      <c r="J155" s="5" t="s">
        <v>27</v>
      </c>
      <c r="K155" s="93"/>
      <c r="R155" s="39"/>
      <c r="S155" s="151"/>
      <c r="T155" s="151"/>
      <c r="U155" s="151"/>
      <c r="V155" s="151"/>
      <c r="W155" s="151"/>
      <c r="X155" s="151"/>
      <c r="Y155" s="151"/>
      <c r="Z155" s="39"/>
    </row>
    <row r="156" spans="1:26" s="13" customFormat="1" x14ac:dyDescent="0.3">
      <c r="A156" s="24"/>
      <c r="B156" s="14" t="s">
        <v>61</v>
      </c>
      <c r="C156" s="179">
        <f>COUNTIF($S$12:$T$148,"Polen")</f>
        <v>7</v>
      </c>
      <c r="D156" s="124">
        <f t="shared" ref="D156:D171" si="20">SUMPRODUCT(($S$12:$T$148=B156)*($X$12:$Y$148=3))</f>
        <v>6</v>
      </c>
      <c r="E156" s="124">
        <f t="shared" ref="E156:E171" si="21">SUMPRODUCT(($S$12:$T$148=B156)*($X$12:$Y$148=1))</f>
        <v>0</v>
      </c>
      <c r="F156" s="124">
        <f t="shared" ref="F156:F171" si="22">SUMPRODUCT(($S$12:$T$148=B156)*($X$12:$Y$148=2))</f>
        <v>1</v>
      </c>
      <c r="G156" s="124">
        <f t="shared" ref="G156:G171" si="23">SUMPRODUCT(($S$12:$S$148=B156)*($U$12:$U$148))+SUMPRODUCT(($T$12:$T$148=B156)*($V$12:$V$148))</f>
        <v>16</v>
      </c>
      <c r="H156" s="124">
        <f t="shared" ref="H156:H171" si="24">SUMPRODUCT(($S$12:$S$148=B156)*($V$12:$V$148))+SUMPRODUCT(($T$12:$T$148=B156)*($U$12:$U$148))</f>
        <v>5</v>
      </c>
      <c r="I156" s="15">
        <f t="shared" ref="I156:I171" si="25">(D156*2)+E156</f>
        <v>12</v>
      </c>
      <c r="J156" s="16">
        <f t="shared" ref="J156:J171" si="26">(F156*2)+E156</f>
        <v>2</v>
      </c>
      <c r="K156" s="35"/>
      <c r="L156" s="10"/>
      <c r="S156" s="152"/>
      <c r="T156" s="152"/>
      <c r="U156" s="152"/>
      <c r="V156" s="152"/>
      <c r="W156" s="152"/>
      <c r="X156" s="152"/>
      <c r="Y156" s="152"/>
    </row>
    <row r="157" spans="1:26" s="13" customFormat="1" x14ac:dyDescent="0.3">
      <c r="A157" s="24"/>
      <c r="B157" s="21" t="s">
        <v>88</v>
      </c>
      <c r="C157" s="17">
        <f>COUNTIF($S$12:$T$148,"BRD")</f>
        <v>7</v>
      </c>
      <c r="D157" s="43">
        <f t="shared" si="20"/>
        <v>6</v>
      </c>
      <c r="E157" s="43">
        <f t="shared" si="21"/>
        <v>0</v>
      </c>
      <c r="F157" s="43">
        <f t="shared" si="22"/>
        <v>1</v>
      </c>
      <c r="G157" s="43">
        <f t="shared" si="23"/>
        <v>13</v>
      </c>
      <c r="H157" s="43">
        <f t="shared" si="24"/>
        <v>4</v>
      </c>
      <c r="I157" s="18">
        <f t="shared" si="25"/>
        <v>12</v>
      </c>
      <c r="J157" s="22">
        <f t="shared" si="26"/>
        <v>2</v>
      </c>
      <c r="K157" s="35"/>
      <c r="L157" s="10"/>
      <c r="R157" s="95"/>
      <c r="S157" s="17"/>
      <c r="T157" s="17"/>
      <c r="U157" s="17"/>
      <c r="V157" s="17"/>
      <c r="W157" s="17"/>
      <c r="X157" s="17"/>
      <c r="Y157" s="17"/>
      <c r="Z157" s="95"/>
    </row>
    <row r="158" spans="1:26" s="13" customFormat="1" x14ac:dyDescent="0.3">
      <c r="A158" s="24"/>
      <c r="B158" s="21" t="s">
        <v>63</v>
      </c>
      <c r="C158" s="17">
        <f>COUNTIF($S$12:$T$148,"Niederlande")</f>
        <v>7</v>
      </c>
      <c r="D158" s="43">
        <f t="shared" si="20"/>
        <v>5</v>
      </c>
      <c r="E158" s="43">
        <f t="shared" si="21"/>
        <v>1</v>
      </c>
      <c r="F158" s="43">
        <f t="shared" si="22"/>
        <v>1</v>
      </c>
      <c r="G158" s="43">
        <f t="shared" si="23"/>
        <v>15</v>
      </c>
      <c r="H158" s="43">
        <f t="shared" si="24"/>
        <v>3</v>
      </c>
      <c r="I158" s="18">
        <f t="shared" si="25"/>
        <v>11</v>
      </c>
      <c r="J158" s="22">
        <f t="shared" si="26"/>
        <v>3</v>
      </c>
      <c r="K158" s="35"/>
      <c r="L158" s="10"/>
      <c r="S158" s="152"/>
      <c r="T158" s="152"/>
      <c r="U158" s="152"/>
      <c r="V158" s="152"/>
      <c r="W158" s="152"/>
      <c r="X158" s="152"/>
      <c r="Y158" s="152"/>
    </row>
    <row r="159" spans="1:26" s="13" customFormat="1" x14ac:dyDescent="0.3">
      <c r="A159" s="24"/>
      <c r="B159" s="21" t="s">
        <v>9</v>
      </c>
      <c r="C159" s="17">
        <f>COUNTIF($S$12:$T$148,"Brasilien")</f>
        <v>7</v>
      </c>
      <c r="D159" s="43">
        <f t="shared" si="20"/>
        <v>3</v>
      </c>
      <c r="E159" s="43">
        <f t="shared" si="21"/>
        <v>2</v>
      </c>
      <c r="F159" s="43">
        <f t="shared" si="22"/>
        <v>2</v>
      </c>
      <c r="G159" s="43">
        <f t="shared" si="23"/>
        <v>6</v>
      </c>
      <c r="H159" s="43">
        <f t="shared" si="24"/>
        <v>4</v>
      </c>
      <c r="I159" s="18">
        <f t="shared" si="25"/>
        <v>8</v>
      </c>
      <c r="J159" s="22">
        <f t="shared" si="26"/>
        <v>6</v>
      </c>
      <c r="K159" s="35"/>
      <c r="L159" s="10"/>
      <c r="R159" s="95"/>
      <c r="S159" s="17"/>
      <c r="T159" s="17"/>
      <c r="U159" s="17"/>
      <c r="V159" s="17"/>
      <c r="W159" s="17"/>
      <c r="X159" s="143"/>
      <c r="Y159" s="143"/>
      <c r="Z159" s="95"/>
    </row>
    <row r="160" spans="1:26" s="13" customFormat="1" x14ac:dyDescent="0.3">
      <c r="A160" s="24"/>
      <c r="B160" s="21" t="s">
        <v>41</v>
      </c>
      <c r="C160" s="17">
        <f>COUNTIF($S$12:$T$148,"Schweden")</f>
        <v>6</v>
      </c>
      <c r="D160" s="43">
        <f t="shared" si="20"/>
        <v>2</v>
      </c>
      <c r="E160" s="43">
        <f t="shared" si="21"/>
        <v>2</v>
      </c>
      <c r="F160" s="43">
        <f t="shared" si="22"/>
        <v>2</v>
      </c>
      <c r="G160" s="43">
        <f t="shared" si="23"/>
        <v>7</v>
      </c>
      <c r="H160" s="43">
        <f t="shared" si="24"/>
        <v>6</v>
      </c>
      <c r="I160" s="18">
        <f t="shared" si="25"/>
        <v>6</v>
      </c>
      <c r="J160" s="22">
        <f t="shared" si="26"/>
        <v>6</v>
      </c>
      <c r="K160" s="35"/>
      <c r="L160" s="10"/>
      <c r="S160" s="152"/>
      <c r="T160" s="152"/>
      <c r="U160" s="152"/>
      <c r="V160" s="152"/>
      <c r="W160" s="152"/>
      <c r="X160" s="152"/>
      <c r="Y160" s="152"/>
    </row>
    <row r="161" spans="1:26" s="13" customFormat="1" x14ac:dyDescent="0.3">
      <c r="A161" s="24"/>
      <c r="B161" s="21" t="s">
        <v>151</v>
      </c>
      <c r="C161" s="17">
        <f>COUNTIF($S$12:$T$148,"DDR")</f>
        <v>6</v>
      </c>
      <c r="D161" s="43">
        <f t="shared" si="20"/>
        <v>2</v>
      </c>
      <c r="E161" s="43">
        <f t="shared" si="21"/>
        <v>2</v>
      </c>
      <c r="F161" s="43">
        <f t="shared" si="22"/>
        <v>2</v>
      </c>
      <c r="G161" s="43">
        <f t="shared" si="23"/>
        <v>5</v>
      </c>
      <c r="H161" s="43">
        <f t="shared" si="24"/>
        <v>5</v>
      </c>
      <c r="I161" s="18">
        <f t="shared" si="25"/>
        <v>6</v>
      </c>
      <c r="J161" s="22">
        <f t="shared" si="26"/>
        <v>6</v>
      </c>
      <c r="K161" s="35"/>
      <c r="L161" s="10"/>
      <c r="R161" s="95"/>
      <c r="S161" s="151"/>
      <c r="T161" s="151"/>
      <c r="U161" s="151"/>
      <c r="V161" s="151"/>
      <c r="W161" s="151"/>
      <c r="X161" s="151"/>
      <c r="Y161" s="151"/>
      <c r="Z161" s="95"/>
    </row>
    <row r="162" spans="1:26" s="13" customFormat="1" x14ac:dyDescent="0.3">
      <c r="A162" s="24"/>
      <c r="B162" s="21" t="s">
        <v>81</v>
      </c>
      <c r="C162" s="17">
        <f>COUNTIF($S$12:$T$148,"Schottland")</f>
        <v>3</v>
      </c>
      <c r="D162" s="43">
        <f t="shared" si="20"/>
        <v>1</v>
      </c>
      <c r="E162" s="43">
        <f t="shared" si="21"/>
        <v>2</v>
      </c>
      <c r="F162" s="43">
        <f t="shared" si="22"/>
        <v>0</v>
      </c>
      <c r="G162" s="43">
        <f t="shared" si="23"/>
        <v>3</v>
      </c>
      <c r="H162" s="43">
        <f t="shared" si="24"/>
        <v>1</v>
      </c>
      <c r="I162" s="18">
        <f t="shared" si="25"/>
        <v>4</v>
      </c>
      <c r="J162" s="22">
        <f t="shared" si="26"/>
        <v>2</v>
      </c>
      <c r="K162" s="35"/>
      <c r="L162" s="10"/>
      <c r="R162" s="95"/>
      <c r="S162" s="151"/>
      <c r="T162" s="151"/>
      <c r="U162" s="151"/>
      <c r="V162" s="151"/>
      <c r="W162" s="151"/>
      <c r="X162" s="151"/>
      <c r="Y162" s="151"/>
      <c r="Z162" s="95"/>
    </row>
    <row r="163" spans="1:26" s="13" customFormat="1" x14ac:dyDescent="0.3">
      <c r="A163" s="24"/>
      <c r="B163" s="21" t="s">
        <v>8</v>
      </c>
      <c r="C163" s="17">
        <f>COUNTIF($S$12:$T$148,"Jugoslawien")</f>
        <v>6</v>
      </c>
      <c r="D163" s="43">
        <f t="shared" si="20"/>
        <v>1</v>
      </c>
      <c r="E163" s="43">
        <f t="shared" si="21"/>
        <v>2</v>
      </c>
      <c r="F163" s="43">
        <f t="shared" si="22"/>
        <v>3</v>
      </c>
      <c r="G163" s="43">
        <f t="shared" si="23"/>
        <v>12</v>
      </c>
      <c r="H163" s="43">
        <f t="shared" si="24"/>
        <v>7</v>
      </c>
      <c r="I163" s="18">
        <f t="shared" si="25"/>
        <v>4</v>
      </c>
      <c r="J163" s="22">
        <f t="shared" si="26"/>
        <v>8</v>
      </c>
      <c r="K163" s="35"/>
      <c r="L163" s="10"/>
      <c r="R163" s="95"/>
      <c r="S163" s="151"/>
      <c r="T163" s="151"/>
      <c r="U163" s="151"/>
      <c r="V163" s="151"/>
      <c r="W163" s="151"/>
      <c r="X163" s="151"/>
      <c r="Y163" s="151"/>
      <c r="Z163" s="95"/>
    </row>
    <row r="164" spans="1:26" s="13" customFormat="1" x14ac:dyDescent="0.3">
      <c r="A164" s="24"/>
      <c r="B164" s="21" t="s">
        <v>5</v>
      </c>
      <c r="C164" s="17">
        <f>COUNTIF($S$12:$T$148,"Argentinien")</f>
        <v>6</v>
      </c>
      <c r="D164" s="43">
        <f t="shared" si="20"/>
        <v>1</v>
      </c>
      <c r="E164" s="43">
        <f t="shared" si="21"/>
        <v>2</v>
      </c>
      <c r="F164" s="43">
        <f t="shared" si="22"/>
        <v>3</v>
      </c>
      <c r="G164" s="43">
        <f t="shared" si="23"/>
        <v>9</v>
      </c>
      <c r="H164" s="43">
        <f t="shared" si="24"/>
        <v>12</v>
      </c>
      <c r="I164" s="18">
        <f t="shared" si="25"/>
        <v>4</v>
      </c>
      <c r="J164" s="22">
        <f t="shared" si="26"/>
        <v>8</v>
      </c>
      <c r="K164" s="35"/>
      <c r="L164" s="10"/>
      <c r="S164" s="139"/>
      <c r="T164" s="139"/>
      <c r="U164" s="139"/>
      <c r="V164" s="139"/>
      <c r="W164" s="139"/>
      <c r="X164" s="139"/>
      <c r="Y164" s="139"/>
    </row>
    <row r="165" spans="1:26" s="13" customFormat="1" x14ac:dyDescent="0.3">
      <c r="A165" s="24"/>
      <c r="B165" s="21" t="s">
        <v>37</v>
      </c>
      <c r="C165" s="17">
        <f>COUNTIF($S$12:$T$148,"Italien")</f>
        <v>3</v>
      </c>
      <c r="D165" s="43">
        <f t="shared" si="20"/>
        <v>1</v>
      </c>
      <c r="E165" s="43">
        <f t="shared" si="21"/>
        <v>1</v>
      </c>
      <c r="F165" s="43">
        <f t="shared" si="22"/>
        <v>1</v>
      </c>
      <c r="G165" s="43">
        <f t="shared" si="23"/>
        <v>5</v>
      </c>
      <c r="H165" s="43">
        <f t="shared" si="24"/>
        <v>4</v>
      </c>
      <c r="I165" s="18">
        <f t="shared" si="25"/>
        <v>3</v>
      </c>
      <c r="J165" s="22">
        <f t="shared" si="26"/>
        <v>3</v>
      </c>
      <c r="K165" s="35"/>
      <c r="L165" s="10"/>
      <c r="S165" s="139"/>
      <c r="T165" s="139"/>
      <c r="U165" s="139"/>
      <c r="V165" s="139"/>
      <c r="W165" s="139"/>
      <c r="X165" s="139"/>
      <c r="Y165" s="139"/>
    </row>
    <row r="166" spans="1:26" s="13" customFormat="1" x14ac:dyDescent="0.3">
      <c r="A166" s="24"/>
      <c r="B166" s="21" t="s">
        <v>125</v>
      </c>
      <c r="C166" s="17">
        <f>COUNTIF($S$12:$T$148,"Bulgarien")</f>
        <v>3</v>
      </c>
      <c r="D166" s="43">
        <f t="shared" si="20"/>
        <v>0</v>
      </c>
      <c r="E166" s="43">
        <f t="shared" si="21"/>
        <v>2</v>
      </c>
      <c r="F166" s="43">
        <f t="shared" si="22"/>
        <v>1</v>
      </c>
      <c r="G166" s="43">
        <f t="shared" si="23"/>
        <v>2</v>
      </c>
      <c r="H166" s="43">
        <f t="shared" si="24"/>
        <v>5</v>
      </c>
      <c r="I166" s="18">
        <f t="shared" si="25"/>
        <v>2</v>
      </c>
      <c r="J166" s="22">
        <f t="shared" si="26"/>
        <v>4</v>
      </c>
      <c r="K166" s="35"/>
      <c r="L166" s="10"/>
      <c r="S166" s="139"/>
      <c r="T166" s="139"/>
      <c r="U166" s="139"/>
      <c r="V166" s="139"/>
      <c r="W166" s="139"/>
      <c r="X166" s="139"/>
      <c r="Y166" s="139"/>
    </row>
    <row r="167" spans="1:26" s="13" customFormat="1" x14ac:dyDescent="0.3">
      <c r="A167" s="24"/>
      <c r="B167" s="21" t="s">
        <v>6</v>
      </c>
      <c r="C167" s="17">
        <f>COUNTIF($S$12:$T$148,"Chile")</f>
        <v>3</v>
      </c>
      <c r="D167" s="43">
        <f t="shared" si="20"/>
        <v>0</v>
      </c>
      <c r="E167" s="43">
        <f t="shared" si="21"/>
        <v>2</v>
      </c>
      <c r="F167" s="43">
        <f t="shared" si="22"/>
        <v>1</v>
      </c>
      <c r="G167" s="43">
        <f t="shared" si="23"/>
        <v>1</v>
      </c>
      <c r="H167" s="43">
        <f t="shared" si="24"/>
        <v>2</v>
      </c>
      <c r="I167" s="18">
        <f t="shared" si="25"/>
        <v>2</v>
      </c>
      <c r="J167" s="22">
        <f t="shared" si="26"/>
        <v>4</v>
      </c>
      <c r="K167" s="35"/>
      <c r="L167" s="10"/>
      <c r="R167" s="95"/>
      <c r="S167" s="151"/>
      <c r="T167" s="151"/>
      <c r="U167" s="151"/>
      <c r="V167" s="151"/>
      <c r="W167" s="151"/>
      <c r="X167" s="151"/>
      <c r="Y167" s="151"/>
      <c r="Z167" s="95"/>
    </row>
    <row r="168" spans="1:26" s="13" customFormat="1" x14ac:dyDescent="0.3">
      <c r="A168" s="24"/>
      <c r="B168" s="21" t="s">
        <v>18</v>
      </c>
      <c r="C168" s="17">
        <f>COUNTIF($S$12:$T$148,"Uruguay")</f>
        <v>3</v>
      </c>
      <c r="D168" s="43">
        <f t="shared" si="20"/>
        <v>0</v>
      </c>
      <c r="E168" s="43">
        <f t="shared" si="21"/>
        <v>1</v>
      </c>
      <c r="F168" s="43">
        <f t="shared" si="22"/>
        <v>2</v>
      </c>
      <c r="G168" s="43">
        <f t="shared" si="23"/>
        <v>1</v>
      </c>
      <c r="H168" s="43">
        <f t="shared" si="24"/>
        <v>6</v>
      </c>
      <c r="I168" s="18">
        <f t="shared" si="25"/>
        <v>1</v>
      </c>
      <c r="J168" s="22">
        <f t="shared" si="26"/>
        <v>5</v>
      </c>
      <c r="K168" s="35"/>
      <c r="L168" s="10"/>
      <c r="S168" s="139"/>
      <c r="T168" s="139"/>
      <c r="U168" s="139"/>
      <c r="V168" s="139"/>
      <c r="W168" s="139"/>
      <c r="X168" s="139"/>
      <c r="Y168" s="139"/>
    </row>
    <row r="169" spans="1:26" s="13" customFormat="1" x14ac:dyDescent="0.3">
      <c r="A169" s="24"/>
      <c r="B169" s="21" t="s">
        <v>152</v>
      </c>
      <c r="C169" s="17">
        <f>COUNTIF($S$12:$T$148,"Australien")</f>
        <v>3</v>
      </c>
      <c r="D169" s="43">
        <f t="shared" si="20"/>
        <v>0</v>
      </c>
      <c r="E169" s="43">
        <f t="shared" si="21"/>
        <v>1</v>
      </c>
      <c r="F169" s="43">
        <f t="shared" si="22"/>
        <v>2</v>
      </c>
      <c r="G169" s="43">
        <f t="shared" si="23"/>
        <v>0</v>
      </c>
      <c r="H169" s="43">
        <f t="shared" si="24"/>
        <v>5</v>
      </c>
      <c r="I169" s="18">
        <f t="shared" si="25"/>
        <v>1</v>
      </c>
      <c r="J169" s="22">
        <f t="shared" si="26"/>
        <v>5</v>
      </c>
      <c r="K169" s="35"/>
      <c r="L169" s="10"/>
      <c r="R169" s="95"/>
      <c r="S169" s="151"/>
      <c r="T169" s="151"/>
      <c r="U169" s="151"/>
      <c r="V169" s="151"/>
      <c r="W169" s="151"/>
      <c r="X169" s="151"/>
      <c r="Y169" s="151"/>
      <c r="Z169" s="95"/>
    </row>
    <row r="170" spans="1:26" s="13" customFormat="1" x14ac:dyDescent="0.3">
      <c r="A170" s="24"/>
      <c r="B170" s="21" t="s">
        <v>160</v>
      </c>
      <c r="C170" s="17">
        <f>COUNTIF($S$12:$T$148,"Haiti")</f>
        <v>3</v>
      </c>
      <c r="D170" s="43">
        <f t="shared" si="20"/>
        <v>0</v>
      </c>
      <c r="E170" s="43">
        <f t="shared" si="21"/>
        <v>0</v>
      </c>
      <c r="F170" s="43">
        <f t="shared" si="22"/>
        <v>3</v>
      </c>
      <c r="G170" s="43">
        <f t="shared" si="23"/>
        <v>2</v>
      </c>
      <c r="H170" s="43">
        <f t="shared" si="24"/>
        <v>14</v>
      </c>
      <c r="I170" s="18">
        <f t="shared" si="25"/>
        <v>0</v>
      </c>
      <c r="J170" s="22">
        <f t="shared" si="26"/>
        <v>6</v>
      </c>
      <c r="K170" s="35"/>
      <c r="L170" s="10"/>
      <c r="S170" s="139"/>
      <c r="T170" s="139"/>
      <c r="U170" s="139"/>
      <c r="V170" s="139"/>
      <c r="W170" s="139"/>
      <c r="X170" s="139"/>
      <c r="Y170" s="139"/>
    </row>
    <row r="171" spans="1:26" s="13" customFormat="1" ht="15" thickBot="1" x14ac:dyDescent="0.35">
      <c r="A171" s="24"/>
      <c r="B171" s="29" t="s">
        <v>155</v>
      </c>
      <c r="C171" s="30">
        <f>COUNTIF($S$12:$T$148,"Zaire")</f>
        <v>3</v>
      </c>
      <c r="D171" s="80">
        <f t="shared" si="20"/>
        <v>0</v>
      </c>
      <c r="E171" s="80">
        <f t="shared" si="21"/>
        <v>0</v>
      </c>
      <c r="F171" s="80">
        <f t="shared" si="22"/>
        <v>3</v>
      </c>
      <c r="G171" s="80">
        <f t="shared" si="23"/>
        <v>0</v>
      </c>
      <c r="H171" s="80">
        <f t="shared" si="24"/>
        <v>14</v>
      </c>
      <c r="I171" s="31">
        <f t="shared" si="25"/>
        <v>0</v>
      </c>
      <c r="J171" s="32">
        <f t="shared" si="26"/>
        <v>6</v>
      </c>
      <c r="K171" s="35"/>
      <c r="L171" s="10"/>
      <c r="R171" s="95"/>
      <c r="S171" s="151"/>
      <c r="T171" s="151"/>
      <c r="U171" s="151"/>
      <c r="V171" s="151"/>
      <c r="W171" s="151"/>
      <c r="X171" s="151"/>
      <c r="Y171" s="151"/>
      <c r="Z171" s="95"/>
    </row>
    <row r="172" spans="1:26" x14ac:dyDescent="0.3">
      <c r="A172" s="176"/>
      <c r="B172" s="173"/>
      <c r="C172" s="173"/>
      <c r="D172" s="173"/>
      <c r="E172" s="173"/>
      <c r="F172" s="173"/>
      <c r="G172" s="5"/>
      <c r="H172" s="5"/>
      <c r="I172" s="5"/>
      <c r="J172" s="5"/>
      <c r="K172" s="93"/>
    </row>
    <row r="173" spans="1:26" ht="15" thickBot="1" x14ac:dyDescent="0.35">
      <c r="A173" s="110"/>
      <c r="B173" s="36"/>
      <c r="C173" s="36"/>
      <c r="D173" s="36"/>
      <c r="E173" s="36"/>
      <c r="F173" s="36"/>
      <c r="G173" s="37"/>
      <c r="H173" s="37"/>
      <c r="I173" s="37"/>
      <c r="J173" s="37"/>
      <c r="K173" s="197"/>
    </row>
    <row r="174" spans="1:26" ht="15" thickTop="1" x14ac:dyDescent="0.3"/>
    <row r="176" spans="1:26" x14ac:dyDescent="0.3">
      <c r="S176" s="10"/>
      <c r="T176" s="10"/>
      <c r="U176" s="10"/>
      <c r="V176" s="10"/>
      <c r="W176" s="10"/>
      <c r="X176" s="10"/>
      <c r="Y176" s="10"/>
    </row>
  </sheetData>
  <sortState ref="A154:AA169">
    <sortCondition descending="1" ref="I154:I169"/>
    <sortCondition ref="J154:J169"/>
    <sortCondition descending="1" ref="G154:G169"/>
    <sortCondition ref="H154:H169"/>
  </sortState>
  <mergeCells count="5">
    <mergeCell ref="A2:K2"/>
    <mergeCell ref="A4:K4"/>
    <mergeCell ref="A5:K5"/>
    <mergeCell ref="C137:I137"/>
    <mergeCell ref="C146:I146"/>
  </mergeCells>
  <pageMargins left="0.7" right="0.7" top="0.78740157499999996" bottom="0.78740157499999996" header="0.3" footer="0.3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A210"/>
  <sheetViews>
    <sheetView topLeftCell="A148" workbookViewId="0">
      <selection activeCell="M164" sqref="M164"/>
    </sheetView>
  </sheetViews>
  <sheetFormatPr baseColWidth="10" defaultRowHeight="14.4" x14ac:dyDescent="0.3"/>
  <cols>
    <col min="1" max="5" width="11.77734375" style="1" customWidth="1"/>
    <col min="6" max="6" width="11.77734375" style="152" customWidth="1"/>
    <col min="7" max="10" width="11.77734375" style="2" customWidth="1"/>
    <col min="11" max="18" width="11.77734375" customWidth="1"/>
    <col min="19" max="25" width="11.77734375" style="152" customWidth="1"/>
  </cols>
  <sheetData>
    <row r="1" spans="1:27" ht="15" thickTop="1" x14ac:dyDescent="0.3">
      <c r="A1" s="106"/>
      <c r="B1" s="25"/>
      <c r="C1" s="25"/>
      <c r="D1" s="25"/>
      <c r="E1" s="25"/>
      <c r="F1" s="25"/>
      <c r="G1" s="26"/>
      <c r="H1" s="26"/>
      <c r="I1" s="26"/>
      <c r="J1" s="26"/>
      <c r="K1" s="107"/>
      <c r="S1" s="114">
        <v>1</v>
      </c>
      <c r="T1" s="115">
        <v>2</v>
      </c>
      <c r="U1" s="115">
        <v>3</v>
      </c>
      <c r="V1" s="115">
        <v>4</v>
      </c>
      <c r="W1" s="115">
        <v>5</v>
      </c>
      <c r="X1" s="115">
        <v>6</v>
      </c>
      <c r="Y1" s="116">
        <v>7</v>
      </c>
    </row>
    <row r="2" spans="1:27" ht="46.2" x14ac:dyDescent="0.85">
      <c r="A2" s="425" t="s">
        <v>165</v>
      </c>
      <c r="B2" s="426"/>
      <c r="C2" s="426"/>
      <c r="D2" s="426"/>
      <c r="E2" s="426"/>
      <c r="F2" s="426"/>
      <c r="G2" s="426"/>
      <c r="H2" s="426"/>
      <c r="I2" s="426"/>
      <c r="J2" s="426"/>
      <c r="K2" s="437"/>
      <c r="S2" s="117"/>
      <c r="T2" s="151"/>
      <c r="U2" s="151"/>
      <c r="V2" s="151"/>
      <c r="W2" s="151"/>
      <c r="X2" s="151"/>
      <c r="Y2" s="118"/>
    </row>
    <row r="3" spans="1:27" x14ac:dyDescent="0.3">
      <c r="A3" s="176"/>
      <c r="B3" s="173"/>
      <c r="C3" s="173"/>
      <c r="D3" s="173"/>
      <c r="E3" s="173"/>
      <c r="F3" s="173"/>
      <c r="G3" s="5"/>
      <c r="H3" s="5"/>
      <c r="I3" s="5"/>
      <c r="J3" s="5"/>
      <c r="K3" s="108"/>
      <c r="S3" s="117"/>
      <c r="T3" s="151"/>
      <c r="U3" s="151"/>
      <c r="V3" s="151"/>
      <c r="W3" s="151"/>
      <c r="X3" s="151"/>
      <c r="Y3" s="118"/>
    </row>
    <row r="4" spans="1:27" ht="28.8" x14ac:dyDescent="0.55000000000000004">
      <c r="A4" s="428" t="s">
        <v>169</v>
      </c>
      <c r="B4" s="429"/>
      <c r="C4" s="429"/>
      <c r="D4" s="429"/>
      <c r="E4" s="429"/>
      <c r="F4" s="429"/>
      <c r="G4" s="429"/>
      <c r="H4" s="429"/>
      <c r="I4" s="429"/>
      <c r="J4" s="429"/>
      <c r="K4" s="438"/>
      <c r="S4" s="117"/>
      <c r="T4" s="151"/>
      <c r="U4" s="151"/>
      <c r="V4" s="151"/>
      <c r="W4" s="151"/>
      <c r="X4" s="151"/>
      <c r="Y4" s="118"/>
    </row>
    <row r="5" spans="1:27" ht="21" x14ac:dyDescent="0.4">
      <c r="A5" s="430" t="s">
        <v>338</v>
      </c>
      <c r="B5" s="431"/>
      <c r="C5" s="431"/>
      <c r="D5" s="431"/>
      <c r="E5" s="431"/>
      <c r="F5" s="431"/>
      <c r="G5" s="431"/>
      <c r="H5" s="431"/>
      <c r="I5" s="431"/>
      <c r="J5" s="431"/>
      <c r="K5" s="439"/>
      <c r="S5" s="117"/>
      <c r="T5" s="151"/>
      <c r="U5" s="151"/>
      <c r="V5" s="151"/>
      <c r="W5" s="151"/>
      <c r="X5" s="151"/>
      <c r="Y5" s="118"/>
    </row>
    <row r="6" spans="1:27" x14ac:dyDescent="0.3">
      <c r="A6" s="176"/>
      <c r="B6" s="173"/>
      <c r="C6" s="173"/>
      <c r="D6" s="173"/>
      <c r="E6" s="173"/>
      <c r="F6" s="173"/>
      <c r="G6" s="5"/>
      <c r="H6" s="5"/>
      <c r="I6" s="5"/>
      <c r="J6" s="5"/>
      <c r="K6" s="108"/>
      <c r="S6" s="117"/>
      <c r="T6" s="151"/>
      <c r="U6" s="151"/>
      <c r="V6" s="151"/>
      <c r="W6" s="151"/>
      <c r="X6" s="151"/>
      <c r="Y6" s="118"/>
    </row>
    <row r="7" spans="1:27" x14ac:dyDescent="0.3">
      <c r="A7" s="176"/>
      <c r="B7" s="173"/>
      <c r="C7" s="173"/>
      <c r="D7" s="173"/>
      <c r="E7" s="173"/>
      <c r="F7" s="173"/>
      <c r="G7" s="5"/>
      <c r="H7" s="5"/>
      <c r="I7" s="5"/>
      <c r="J7" s="5"/>
      <c r="K7" s="108"/>
      <c r="S7" s="117"/>
      <c r="T7" s="151"/>
      <c r="U7" s="151"/>
      <c r="V7" s="151"/>
      <c r="W7" s="151"/>
      <c r="X7" s="151"/>
      <c r="Y7" s="118"/>
    </row>
    <row r="8" spans="1:27" x14ac:dyDescent="0.3">
      <c r="A8" s="176"/>
      <c r="B8" s="173"/>
      <c r="C8" s="173"/>
      <c r="D8" s="173"/>
      <c r="E8" s="173"/>
      <c r="F8" s="173"/>
      <c r="G8" s="5"/>
      <c r="H8" s="5"/>
      <c r="I8" s="5"/>
      <c r="J8" s="5"/>
      <c r="K8" s="108"/>
      <c r="S8" s="117"/>
      <c r="T8" s="151"/>
      <c r="U8" s="151"/>
      <c r="V8" s="151"/>
      <c r="W8" s="151"/>
      <c r="X8" s="151"/>
      <c r="Y8" s="118"/>
    </row>
    <row r="9" spans="1:27" x14ac:dyDescent="0.3">
      <c r="A9" s="176"/>
      <c r="B9" s="173"/>
      <c r="C9" s="173"/>
      <c r="D9" s="173"/>
      <c r="E9" s="173"/>
      <c r="F9" s="173"/>
      <c r="G9" s="5"/>
      <c r="H9" s="5"/>
      <c r="I9" s="5"/>
      <c r="J9" s="5"/>
      <c r="K9" s="108"/>
      <c r="S9" s="117"/>
      <c r="T9" s="151"/>
      <c r="U9" s="151"/>
      <c r="V9" s="151"/>
      <c r="W9" s="151"/>
      <c r="X9" s="151"/>
      <c r="Y9" s="118"/>
    </row>
    <row r="10" spans="1:27" ht="21" x14ac:dyDescent="0.4">
      <c r="A10" s="176"/>
      <c r="B10" s="173"/>
      <c r="C10" s="173"/>
      <c r="D10" s="173"/>
      <c r="E10" s="173"/>
      <c r="F10" s="172" t="s">
        <v>2</v>
      </c>
      <c r="G10" s="5"/>
      <c r="H10" s="5"/>
      <c r="I10" s="5"/>
      <c r="J10" s="5"/>
      <c r="K10" s="108"/>
      <c r="S10" s="117"/>
      <c r="T10" s="151"/>
      <c r="U10" s="151"/>
      <c r="V10" s="151"/>
      <c r="W10" s="151"/>
      <c r="X10" s="151"/>
      <c r="Y10" s="118"/>
    </row>
    <row r="11" spans="1:27" x14ac:dyDescent="0.3">
      <c r="A11" s="176"/>
      <c r="B11" s="28"/>
      <c r="C11" s="173"/>
      <c r="D11" s="173"/>
      <c r="E11" s="173"/>
      <c r="F11" s="173"/>
      <c r="G11" s="5"/>
      <c r="H11" s="5"/>
      <c r="I11" s="5"/>
      <c r="J11" s="5"/>
      <c r="K11" s="108"/>
      <c r="S11" s="117"/>
      <c r="T11" s="151"/>
      <c r="U11" s="151"/>
      <c r="V11" s="151"/>
      <c r="W11" s="151"/>
      <c r="X11" s="151"/>
      <c r="Y11" s="118"/>
    </row>
    <row r="12" spans="1:27" x14ac:dyDescent="0.3">
      <c r="A12" s="176"/>
      <c r="B12" s="173"/>
      <c r="C12" s="40">
        <v>28643</v>
      </c>
      <c r="D12" s="33" t="s">
        <v>3</v>
      </c>
      <c r="E12" s="33" t="s">
        <v>37</v>
      </c>
      <c r="F12" s="33">
        <v>1</v>
      </c>
      <c r="G12" s="33">
        <v>2</v>
      </c>
      <c r="H12" s="173"/>
      <c r="I12" s="5" t="s">
        <v>174</v>
      </c>
      <c r="J12" s="5"/>
      <c r="K12" s="108"/>
      <c r="S12" s="117" t="s">
        <v>3</v>
      </c>
      <c r="T12" s="151" t="s">
        <v>37</v>
      </c>
      <c r="U12" s="151">
        <v>1</v>
      </c>
      <c r="V12" s="151">
        <v>2</v>
      </c>
      <c r="W12" s="151"/>
      <c r="X12" s="126">
        <f t="shared" ref="X12:X17" si="0">(IF(U12&gt;V12,3,IF(U12=V12,1,2)))</f>
        <v>2</v>
      </c>
      <c r="Y12" s="125">
        <f t="shared" ref="Y12:Y17" si="1">(IF(V12&gt;U12,3,IF(U12=V12,1,2)))</f>
        <v>3</v>
      </c>
      <c r="AA12" t="s">
        <v>5</v>
      </c>
    </row>
    <row r="13" spans="1:27" ht="15" thickBot="1" x14ac:dyDescent="0.35">
      <c r="A13" s="176"/>
      <c r="B13" s="173"/>
      <c r="C13" s="58"/>
      <c r="D13" s="59"/>
      <c r="E13" s="59"/>
      <c r="F13" s="59"/>
      <c r="G13" s="59"/>
      <c r="H13" s="178"/>
      <c r="I13" s="8"/>
      <c r="J13" s="5"/>
      <c r="K13" s="108"/>
      <c r="S13" s="117" t="s">
        <v>32</v>
      </c>
      <c r="T13" s="151" t="s">
        <v>5</v>
      </c>
      <c r="U13" s="151">
        <v>1</v>
      </c>
      <c r="V13" s="151">
        <v>2</v>
      </c>
      <c r="W13" s="151"/>
      <c r="X13" s="126">
        <f t="shared" si="0"/>
        <v>2</v>
      </c>
      <c r="Y13" s="125">
        <f t="shared" si="1"/>
        <v>3</v>
      </c>
      <c r="AA13" t="s">
        <v>9</v>
      </c>
    </row>
    <row r="14" spans="1:27" x14ac:dyDescent="0.3">
      <c r="A14" s="176"/>
      <c r="B14" s="173"/>
      <c r="C14" s="40">
        <v>28643</v>
      </c>
      <c r="D14" s="33" t="s">
        <v>32</v>
      </c>
      <c r="E14" s="33" t="s">
        <v>5</v>
      </c>
      <c r="F14" s="33">
        <v>1</v>
      </c>
      <c r="G14" s="33">
        <v>2</v>
      </c>
      <c r="H14" s="173"/>
      <c r="I14" s="5" t="s">
        <v>175</v>
      </c>
      <c r="J14" s="5"/>
      <c r="K14" s="108"/>
      <c r="S14" s="117" t="s">
        <v>37</v>
      </c>
      <c r="T14" s="151" t="s">
        <v>32</v>
      </c>
      <c r="U14" s="151">
        <v>3</v>
      </c>
      <c r="V14" s="151">
        <v>1</v>
      </c>
      <c r="W14" s="151"/>
      <c r="X14" s="126">
        <f t="shared" si="0"/>
        <v>3</v>
      </c>
      <c r="Y14" s="125">
        <f t="shared" si="1"/>
        <v>2</v>
      </c>
      <c r="AA14" t="s">
        <v>37</v>
      </c>
    </row>
    <row r="15" spans="1:27" ht="15" thickBot="1" x14ac:dyDescent="0.35">
      <c r="A15" s="176"/>
      <c r="B15" s="173"/>
      <c r="C15" s="58"/>
      <c r="D15" s="59"/>
      <c r="E15" s="59"/>
      <c r="F15" s="59"/>
      <c r="G15" s="59"/>
      <c r="H15" s="178"/>
      <c r="I15" s="8"/>
      <c r="J15" s="5"/>
      <c r="K15" s="108"/>
      <c r="S15" s="117" t="s">
        <v>5</v>
      </c>
      <c r="T15" s="151" t="s">
        <v>3</v>
      </c>
      <c r="U15" s="151">
        <v>2</v>
      </c>
      <c r="V15" s="151">
        <v>1</v>
      </c>
      <c r="W15" s="151"/>
      <c r="X15" s="126">
        <f t="shared" si="0"/>
        <v>3</v>
      </c>
      <c r="Y15" s="125">
        <f t="shared" si="1"/>
        <v>2</v>
      </c>
      <c r="AA15" t="s">
        <v>63</v>
      </c>
    </row>
    <row r="16" spans="1:27" x14ac:dyDescent="0.3">
      <c r="A16" s="176"/>
      <c r="B16" s="173"/>
      <c r="C16" s="40">
        <v>28647</v>
      </c>
      <c r="D16" s="33" t="s">
        <v>37</v>
      </c>
      <c r="E16" s="33" t="s">
        <v>32</v>
      </c>
      <c r="F16" s="33">
        <v>3</v>
      </c>
      <c r="G16" s="33">
        <v>1</v>
      </c>
      <c r="H16" s="173"/>
      <c r="I16" s="5" t="s">
        <v>174</v>
      </c>
      <c r="J16" s="5"/>
      <c r="K16" s="108"/>
      <c r="S16" s="117" t="s">
        <v>3</v>
      </c>
      <c r="T16" s="151" t="s">
        <v>32</v>
      </c>
      <c r="U16" s="151">
        <v>3</v>
      </c>
      <c r="V16" s="151">
        <v>1</v>
      </c>
      <c r="W16" s="151"/>
      <c r="X16" s="126">
        <f t="shared" si="0"/>
        <v>3</v>
      </c>
      <c r="Y16" s="125">
        <f t="shared" si="1"/>
        <v>2</v>
      </c>
      <c r="AA16" t="s">
        <v>61</v>
      </c>
    </row>
    <row r="17" spans="1:27" ht="15" thickBot="1" x14ac:dyDescent="0.35">
      <c r="A17" s="176"/>
      <c r="B17" s="173"/>
      <c r="C17" s="58"/>
      <c r="D17" s="59"/>
      <c r="E17" s="59"/>
      <c r="F17" s="59"/>
      <c r="G17" s="59"/>
      <c r="H17" s="178"/>
      <c r="I17" s="8"/>
      <c r="J17" s="5"/>
      <c r="K17" s="108"/>
      <c r="S17" s="117" t="s">
        <v>37</v>
      </c>
      <c r="T17" s="163" t="s">
        <v>5</v>
      </c>
      <c r="U17" s="163">
        <v>1</v>
      </c>
      <c r="V17" s="163">
        <v>0</v>
      </c>
      <c r="W17" s="163"/>
      <c r="X17" s="126">
        <f t="shared" si="0"/>
        <v>3</v>
      </c>
      <c r="Y17" s="125">
        <f t="shared" si="1"/>
        <v>2</v>
      </c>
      <c r="AA17" t="s">
        <v>88</v>
      </c>
    </row>
    <row r="18" spans="1:27" x14ac:dyDescent="0.3">
      <c r="A18" s="176"/>
      <c r="B18" s="173"/>
      <c r="C18" s="40">
        <v>28647</v>
      </c>
      <c r="D18" s="33" t="s">
        <v>5</v>
      </c>
      <c r="E18" s="33" t="s">
        <v>3</v>
      </c>
      <c r="F18" s="33">
        <v>2</v>
      </c>
      <c r="G18" s="33">
        <v>1</v>
      </c>
      <c r="H18" s="173"/>
      <c r="I18" s="5" t="s">
        <v>175</v>
      </c>
      <c r="J18" s="5"/>
      <c r="K18" s="108"/>
      <c r="S18" s="117"/>
      <c r="T18" s="163"/>
      <c r="U18" s="163"/>
      <c r="V18" s="163"/>
      <c r="W18" s="163"/>
      <c r="X18" s="163"/>
      <c r="Y18" s="118"/>
      <c r="AA18" t="s">
        <v>29</v>
      </c>
    </row>
    <row r="19" spans="1:27" ht="15" thickBot="1" x14ac:dyDescent="0.35">
      <c r="A19" s="176"/>
      <c r="B19" s="173"/>
      <c r="C19" s="58"/>
      <c r="D19" s="59"/>
      <c r="E19" s="59"/>
      <c r="F19" s="59"/>
      <c r="G19" s="59"/>
      <c r="H19" s="178"/>
      <c r="I19" s="8"/>
      <c r="J19" s="5"/>
      <c r="K19" s="108"/>
      <c r="S19" s="117"/>
      <c r="T19" s="163"/>
      <c r="U19" s="163"/>
      <c r="V19" s="163"/>
      <c r="W19" s="163"/>
      <c r="X19" s="163"/>
      <c r="Y19" s="118"/>
      <c r="AA19" t="s">
        <v>17</v>
      </c>
    </row>
    <row r="20" spans="1:27" x14ac:dyDescent="0.3">
      <c r="A20" s="176"/>
      <c r="B20" s="173"/>
      <c r="C20" s="40">
        <v>28651</v>
      </c>
      <c r="D20" s="33" t="s">
        <v>3</v>
      </c>
      <c r="E20" s="33" t="s">
        <v>32</v>
      </c>
      <c r="F20" s="33">
        <v>3</v>
      </c>
      <c r="G20" s="33">
        <v>1</v>
      </c>
      <c r="H20" s="173"/>
      <c r="I20" s="5" t="s">
        <v>174</v>
      </c>
      <c r="J20" s="5"/>
      <c r="K20" s="108"/>
      <c r="S20" s="117"/>
      <c r="T20" s="163"/>
      <c r="U20" s="163"/>
      <c r="V20" s="163"/>
      <c r="W20" s="163"/>
      <c r="X20" s="163"/>
      <c r="Y20" s="118"/>
      <c r="AA20" t="s">
        <v>81</v>
      </c>
    </row>
    <row r="21" spans="1:27" ht="15" thickBot="1" x14ac:dyDescent="0.35">
      <c r="A21" s="176"/>
      <c r="B21" s="173"/>
      <c r="C21" s="58"/>
      <c r="D21" s="59"/>
      <c r="E21" s="59"/>
      <c r="F21" s="59"/>
      <c r="G21" s="59"/>
      <c r="H21" s="178"/>
      <c r="I21" s="8"/>
      <c r="J21" s="5"/>
      <c r="K21" s="108"/>
      <c r="S21" s="117"/>
      <c r="T21" s="163"/>
      <c r="U21" s="163"/>
      <c r="V21" s="163"/>
      <c r="W21" s="163"/>
      <c r="X21" s="163"/>
      <c r="Y21" s="118"/>
      <c r="AA21" t="s">
        <v>176</v>
      </c>
    </row>
    <row r="22" spans="1:27" x14ac:dyDescent="0.3">
      <c r="A22" s="176"/>
      <c r="B22" s="173"/>
      <c r="C22" s="40">
        <v>28651</v>
      </c>
      <c r="D22" s="33" t="s">
        <v>37</v>
      </c>
      <c r="E22" s="33" t="s">
        <v>5</v>
      </c>
      <c r="F22" s="33">
        <v>1</v>
      </c>
      <c r="G22" s="33">
        <v>0</v>
      </c>
      <c r="H22" s="173"/>
      <c r="I22" s="5" t="s">
        <v>175</v>
      </c>
      <c r="J22" s="5"/>
      <c r="K22" s="108"/>
      <c r="S22" s="117"/>
      <c r="T22" s="163"/>
      <c r="U22" s="163"/>
      <c r="V22" s="163"/>
      <c r="W22" s="163"/>
      <c r="X22" s="163"/>
      <c r="Y22" s="118"/>
      <c r="AA22" t="s">
        <v>35</v>
      </c>
    </row>
    <row r="23" spans="1:27" x14ac:dyDescent="0.3">
      <c r="A23" s="156"/>
      <c r="B23" s="173"/>
      <c r="C23" s="173"/>
      <c r="D23" s="33"/>
      <c r="E23" s="33"/>
      <c r="F23" s="33" t="s">
        <v>281</v>
      </c>
      <c r="G23" s="309" t="s">
        <v>282</v>
      </c>
      <c r="H23" s="5"/>
      <c r="I23" s="5"/>
      <c r="J23" s="5"/>
      <c r="K23" s="108"/>
      <c r="S23" s="117"/>
      <c r="T23" s="163"/>
      <c r="U23" s="163"/>
      <c r="V23" s="163"/>
      <c r="W23" s="163"/>
      <c r="X23" s="163"/>
      <c r="Y23" s="118"/>
      <c r="AA23" t="s">
        <v>3</v>
      </c>
    </row>
    <row r="24" spans="1:27" x14ac:dyDescent="0.3">
      <c r="A24" s="156"/>
      <c r="B24" s="173"/>
      <c r="C24" s="173"/>
      <c r="D24" s="173"/>
      <c r="E24" s="173"/>
      <c r="F24" s="173"/>
      <c r="G24" s="5"/>
      <c r="H24" s="5"/>
      <c r="I24" s="5"/>
      <c r="J24" s="5"/>
      <c r="K24" s="108"/>
      <c r="S24" s="117"/>
      <c r="T24" s="163"/>
      <c r="U24" s="163"/>
      <c r="V24" s="163"/>
      <c r="W24" s="163"/>
      <c r="X24" s="126"/>
      <c r="Y24" s="125"/>
      <c r="AA24" t="s">
        <v>177</v>
      </c>
    </row>
    <row r="25" spans="1:27" ht="15" thickBot="1" x14ac:dyDescent="0.35">
      <c r="A25" s="176"/>
      <c r="B25" s="173"/>
      <c r="C25" s="173" t="s">
        <v>12</v>
      </c>
      <c r="D25" s="173" t="s">
        <v>13</v>
      </c>
      <c r="E25" s="173" t="s">
        <v>14</v>
      </c>
      <c r="F25" s="173" t="s">
        <v>15</v>
      </c>
      <c r="G25" s="5" t="s">
        <v>24</v>
      </c>
      <c r="H25" s="5" t="s">
        <v>25</v>
      </c>
      <c r="I25" s="5" t="s">
        <v>26</v>
      </c>
      <c r="J25" s="5" t="s">
        <v>27</v>
      </c>
      <c r="K25" s="108"/>
      <c r="S25" s="117"/>
      <c r="T25" s="163"/>
      <c r="U25" s="163"/>
      <c r="V25" s="163"/>
      <c r="W25" s="163"/>
      <c r="X25" s="163"/>
      <c r="Y25" s="118"/>
      <c r="AA25" t="s">
        <v>41</v>
      </c>
    </row>
    <row r="26" spans="1:27" x14ac:dyDescent="0.3">
      <c r="A26" s="176"/>
      <c r="B26" s="14" t="s">
        <v>3</v>
      </c>
      <c r="C26" s="179"/>
      <c r="D26" s="179"/>
      <c r="E26" s="179"/>
      <c r="F26" s="179"/>
      <c r="G26" s="15"/>
      <c r="H26" s="15"/>
      <c r="I26" s="15"/>
      <c r="J26" s="16"/>
      <c r="K26" s="108"/>
      <c r="S26" s="117"/>
      <c r="T26" s="163"/>
      <c r="U26" s="163"/>
      <c r="V26" s="163"/>
      <c r="W26" s="163"/>
      <c r="X26" s="163"/>
      <c r="Y26" s="118"/>
      <c r="AA26" t="s">
        <v>32</v>
      </c>
    </row>
    <row r="27" spans="1:27" x14ac:dyDescent="0.3">
      <c r="A27" s="176"/>
      <c r="B27" s="21" t="s">
        <v>37</v>
      </c>
      <c r="C27" s="17"/>
      <c r="D27" s="17"/>
      <c r="E27" s="17"/>
      <c r="F27" s="17"/>
      <c r="G27" s="18"/>
      <c r="H27" s="18"/>
      <c r="I27" s="18"/>
      <c r="J27" s="22"/>
      <c r="K27" s="108"/>
      <c r="S27" s="117"/>
      <c r="T27" s="163"/>
      <c r="U27" s="163"/>
      <c r="V27" s="163"/>
      <c r="W27" s="163"/>
      <c r="X27" s="126"/>
      <c r="Y27" s="125"/>
      <c r="AA27" t="s">
        <v>4</v>
      </c>
    </row>
    <row r="28" spans="1:27" x14ac:dyDescent="0.3">
      <c r="A28" s="176"/>
      <c r="B28" s="3" t="s">
        <v>32</v>
      </c>
      <c r="C28" s="173"/>
      <c r="D28" s="173"/>
      <c r="E28" s="173"/>
      <c r="F28" s="173"/>
      <c r="G28" s="5"/>
      <c r="H28" s="5"/>
      <c r="I28" s="5"/>
      <c r="J28" s="6"/>
      <c r="K28" s="108"/>
      <c r="S28" s="117"/>
      <c r="T28" s="151"/>
      <c r="U28" s="151"/>
      <c r="V28" s="151"/>
      <c r="W28" s="151"/>
      <c r="X28" s="126"/>
      <c r="Y28" s="125"/>
    </row>
    <row r="29" spans="1:27" ht="15" thickBot="1" x14ac:dyDescent="0.35">
      <c r="A29" s="176"/>
      <c r="B29" s="7" t="s">
        <v>5</v>
      </c>
      <c r="C29" s="178"/>
      <c r="D29" s="178"/>
      <c r="E29" s="178"/>
      <c r="F29" s="178"/>
      <c r="G29" s="8"/>
      <c r="H29" s="8"/>
      <c r="I29" s="8"/>
      <c r="J29" s="9"/>
      <c r="K29" s="108"/>
      <c r="S29" s="117"/>
      <c r="T29" s="151"/>
      <c r="U29" s="151"/>
      <c r="V29" s="151"/>
      <c r="W29" s="151"/>
      <c r="X29" s="126"/>
      <c r="Y29" s="125"/>
    </row>
    <row r="30" spans="1:27" ht="15" thickBot="1" x14ac:dyDescent="0.35">
      <c r="A30" s="176"/>
      <c r="B30" s="173"/>
      <c r="C30" s="173"/>
      <c r="D30" s="173"/>
      <c r="E30" s="173"/>
      <c r="F30" s="173"/>
      <c r="G30" s="5"/>
      <c r="H30" s="5"/>
      <c r="I30" s="5"/>
      <c r="J30" s="5"/>
      <c r="K30" s="193"/>
      <c r="S30" s="122"/>
      <c r="T30" s="17"/>
      <c r="U30" s="17"/>
      <c r="V30" s="17"/>
      <c r="X30" s="126"/>
      <c r="Y30" s="125"/>
    </row>
    <row r="31" spans="1:27" ht="15" thickTop="1" x14ac:dyDescent="0.3">
      <c r="A31" s="106"/>
      <c r="B31" s="25"/>
      <c r="C31" s="25"/>
      <c r="D31" s="25"/>
      <c r="E31" s="25"/>
      <c r="F31" s="25"/>
      <c r="G31" s="26"/>
      <c r="H31" s="26"/>
      <c r="I31" s="26"/>
      <c r="J31" s="26"/>
      <c r="K31" s="108"/>
      <c r="S31" s="117"/>
      <c r="T31" s="151"/>
      <c r="U31" s="151"/>
      <c r="V31" s="151"/>
      <c r="X31" s="126"/>
      <c r="Y31" s="125"/>
    </row>
    <row r="32" spans="1:27" ht="21" x14ac:dyDescent="0.4">
      <c r="A32" s="176"/>
      <c r="B32" s="173"/>
      <c r="C32" s="173"/>
      <c r="D32" s="173"/>
      <c r="E32" s="173"/>
      <c r="F32" s="172" t="s">
        <v>7</v>
      </c>
      <c r="G32" s="5"/>
      <c r="H32" s="5"/>
      <c r="I32" s="5"/>
      <c r="J32" s="5"/>
      <c r="K32" s="108"/>
      <c r="S32" s="117"/>
      <c r="T32" s="151"/>
      <c r="U32" s="151"/>
      <c r="V32" s="151"/>
      <c r="X32" s="126"/>
      <c r="Y32" s="125"/>
    </row>
    <row r="33" spans="1:25" x14ac:dyDescent="0.3">
      <c r="A33" s="176"/>
      <c r="B33" s="28"/>
      <c r="C33" s="173"/>
      <c r="D33" s="173"/>
      <c r="E33" s="173"/>
      <c r="F33" s="173"/>
      <c r="G33" s="5"/>
      <c r="H33" s="5"/>
      <c r="I33" s="5"/>
      <c r="J33" s="5"/>
      <c r="K33" s="108"/>
      <c r="S33" s="117"/>
      <c r="T33" s="151"/>
      <c r="U33" s="151"/>
      <c r="V33" s="151"/>
      <c r="X33" s="126"/>
      <c r="Y33" s="125"/>
    </row>
    <row r="34" spans="1:25" ht="15" thickBot="1" x14ac:dyDescent="0.35">
      <c r="A34" s="176"/>
      <c r="B34" s="173"/>
      <c r="C34" s="58">
        <v>28642</v>
      </c>
      <c r="D34" s="178" t="s">
        <v>88</v>
      </c>
      <c r="E34" s="178" t="s">
        <v>61</v>
      </c>
      <c r="F34" s="178">
        <v>0</v>
      </c>
      <c r="G34" s="178">
        <v>0</v>
      </c>
      <c r="H34" s="178"/>
      <c r="I34" s="8" t="s">
        <v>175</v>
      </c>
      <c r="J34" s="5"/>
      <c r="K34" s="108"/>
      <c r="S34" s="117" t="s">
        <v>88</v>
      </c>
      <c r="T34" s="151" t="s">
        <v>61</v>
      </c>
      <c r="U34" s="151">
        <v>0</v>
      </c>
      <c r="V34" s="151">
        <v>0</v>
      </c>
      <c r="X34" s="126">
        <f t="shared" ref="X34:X39" si="2">(IF(U34&gt;V34,3,IF(U34=V34,1,2)))</f>
        <v>1</v>
      </c>
      <c r="Y34" s="125">
        <f t="shared" ref="Y34:Y39" si="3">(IF(V34&gt;U34,3,IF(U34=V34,1,2)))</f>
        <v>1</v>
      </c>
    </row>
    <row r="35" spans="1:25" x14ac:dyDescent="0.3">
      <c r="A35" s="176"/>
      <c r="B35" s="173"/>
      <c r="C35" s="40">
        <v>28643</v>
      </c>
      <c r="D35" s="33" t="s">
        <v>176</v>
      </c>
      <c r="E35" s="33" t="s">
        <v>4</v>
      </c>
      <c r="F35" s="33">
        <v>3</v>
      </c>
      <c r="G35" s="33">
        <v>1</v>
      </c>
      <c r="H35" s="173"/>
      <c r="I35" s="5" t="s">
        <v>178</v>
      </c>
      <c r="J35" s="5"/>
      <c r="K35" s="108"/>
      <c r="S35" s="117" t="s">
        <v>176</v>
      </c>
      <c r="T35" s="151" t="s">
        <v>4</v>
      </c>
      <c r="U35" s="151">
        <v>3</v>
      </c>
      <c r="V35" s="151">
        <v>1</v>
      </c>
      <c r="X35" s="126">
        <f t="shared" si="2"/>
        <v>3</v>
      </c>
      <c r="Y35" s="125">
        <f t="shared" si="3"/>
        <v>2</v>
      </c>
    </row>
    <row r="36" spans="1:25" ht="15" thickBot="1" x14ac:dyDescent="0.35">
      <c r="A36" s="176"/>
      <c r="B36" s="173"/>
      <c r="C36" s="58"/>
      <c r="D36" s="59"/>
      <c r="E36" s="59"/>
      <c r="F36" s="59"/>
      <c r="G36" s="59"/>
      <c r="H36" s="178"/>
      <c r="I36" s="8"/>
      <c r="J36" s="5"/>
      <c r="K36" s="108"/>
      <c r="S36" s="117" t="s">
        <v>4</v>
      </c>
      <c r="T36" s="163" t="s">
        <v>88</v>
      </c>
      <c r="U36" s="163">
        <v>0</v>
      </c>
      <c r="V36" s="163">
        <v>6</v>
      </c>
      <c r="W36" s="164"/>
      <c r="X36" s="126">
        <f t="shared" si="2"/>
        <v>2</v>
      </c>
      <c r="Y36" s="125">
        <f t="shared" si="3"/>
        <v>3</v>
      </c>
    </row>
    <row r="37" spans="1:25" x14ac:dyDescent="0.3">
      <c r="A37" s="176"/>
      <c r="B37" s="173"/>
      <c r="C37" s="40">
        <v>28647</v>
      </c>
      <c r="D37" s="33" t="s">
        <v>4</v>
      </c>
      <c r="E37" s="33" t="s">
        <v>88</v>
      </c>
      <c r="F37" s="33">
        <v>0</v>
      </c>
      <c r="G37" s="33">
        <v>6</v>
      </c>
      <c r="H37" s="173"/>
      <c r="I37" s="5" t="s">
        <v>179</v>
      </c>
      <c r="J37" s="5"/>
      <c r="K37" s="108"/>
      <c r="S37" s="117" t="s">
        <v>61</v>
      </c>
      <c r="T37" s="151" t="s">
        <v>176</v>
      </c>
      <c r="U37" s="151">
        <v>1</v>
      </c>
      <c r="V37" s="151">
        <v>0</v>
      </c>
      <c r="X37" s="126">
        <f t="shared" si="2"/>
        <v>3</v>
      </c>
      <c r="Y37" s="125">
        <f t="shared" si="3"/>
        <v>2</v>
      </c>
    </row>
    <row r="38" spans="1:25" ht="15" thickBot="1" x14ac:dyDescent="0.35">
      <c r="A38" s="176"/>
      <c r="B38" s="173"/>
      <c r="C38" s="58"/>
      <c r="D38" s="59"/>
      <c r="E38" s="59"/>
      <c r="F38" s="59"/>
      <c r="G38" s="59"/>
      <c r="H38" s="178"/>
      <c r="I38" s="8"/>
      <c r="J38" s="5"/>
      <c r="K38" s="108"/>
      <c r="S38" s="117" t="s">
        <v>176</v>
      </c>
      <c r="T38" s="163" t="s">
        <v>88</v>
      </c>
      <c r="U38" s="163">
        <v>0</v>
      </c>
      <c r="V38" s="163">
        <v>0</v>
      </c>
      <c r="W38" s="164"/>
      <c r="X38" s="126">
        <f t="shared" si="2"/>
        <v>1</v>
      </c>
      <c r="Y38" s="125">
        <f t="shared" si="3"/>
        <v>1</v>
      </c>
    </row>
    <row r="39" spans="1:25" x14ac:dyDescent="0.3">
      <c r="A39" s="176"/>
      <c r="B39" s="173"/>
      <c r="C39" s="40">
        <v>28647</v>
      </c>
      <c r="D39" s="33" t="s">
        <v>61</v>
      </c>
      <c r="E39" s="33" t="s">
        <v>176</v>
      </c>
      <c r="F39" s="33">
        <v>1</v>
      </c>
      <c r="G39" s="33">
        <v>0</v>
      </c>
      <c r="H39" s="173"/>
      <c r="I39" s="5" t="s">
        <v>178</v>
      </c>
      <c r="J39" s="5"/>
      <c r="K39" s="108"/>
      <c r="S39" s="117" t="s">
        <v>4</v>
      </c>
      <c r="T39" s="151" t="s">
        <v>61</v>
      </c>
      <c r="U39" s="151">
        <v>1</v>
      </c>
      <c r="V39" s="151">
        <v>3</v>
      </c>
      <c r="X39" s="126">
        <f t="shared" si="2"/>
        <v>2</v>
      </c>
      <c r="Y39" s="125">
        <f t="shared" si="3"/>
        <v>3</v>
      </c>
    </row>
    <row r="40" spans="1:25" ht="15" thickBot="1" x14ac:dyDescent="0.35">
      <c r="A40" s="176"/>
      <c r="B40" s="173"/>
      <c r="C40" s="58"/>
      <c r="D40" s="59"/>
      <c r="E40" s="59"/>
      <c r="F40" s="59"/>
      <c r="G40" s="59"/>
      <c r="H40" s="178"/>
      <c r="I40" s="8"/>
      <c r="J40" s="5"/>
      <c r="K40" s="108"/>
      <c r="S40" s="117"/>
      <c r="T40" s="163"/>
      <c r="U40" s="163"/>
      <c r="V40" s="163"/>
      <c r="W40" s="164"/>
      <c r="X40" s="126"/>
      <c r="Y40" s="125"/>
    </row>
    <row r="41" spans="1:25" ht="15" thickBot="1" x14ac:dyDescent="0.35">
      <c r="A41" s="176"/>
      <c r="B41" s="173"/>
      <c r="C41" s="58">
        <v>28651</v>
      </c>
      <c r="D41" s="367" t="s">
        <v>176</v>
      </c>
      <c r="E41" s="367" t="s">
        <v>88</v>
      </c>
      <c r="F41" s="367">
        <v>0</v>
      </c>
      <c r="G41" s="367">
        <v>0</v>
      </c>
      <c r="H41" s="30"/>
      <c r="I41" s="8" t="s">
        <v>179</v>
      </c>
      <c r="J41" s="5"/>
      <c r="K41" s="108"/>
      <c r="S41" s="117"/>
      <c r="T41" s="151"/>
      <c r="U41" s="151"/>
      <c r="V41" s="151"/>
      <c r="W41" s="151"/>
      <c r="X41" s="126"/>
      <c r="Y41" s="125"/>
    </row>
    <row r="42" spans="1:25" x14ac:dyDescent="0.3">
      <c r="A42" s="176"/>
      <c r="B42" s="173"/>
      <c r="C42" s="40">
        <v>28651</v>
      </c>
      <c r="D42" s="66" t="s">
        <v>4</v>
      </c>
      <c r="E42" s="66" t="s">
        <v>61</v>
      </c>
      <c r="F42" s="66">
        <v>1</v>
      </c>
      <c r="G42" s="66">
        <v>3</v>
      </c>
      <c r="H42" s="17"/>
      <c r="I42" s="5" t="s">
        <v>178</v>
      </c>
      <c r="J42" s="5"/>
      <c r="K42" s="108"/>
      <c r="S42" s="117"/>
      <c r="T42" s="151"/>
      <c r="U42" s="151"/>
      <c r="V42" s="151"/>
      <c r="W42" s="151"/>
      <c r="X42" s="126"/>
      <c r="Y42" s="125"/>
    </row>
    <row r="43" spans="1:25" x14ac:dyDescent="0.3">
      <c r="A43" s="156"/>
      <c r="B43" s="17"/>
      <c r="C43" s="17"/>
      <c r="D43" s="66"/>
      <c r="E43" s="66"/>
      <c r="F43" s="66" t="s">
        <v>281</v>
      </c>
      <c r="G43" s="94" t="s">
        <v>282</v>
      </c>
      <c r="H43" s="5"/>
      <c r="I43" s="5"/>
      <c r="J43" s="5"/>
      <c r="K43" s="108"/>
      <c r="S43" s="117"/>
      <c r="T43" s="151"/>
      <c r="U43" s="151"/>
      <c r="V43" s="151"/>
      <c r="W43" s="151"/>
      <c r="X43" s="126"/>
      <c r="Y43" s="125"/>
    </row>
    <row r="44" spans="1:25" x14ac:dyDescent="0.3">
      <c r="A44" s="156"/>
      <c r="B44" s="17"/>
      <c r="C44" s="17"/>
      <c r="D44" s="17"/>
      <c r="E44" s="17"/>
      <c r="F44" s="17"/>
      <c r="G44" s="18"/>
      <c r="H44" s="5"/>
      <c r="I44" s="5"/>
      <c r="J44" s="5"/>
      <c r="K44" s="108"/>
      <c r="S44" s="117"/>
      <c r="T44" s="151"/>
      <c r="U44" s="151"/>
      <c r="V44" s="151"/>
      <c r="W44" s="151"/>
      <c r="X44" s="126"/>
      <c r="Y44" s="125"/>
    </row>
    <row r="45" spans="1:25" ht="15" thickBot="1" x14ac:dyDescent="0.35">
      <c r="A45" s="176"/>
      <c r="B45" s="173"/>
      <c r="C45" s="173" t="s">
        <v>12</v>
      </c>
      <c r="D45" s="173" t="s">
        <v>13</v>
      </c>
      <c r="E45" s="173" t="s">
        <v>14</v>
      </c>
      <c r="F45" s="173" t="s">
        <v>15</v>
      </c>
      <c r="G45" s="5" t="s">
        <v>24</v>
      </c>
      <c r="H45" s="5" t="s">
        <v>25</v>
      </c>
      <c r="I45" s="5" t="s">
        <v>26</v>
      </c>
      <c r="J45" s="5" t="s">
        <v>27</v>
      </c>
      <c r="K45" s="108"/>
      <c r="S45" s="117"/>
      <c r="T45" s="151"/>
      <c r="U45" s="151"/>
      <c r="V45" s="151"/>
      <c r="W45" s="151"/>
      <c r="X45" s="126"/>
      <c r="Y45" s="125"/>
    </row>
    <row r="46" spans="1:25" x14ac:dyDescent="0.3">
      <c r="A46" s="176"/>
      <c r="B46" s="14" t="s">
        <v>88</v>
      </c>
      <c r="C46" s="179"/>
      <c r="D46" s="179"/>
      <c r="E46" s="179"/>
      <c r="F46" s="179"/>
      <c r="G46" s="15"/>
      <c r="H46" s="15"/>
      <c r="I46" s="15"/>
      <c r="J46" s="16"/>
      <c r="K46" s="108"/>
      <c r="S46" s="117"/>
      <c r="T46" s="151"/>
      <c r="U46" s="151"/>
      <c r="V46" s="151"/>
      <c r="W46" s="151"/>
      <c r="X46" s="126"/>
      <c r="Y46" s="125"/>
    </row>
    <row r="47" spans="1:25" x14ac:dyDescent="0.3">
      <c r="A47" s="176"/>
      <c r="B47" s="21" t="s">
        <v>61</v>
      </c>
      <c r="C47" s="17"/>
      <c r="D47" s="17"/>
      <c r="E47" s="17"/>
      <c r="F47" s="17"/>
      <c r="G47" s="18"/>
      <c r="H47" s="18"/>
      <c r="I47" s="18"/>
      <c r="J47" s="22"/>
      <c r="K47" s="108"/>
      <c r="S47" s="117"/>
      <c r="T47" s="151"/>
      <c r="U47" s="151"/>
      <c r="V47" s="151"/>
      <c r="W47" s="151"/>
      <c r="X47" s="126"/>
      <c r="Y47" s="125"/>
    </row>
    <row r="48" spans="1:25" x14ac:dyDescent="0.3">
      <c r="A48" s="176"/>
      <c r="B48" s="3" t="s">
        <v>176</v>
      </c>
      <c r="C48" s="173"/>
      <c r="D48" s="173"/>
      <c r="E48" s="173"/>
      <c r="F48" s="173"/>
      <c r="G48" s="5"/>
      <c r="H48" s="5"/>
      <c r="I48" s="5"/>
      <c r="J48" s="6"/>
      <c r="K48" s="108"/>
      <c r="S48" s="117"/>
      <c r="T48" s="151"/>
      <c r="U48" s="151"/>
      <c r="V48" s="151"/>
      <c r="W48" s="151"/>
      <c r="X48" s="126"/>
      <c r="Y48" s="125"/>
    </row>
    <row r="49" spans="1:25" ht="15" thickBot="1" x14ac:dyDescent="0.35">
      <c r="A49" s="176"/>
      <c r="B49" s="7" t="s">
        <v>4</v>
      </c>
      <c r="C49" s="178"/>
      <c r="D49" s="178"/>
      <c r="E49" s="178"/>
      <c r="F49" s="178"/>
      <c r="G49" s="8"/>
      <c r="H49" s="8"/>
      <c r="I49" s="8"/>
      <c r="J49" s="9"/>
      <c r="K49" s="108"/>
      <c r="S49" s="117"/>
      <c r="T49" s="151"/>
      <c r="U49" s="151"/>
      <c r="V49" s="151"/>
      <c r="W49" s="151"/>
      <c r="X49" s="126"/>
      <c r="Y49" s="125"/>
    </row>
    <row r="50" spans="1:25" ht="15" thickBot="1" x14ac:dyDescent="0.35">
      <c r="A50" s="176"/>
      <c r="B50" s="173"/>
      <c r="C50" s="173"/>
      <c r="D50" s="173"/>
      <c r="E50" s="173"/>
      <c r="F50" s="173"/>
      <c r="G50" s="5"/>
      <c r="H50" s="5"/>
      <c r="I50" s="5"/>
      <c r="J50" s="5"/>
      <c r="K50" s="193"/>
      <c r="S50" s="117"/>
      <c r="T50" s="151"/>
      <c r="U50" s="151"/>
      <c r="V50" s="151"/>
      <c r="W50" s="151"/>
      <c r="X50" s="126"/>
      <c r="Y50" s="125"/>
    </row>
    <row r="51" spans="1:25" ht="15" thickTop="1" x14ac:dyDescent="0.3">
      <c r="A51" s="106"/>
      <c r="B51" s="25"/>
      <c r="C51" s="25"/>
      <c r="D51" s="25"/>
      <c r="E51" s="25"/>
      <c r="F51" s="25"/>
      <c r="G51" s="26"/>
      <c r="H51" s="26"/>
      <c r="I51" s="26"/>
      <c r="J51" s="26"/>
      <c r="K51" s="108"/>
      <c r="S51" s="117"/>
      <c r="T51" s="151"/>
      <c r="U51" s="151"/>
      <c r="V51" s="151"/>
      <c r="W51" s="151"/>
      <c r="X51" s="126"/>
      <c r="Y51" s="125"/>
    </row>
    <row r="52" spans="1:25" ht="21" x14ac:dyDescent="0.4">
      <c r="A52" s="176"/>
      <c r="B52" s="173"/>
      <c r="C52" s="173"/>
      <c r="D52" s="173"/>
      <c r="E52" s="173"/>
      <c r="F52" s="172" t="s">
        <v>11</v>
      </c>
      <c r="G52" s="5"/>
      <c r="H52" s="5"/>
      <c r="I52" s="5"/>
      <c r="J52" s="5"/>
      <c r="K52" s="108"/>
      <c r="S52" s="117"/>
      <c r="T52" s="151"/>
      <c r="U52" s="151"/>
      <c r="V52" s="151"/>
      <c r="W52" s="151"/>
      <c r="X52" s="126"/>
      <c r="Y52" s="125"/>
    </row>
    <row r="53" spans="1:25" x14ac:dyDescent="0.3">
      <c r="A53" s="176"/>
      <c r="B53" s="28"/>
      <c r="C53" s="173"/>
      <c r="D53" s="173"/>
      <c r="E53" s="173"/>
      <c r="F53" s="173"/>
      <c r="G53" s="5"/>
      <c r="H53" s="5"/>
      <c r="I53" s="5"/>
      <c r="J53" s="5"/>
      <c r="K53" s="108"/>
      <c r="S53" s="117"/>
      <c r="T53" s="163"/>
      <c r="U53" s="163"/>
      <c r="V53" s="163"/>
      <c r="W53" s="163"/>
      <c r="X53" s="126"/>
      <c r="Y53" s="125"/>
    </row>
    <row r="54" spans="1:25" x14ac:dyDescent="0.3">
      <c r="A54" s="176"/>
      <c r="B54" s="173"/>
      <c r="C54" s="40">
        <v>28644</v>
      </c>
      <c r="D54" s="33" t="s">
        <v>35</v>
      </c>
      <c r="E54" s="33" t="s">
        <v>29</v>
      </c>
      <c r="F54" s="33">
        <v>1</v>
      </c>
      <c r="G54" s="33">
        <v>2</v>
      </c>
      <c r="H54" s="173"/>
      <c r="I54" s="5" t="s">
        <v>180</v>
      </c>
      <c r="J54" s="5"/>
      <c r="K54" s="108"/>
      <c r="S54" s="122" t="s">
        <v>35</v>
      </c>
      <c r="T54" s="17" t="s">
        <v>29</v>
      </c>
      <c r="U54" s="17">
        <v>1</v>
      </c>
      <c r="V54" s="17">
        <v>2</v>
      </c>
      <c r="W54" s="17"/>
      <c r="X54" s="126">
        <f t="shared" ref="X54:X59" si="4">(IF(U54&gt;V54,3,IF(U54=V54,1,2)))</f>
        <v>2</v>
      </c>
      <c r="Y54" s="125">
        <f t="shared" ref="Y54:Y59" si="5">(IF(V54&gt;U54,3,IF(U54=V54,1,2)))</f>
        <v>3</v>
      </c>
    </row>
    <row r="55" spans="1:25" ht="15" thickBot="1" x14ac:dyDescent="0.35">
      <c r="A55" s="176"/>
      <c r="B55" s="173"/>
      <c r="C55" s="58"/>
      <c r="D55" s="59"/>
      <c r="E55" s="59"/>
      <c r="F55" s="59"/>
      <c r="G55" s="59"/>
      <c r="H55" s="178"/>
      <c r="I55" s="8"/>
      <c r="J55" s="5"/>
      <c r="K55" s="108"/>
      <c r="S55" s="122" t="s">
        <v>41</v>
      </c>
      <c r="T55" s="17" t="s">
        <v>9</v>
      </c>
      <c r="U55" s="17">
        <v>1</v>
      </c>
      <c r="V55" s="17">
        <v>1</v>
      </c>
      <c r="W55" s="17"/>
      <c r="X55" s="126">
        <f t="shared" si="4"/>
        <v>1</v>
      </c>
      <c r="Y55" s="125">
        <f t="shared" si="5"/>
        <v>1</v>
      </c>
    </row>
    <row r="56" spans="1:25" x14ac:dyDescent="0.3">
      <c r="A56" s="176"/>
      <c r="B56" s="173"/>
      <c r="C56" s="40">
        <v>28644</v>
      </c>
      <c r="D56" s="33" t="s">
        <v>41</v>
      </c>
      <c r="E56" s="33" t="s">
        <v>9</v>
      </c>
      <c r="F56" s="33">
        <v>1</v>
      </c>
      <c r="G56" s="33">
        <v>1</v>
      </c>
      <c r="H56" s="173"/>
      <c r="I56" s="5" t="s">
        <v>174</v>
      </c>
      <c r="J56" s="5"/>
      <c r="K56" s="108"/>
      <c r="S56" s="122" t="s">
        <v>29</v>
      </c>
      <c r="T56" s="17" t="s">
        <v>41</v>
      </c>
      <c r="U56" s="17">
        <v>1</v>
      </c>
      <c r="V56" s="17">
        <v>0</v>
      </c>
      <c r="W56" s="17"/>
      <c r="X56" s="126">
        <f t="shared" si="4"/>
        <v>3</v>
      </c>
      <c r="Y56" s="125">
        <f t="shared" si="5"/>
        <v>2</v>
      </c>
    </row>
    <row r="57" spans="1:25" ht="15" thickBot="1" x14ac:dyDescent="0.35">
      <c r="A57" s="176"/>
      <c r="B57" s="173"/>
      <c r="C57" s="58"/>
      <c r="D57" s="59"/>
      <c r="E57" s="59"/>
      <c r="F57" s="59"/>
      <c r="G57" s="59"/>
      <c r="H57" s="178"/>
      <c r="I57" s="8"/>
      <c r="J57" s="5"/>
      <c r="K57" s="108"/>
      <c r="S57" s="122" t="s">
        <v>9</v>
      </c>
      <c r="T57" s="17" t="s">
        <v>35</v>
      </c>
      <c r="U57" s="17">
        <v>0</v>
      </c>
      <c r="V57" s="17">
        <v>0</v>
      </c>
      <c r="W57" s="17"/>
      <c r="X57" s="126">
        <f t="shared" si="4"/>
        <v>1</v>
      </c>
      <c r="Y57" s="125">
        <f t="shared" si="5"/>
        <v>1</v>
      </c>
    </row>
    <row r="58" spans="1:25" x14ac:dyDescent="0.3">
      <c r="A58" s="176"/>
      <c r="B58" s="173"/>
      <c r="C58" s="40">
        <v>28648</v>
      </c>
      <c r="D58" s="33" t="s">
        <v>29</v>
      </c>
      <c r="E58" s="33" t="s">
        <v>41</v>
      </c>
      <c r="F58" s="33">
        <v>1</v>
      </c>
      <c r="G58" s="33">
        <v>0</v>
      </c>
      <c r="H58" s="173"/>
      <c r="I58" s="5" t="s">
        <v>180</v>
      </c>
      <c r="J58" s="5"/>
      <c r="K58" s="108"/>
      <c r="S58" s="122" t="s">
        <v>41</v>
      </c>
      <c r="T58" s="17" t="s">
        <v>35</v>
      </c>
      <c r="U58" s="17">
        <v>0</v>
      </c>
      <c r="V58" s="17">
        <v>1</v>
      </c>
      <c r="W58" s="17"/>
      <c r="X58" s="126">
        <f t="shared" si="4"/>
        <v>2</v>
      </c>
      <c r="Y58" s="125">
        <f t="shared" si="5"/>
        <v>3</v>
      </c>
    </row>
    <row r="59" spans="1:25" ht="15" thickBot="1" x14ac:dyDescent="0.35">
      <c r="A59" s="176"/>
      <c r="B59" s="173"/>
      <c r="C59" s="58"/>
      <c r="D59" s="59"/>
      <c r="E59" s="59"/>
      <c r="F59" s="59"/>
      <c r="G59" s="59"/>
      <c r="H59" s="178"/>
      <c r="I59" s="8"/>
      <c r="J59" s="5"/>
      <c r="K59" s="108"/>
      <c r="S59" s="122" t="s">
        <v>9</v>
      </c>
      <c r="T59" s="17" t="s">
        <v>29</v>
      </c>
      <c r="U59" s="17">
        <v>1</v>
      </c>
      <c r="V59" s="17">
        <v>0</v>
      </c>
      <c r="W59" s="17"/>
      <c r="X59" s="126">
        <f t="shared" si="4"/>
        <v>3</v>
      </c>
      <c r="Y59" s="125">
        <f t="shared" si="5"/>
        <v>2</v>
      </c>
    </row>
    <row r="60" spans="1:25" ht="15" thickBot="1" x14ac:dyDescent="0.35">
      <c r="A60" s="176"/>
      <c r="B60" s="173"/>
      <c r="C60" s="58">
        <v>28648</v>
      </c>
      <c r="D60" s="59" t="s">
        <v>9</v>
      </c>
      <c r="E60" s="59" t="s">
        <v>35</v>
      </c>
      <c r="F60" s="59">
        <v>0</v>
      </c>
      <c r="G60" s="59">
        <v>0</v>
      </c>
      <c r="H60" s="178"/>
      <c r="I60" s="8" t="s">
        <v>174</v>
      </c>
      <c r="J60" s="5"/>
      <c r="K60" s="108"/>
      <c r="S60" s="122"/>
      <c r="T60" s="17"/>
      <c r="U60" s="17"/>
      <c r="V60" s="17"/>
      <c r="W60" s="17"/>
      <c r="X60" s="126"/>
      <c r="Y60" s="125"/>
    </row>
    <row r="61" spans="1:25" x14ac:dyDescent="0.3">
      <c r="A61" s="176"/>
      <c r="B61" s="173"/>
      <c r="C61" s="40">
        <v>28652</v>
      </c>
      <c r="D61" s="33" t="s">
        <v>41</v>
      </c>
      <c r="E61" s="33" t="s">
        <v>35</v>
      </c>
      <c r="F61" s="33">
        <v>0</v>
      </c>
      <c r="G61" s="33">
        <v>1</v>
      </c>
      <c r="H61" s="173"/>
      <c r="I61" s="5" t="s">
        <v>180</v>
      </c>
      <c r="J61" s="5"/>
      <c r="K61" s="108"/>
      <c r="S61" s="122"/>
      <c r="T61" s="17"/>
      <c r="U61" s="17"/>
      <c r="V61" s="17"/>
      <c r="W61" s="17"/>
      <c r="X61" s="126"/>
      <c r="Y61" s="125"/>
    </row>
    <row r="62" spans="1:25" ht="15" thickBot="1" x14ac:dyDescent="0.35">
      <c r="A62" s="176"/>
      <c r="B62" s="173"/>
      <c r="C62" s="58"/>
      <c r="D62" s="59"/>
      <c r="E62" s="59"/>
      <c r="F62" s="59"/>
      <c r="G62" s="59"/>
      <c r="H62" s="178"/>
      <c r="I62" s="8"/>
      <c r="J62" s="5"/>
      <c r="K62" s="108"/>
      <c r="S62" s="122"/>
      <c r="T62" s="17"/>
      <c r="U62" s="17"/>
      <c r="V62" s="17"/>
      <c r="W62" s="17"/>
      <c r="X62" s="126"/>
      <c r="Y62" s="125"/>
    </row>
    <row r="63" spans="1:25" x14ac:dyDescent="0.3">
      <c r="A63" s="176"/>
      <c r="B63" s="173"/>
      <c r="C63" s="40">
        <v>28652</v>
      </c>
      <c r="D63" s="33" t="s">
        <v>9</v>
      </c>
      <c r="E63" s="33" t="s">
        <v>29</v>
      </c>
      <c r="F63" s="33">
        <v>1</v>
      </c>
      <c r="G63" s="33">
        <v>0</v>
      </c>
      <c r="H63" s="173"/>
      <c r="I63" s="5" t="s">
        <v>174</v>
      </c>
      <c r="J63" s="5"/>
      <c r="K63" s="108"/>
      <c r="S63" s="122"/>
      <c r="T63" s="17"/>
      <c r="U63" s="17"/>
      <c r="V63" s="17"/>
      <c r="W63" s="17"/>
      <c r="X63" s="126"/>
      <c r="Y63" s="125"/>
    </row>
    <row r="64" spans="1:25" x14ac:dyDescent="0.3">
      <c r="A64" s="156"/>
      <c r="B64" s="173"/>
      <c r="C64" s="173"/>
      <c r="D64" s="33"/>
      <c r="E64" s="33"/>
      <c r="F64" s="33" t="s">
        <v>281</v>
      </c>
      <c r="G64" s="309" t="s">
        <v>282</v>
      </c>
      <c r="H64" s="5"/>
      <c r="I64" s="5"/>
      <c r="J64" s="5"/>
      <c r="K64" s="108"/>
      <c r="S64" s="117"/>
      <c r="T64" s="151"/>
      <c r="U64" s="151"/>
      <c r="V64" s="151"/>
      <c r="W64" s="151"/>
      <c r="X64" s="126"/>
      <c r="Y64" s="125"/>
    </row>
    <row r="65" spans="1:25" x14ac:dyDescent="0.3">
      <c r="A65" s="156"/>
      <c r="B65" s="173"/>
      <c r="C65" s="173"/>
      <c r="D65" s="173"/>
      <c r="E65" s="173"/>
      <c r="F65" s="173"/>
      <c r="G65" s="5"/>
      <c r="H65" s="5"/>
      <c r="I65" s="5"/>
      <c r="J65" s="5"/>
      <c r="K65" s="108"/>
      <c r="S65" s="117"/>
      <c r="T65" s="163"/>
      <c r="U65" s="163"/>
      <c r="V65" s="163"/>
      <c r="W65" s="163"/>
      <c r="X65" s="126"/>
      <c r="Y65" s="125"/>
    </row>
    <row r="66" spans="1:25" ht="15" thickBot="1" x14ac:dyDescent="0.35">
      <c r="A66" s="176"/>
      <c r="B66" s="173"/>
      <c r="C66" s="173" t="s">
        <v>12</v>
      </c>
      <c r="D66" s="173" t="s">
        <v>13</v>
      </c>
      <c r="E66" s="173" t="s">
        <v>14</v>
      </c>
      <c r="F66" s="173" t="s">
        <v>15</v>
      </c>
      <c r="G66" s="5" t="s">
        <v>24</v>
      </c>
      <c r="H66" s="5" t="s">
        <v>25</v>
      </c>
      <c r="I66" s="5" t="s">
        <v>26</v>
      </c>
      <c r="J66" s="5" t="s">
        <v>27</v>
      </c>
      <c r="K66" s="108"/>
      <c r="S66" s="117"/>
      <c r="T66" s="151"/>
      <c r="U66" s="151"/>
      <c r="V66" s="151"/>
      <c r="W66" s="151"/>
      <c r="X66" s="126"/>
      <c r="Y66" s="125"/>
    </row>
    <row r="67" spans="1:25" x14ac:dyDescent="0.3">
      <c r="A67" s="176"/>
      <c r="B67" s="14" t="s">
        <v>35</v>
      </c>
      <c r="C67" s="179"/>
      <c r="D67" s="179"/>
      <c r="E67" s="179"/>
      <c r="F67" s="179"/>
      <c r="G67" s="15"/>
      <c r="H67" s="15"/>
      <c r="I67" s="15"/>
      <c r="J67" s="16"/>
      <c r="K67" s="108"/>
      <c r="S67" s="117"/>
      <c r="T67" s="151"/>
      <c r="U67" s="151"/>
      <c r="V67" s="151"/>
      <c r="W67" s="151"/>
      <c r="X67" s="126"/>
      <c r="Y67" s="125"/>
    </row>
    <row r="68" spans="1:25" s="13" customFormat="1" x14ac:dyDescent="0.3">
      <c r="A68" s="24"/>
      <c r="B68" s="21" t="s">
        <v>29</v>
      </c>
      <c r="C68" s="17"/>
      <c r="D68" s="17"/>
      <c r="E68" s="17"/>
      <c r="F68" s="17"/>
      <c r="G68" s="18"/>
      <c r="H68" s="18"/>
      <c r="I68" s="18"/>
      <c r="J68" s="22"/>
      <c r="K68" s="109"/>
      <c r="S68" s="117"/>
      <c r="T68" s="151"/>
      <c r="U68" s="151"/>
      <c r="V68" s="151"/>
      <c r="W68" s="151"/>
      <c r="X68" s="126"/>
      <c r="Y68" s="125"/>
    </row>
    <row r="69" spans="1:25" x14ac:dyDescent="0.3">
      <c r="A69" s="176"/>
      <c r="B69" s="3" t="s">
        <v>41</v>
      </c>
      <c r="C69" s="173"/>
      <c r="D69" s="173"/>
      <c r="E69" s="173"/>
      <c r="F69" s="173"/>
      <c r="G69" s="5"/>
      <c r="H69" s="5"/>
      <c r="I69" s="5"/>
      <c r="J69" s="6"/>
      <c r="K69" s="108"/>
      <c r="S69" s="117"/>
      <c r="T69" s="151"/>
      <c r="U69" s="151"/>
      <c r="V69" s="151"/>
      <c r="W69" s="151"/>
      <c r="X69" s="126"/>
      <c r="Y69" s="125"/>
    </row>
    <row r="70" spans="1:25" s="13" customFormat="1" ht="15" thickBot="1" x14ac:dyDescent="0.35">
      <c r="A70" s="24"/>
      <c r="B70" s="29" t="s">
        <v>9</v>
      </c>
      <c r="C70" s="30"/>
      <c r="D70" s="30"/>
      <c r="E70" s="30"/>
      <c r="F70" s="30"/>
      <c r="G70" s="31"/>
      <c r="H70" s="31"/>
      <c r="I70" s="31"/>
      <c r="J70" s="32"/>
      <c r="K70" s="109"/>
      <c r="S70" s="117"/>
      <c r="T70" s="151"/>
      <c r="U70" s="151"/>
      <c r="V70" s="151"/>
      <c r="W70" s="151"/>
      <c r="X70" s="126"/>
      <c r="Y70" s="125"/>
    </row>
    <row r="71" spans="1:25" ht="15" thickBot="1" x14ac:dyDescent="0.35">
      <c r="A71" s="176"/>
      <c r="B71" s="173"/>
      <c r="C71" s="173"/>
      <c r="D71" s="173"/>
      <c r="E71" s="173"/>
      <c r="F71" s="173"/>
      <c r="G71" s="5"/>
      <c r="H71" s="5"/>
      <c r="I71" s="5"/>
      <c r="J71" s="5"/>
      <c r="K71" s="193"/>
      <c r="S71" s="117"/>
      <c r="T71" s="151"/>
      <c r="U71" s="151"/>
      <c r="V71" s="151"/>
      <c r="W71" s="151"/>
      <c r="X71" s="126"/>
      <c r="Y71" s="125"/>
    </row>
    <row r="72" spans="1:25" ht="15" thickTop="1" x14ac:dyDescent="0.3">
      <c r="A72" s="106"/>
      <c r="B72" s="25"/>
      <c r="C72" s="25"/>
      <c r="D72" s="25"/>
      <c r="E72" s="25"/>
      <c r="F72" s="25"/>
      <c r="G72" s="26"/>
      <c r="H72" s="26"/>
      <c r="I72" s="26"/>
      <c r="J72" s="26"/>
      <c r="K72" s="108"/>
      <c r="S72" s="117"/>
      <c r="T72" s="151"/>
      <c r="U72" s="151"/>
      <c r="V72" s="151"/>
      <c r="W72" s="151"/>
      <c r="X72" s="126"/>
      <c r="Y72" s="125"/>
    </row>
    <row r="73" spans="1:25" ht="21" x14ac:dyDescent="0.4">
      <c r="A73" s="176"/>
      <c r="B73" s="173"/>
      <c r="C73" s="173"/>
      <c r="D73" s="173"/>
      <c r="E73" s="173"/>
      <c r="F73" s="172" t="s">
        <v>19</v>
      </c>
      <c r="G73" s="5"/>
      <c r="H73" s="5"/>
      <c r="I73" s="5"/>
      <c r="J73" s="5"/>
      <c r="K73" s="108"/>
      <c r="S73" s="117"/>
      <c r="T73" s="151"/>
      <c r="U73" s="151"/>
      <c r="V73" s="151"/>
      <c r="W73" s="151"/>
      <c r="X73" s="126"/>
      <c r="Y73" s="125"/>
    </row>
    <row r="74" spans="1:25" x14ac:dyDescent="0.3">
      <c r="A74" s="176"/>
      <c r="B74" s="28"/>
      <c r="C74" s="173"/>
      <c r="D74" s="173"/>
      <c r="E74" s="173"/>
      <c r="F74" s="173"/>
      <c r="G74" s="5"/>
      <c r="H74" s="5"/>
      <c r="I74" s="5"/>
      <c r="J74" s="5"/>
      <c r="K74" s="108"/>
      <c r="S74" s="117"/>
      <c r="T74" s="163"/>
      <c r="U74" s="163"/>
      <c r="V74" s="163"/>
      <c r="W74" s="163"/>
      <c r="X74" s="126"/>
      <c r="Y74" s="125"/>
    </row>
    <row r="75" spans="1:25" x14ac:dyDescent="0.3">
      <c r="A75" s="176"/>
      <c r="B75" s="173"/>
      <c r="C75" s="40">
        <v>28644</v>
      </c>
      <c r="D75" s="33" t="s">
        <v>17</v>
      </c>
      <c r="E75" s="33" t="s">
        <v>81</v>
      </c>
      <c r="F75" s="33">
        <v>3</v>
      </c>
      <c r="G75" s="33">
        <v>1</v>
      </c>
      <c r="H75" s="173"/>
      <c r="I75" s="5" t="s">
        <v>179</v>
      </c>
      <c r="J75" s="5"/>
      <c r="K75" s="108"/>
      <c r="S75" s="117" t="s">
        <v>17</v>
      </c>
      <c r="T75" s="151" t="s">
        <v>81</v>
      </c>
      <c r="U75" s="151">
        <v>3</v>
      </c>
      <c r="V75" s="151">
        <v>1</v>
      </c>
      <c r="W75" s="151"/>
      <c r="X75" s="126">
        <f t="shared" ref="X75" si="6">(IF(U75&gt;V75,3,IF(U75=V75,1,2)))</f>
        <v>3</v>
      </c>
      <c r="Y75" s="125">
        <f t="shared" ref="Y75" si="7">(IF(V75&gt;U75,3,IF(U75=V75,1,2)))</f>
        <v>2</v>
      </c>
    </row>
    <row r="76" spans="1:25" ht="15" thickBot="1" x14ac:dyDescent="0.35">
      <c r="A76" s="176"/>
      <c r="B76" s="173"/>
      <c r="C76" s="58"/>
      <c r="D76" s="59"/>
      <c r="E76" s="59"/>
      <c r="F76" s="59"/>
      <c r="G76" s="59"/>
      <c r="H76" s="178"/>
      <c r="I76" s="8"/>
      <c r="J76" s="5"/>
      <c r="K76" s="108"/>
      <c r="S76" s="117" t="s">
        <v>177</v>
      </c>
      <c r="T76" s="163" t="s">
        <v>63</v>
      </c>
      <c r="U76" s="163">
        <v>0</v>
      </c>
      <c r="V76" s="163">
        <v>3</v>
      </c>
      <c r="W76" s="163"/>
      <c r="X76" s="126">
        <f t="shared" ref="X76:X80" si="8">(IF(U76&gt;V76,3,IF(U76=V76,1,2)))</f>
        <v>2</v>
      </c>
      <c r="Y76" s="125">
        <f t="shared" ref="Y76:Y80" si="9">(IF(V76&gt;U76,3,IF(U76=V76,1,2)))</f>
        <v>3</v>
      </c>
    </row>
    <row r="77" spans="1:25" x14ac:dyDescent="0.3">
      <c r="A77" s="176"/>
      <c r="B77" s="173"/>
      <c r="C77" s="40">
        <v>28644</v>
      </c>
      <c r="D77" s="33" t="s">
        <v>177</v>
      </c>
      <c r="E77" s="33" t="s">
        <v>63</v>
      </c>
      <c r="F77" s="33">
        <v>0</v>
      </c>
      <c r="G77" s="33">
        <v>3</v>
      </c>
      <c r="H77" s="173"/>
      <c r="I77" s="5" t="s">
        <v>182</v>
      </c>
      <c r="J77" s="5"/>
      <c r="K77" s="108"/>
      <c r="S77" s="117" t="s">
        <v>81</v>
      </c>
      <c r="T77" s="151" t="s">
        <v>177</v>
      </c>
      <c r="U77" s="151">
        <v>1</v>
      </c>
      <c r="V77" s="151">
        <v>1</v>
      </c>
      <c r="W77" s="151"/>
      <c r="X77" s="126">
        <f t="shared" si="8"/>
        <v>1</v>
      </c>
      <c r="Y77" s="125">
        <f t="shared" si="9"/>
        <v>1</v>
      </c>
    </row>
    <row r="78" spans="1:25" ht="15" thickBot="1" x14ac:dyDescent="0.35">
      <c r="A78" s="176"/>
      <c r="B78" s="173"/>
      <c r="C78" s="58"/>
      <c r="D78" s="59"/>
      <c r="E78" s="59"/>
      <c r="F78" s="59"/>
      <c r="G78" s="59"/>
      <c r="H78" s="178"/>
      <c r="I78" s="8"/>
      <c r="J78" s="5"/>
      <c r="K78" s="108"/>
      <c r="S78" s="117" t="s">
        <v>63</v>
      </c>
      <c r="T78" s="163" t="s">
        <v>17</v>
      </c>
      <c r="U78" s="163">
        <v>0</v>
      </c>
      <c r="V78" s="163">
        <v>0</v>
      </c>
      <c r="W78" s="163"/>
      <c r="X78" s="126">
        <f t="shared" si="8"/>
        <v>1</v>
      </c>
      <c r="Y78" s="125">
        <f t="shared" si="9"/>
        <v>1</v>
      </c>
    </row>
    <row r="79" spans="1:25" x14ac:dyDescent="0.3">
      <c r="A79" s="176"/>
      <c r="B79" s="173"/>
      <c r="C79" s="40" t="s">
        <v>181</v>
      </c>
      <c r="D79" s="33" t="s">
        <v>81</v>
      </c>
      <c r="E79" s="33" t="s">
        <v>177</v>
      </c>
      <c r="F79" s="33">
        <v>1</v>
      </c>
      <c r="G79" s="33">
        <v>1</v>
      </c>
      <c r="H79" s="173"/>
      <c r="I79" s="5" t="s">
        <v>179</v>
      </c>
      <c r="J79" s="5"/>
      <c r="K79" s="108"/>
      <c r="S79" s="117" t="s">
        <v>17</v>
      </c>
      <c r="T79" s="151" t="s">
        <v>177</v>
      </c>
      <c r="U79" s="151">
        <v>4</v>
      </c>
      <c r="V79" s="151">
        <v>1</v>
      </c>
      <c r="W79" s="151"/>
      <c r="X79" s="126">
        <f t="shared" si="8"/>
        <v>3</v>
      </c>
      <c r="Y79" s="125">
        <f t="shared" si="9"/>
        <v>2</v>
      </c>
    </row>
    <row r="80" spans="1:25" ht="15" thickBot="1" x14ac:dyDescent="0.35">
      <c r="A80" s="176"/>
      <c r="B80" s="173"/>
      <c r="C80" s="58"/>
      <c r="D80" s="59"/>
      <c r="E80" s="59"/>
      <c r="F80" s="59"/>
      <c r="G80" s="59"/>
      <c r="H80" s="178"/>
      <c r="I80" s="8"/>
      <c r="J80" s="5"/>
      <c r="K80" s="108"/>
      <c r="S80" s="117" t="s">
        <v>81</v>
      </c>
      <c r="T80" s="163" t="s">
        <v>63</v>
      </c>
      <c r="U80" s="163">
        <v>3</v>
      </c>
      <c r="V80" s="163">
        <v>2</v>
      </c>
      <c r="W80" s="163"/>
      <c r="X80" s="126">
        <f t="shared" si="8"/>
        <v>3</v>
      </c>
      <c r="Y80" s="125">
        <f t="shared" si="9"/>
        <v>2</v>
      </c>
    </row>
    <row r="81" spans="1:25" ht="15" thickBot="1" x14ac:dyDescent="0.35">
      <c r="A81" s="176"/>
      <c r="B81" s="173"/>
      <c r="C81" s="58">
        <v>28648</v>
      </c>
      <c r="D81" s="59" t="s">
        <v>63</v>
      </c>
      <c r="E81" s="59" t="s">
        <v>17</v>
      </c>
      <c r="F81" s="59">
        <v>0</v>
      </c>
      <c r="G81" s="59">
        <v>0</v>
      </c>
      <c r="H81" s="178"/>
      <c r="I81" s="8" t="s">
        <v>182</v>
      </c>
      <c r="J81" s="5"/>
      <c r="K81" s="108"/>
      <c r="S81" s="117"/>
      <c r="T81" s="151"/>
      <c r="U81" s="151"/>
      <c r="V81" s="151"/>
      <c r="W81" s="151"/>
      <c r="X81" s="126"/>
      <c r="Y81" s="125"/>
    </row>
    <row r="82" spans="1:25" x14ac:dyDescent="0.3">
      <c r="A82" s="176"/>
      <c r="B82" s="173"/>
      <c r="C82" s="40">
        <v>28652</v>
      </c>
      <c r="D82" s="33" t="s">
        <v>17</v>
      </c>
      <c r="E82" s="33" t="s">
        <v>177</v>
      </c>
      <c r="F82" s="33">
        <v>4</v>
      </c>
      <c r="G82" s="33">
        <v>1</v>
      </c>
      <c r="H82" s="173"/>
      <c r="I82" s="5" t="s">
        <v>179</v>
      </c>
      <c r="J82" s="5"/>
      <c r="K82" s="108"/>
      <c r="S82" s="117"/>
      <c r="T82" s="151"/>
      <c r="U82" s="151"/>
      <c r="V82" s="151"/>
      <c r="W82" s="151"/>
      <c r="X82" s="126"/>
      <c r="Y82" s="125"/>
    </row>
    <row r="83" spans="1:25" ht="15" thickBot="1" x14ac:dyDescent="0.35">
      <c r="A83" s="176"/>
      <c r="B83" s="173"/>
      <c r="C83" s="58"/>
      <c r="D83" s="59"/>
      <c r="E83" s="59"/>
      <c r="F83" s="59"/>
      <c r="G83" s="59"/>
      <c r="H83" s="178"/>
      <c r="I83" s="8"/>
      <c r="J83" s="5"/>
      <c r="K83" s="108"/>
      <c r="S83" s="117"/>
      <c r="T83" s="163"/>
      <c r="U83" s="163"/>
      <c r="V83" s="163"/>
      <c r="W83" s="163"/>
      <c r="X83" s="126"/>
      <c r="Y83" s="125"/>
    </row>
    <row r="84" spans="1:25" x14ac:dyDescent="0.3">
      <c r="A84" s="176"/>
      <c r="B84" s="173"/>
      <c r="C84" s="40">
        <v>28652</v>
      </c>
      <c r="D84" s="66" t="s">
        <v>81</v>
      </c>
      <c r="E84" s="66" t="s">
        <v>63</v>
      </c>
      <c r="F84" s="66">
        <v>3</v>
      </c>
      <c r="G84" s="66">
        <v>2</v>
      </c>
      <c r="H84" s="173"/>
      <c r="I84" s="5" t="s">
        <v>182</v>
      </c>
      <c r="J84" s="5"/>
      <c r="K84" s="108"/>
      <c r="S84" s="117"/>
      <c r="T84" s="151"/>
      <c r="U84" s="151"/>
      <c r="V84" s="151"/>
      <c r="W84" s="151"/>
      <c r="X84" s="126"/>
      <c r="Y84" s="125"/>
    </row>
    <row r="85" spans="1:25" x14ac:dyDescent="0.3">
      <c r="A85" s="156"/>
      <c r="B85" s="17"/>
      <c r="C85" s="17"/>
      <c r="D85" s="66"/>
      <c r="E85" s="66"/>
      <c r="F85" s="33" t="s">
        <v>281</v>
      </c>
      <c r="G85" s="309" t="s">
        <v>282</v>
      </c>
      <c r="H85" s="5"/>
      <c r="I85" s="5"/>
      <c r="J85" s="5"/>
      <c r="K85" s="108"/>
      <c r="S85" s="117"/>
      <c r="T85" s="151"/>
      <c r="U85" s="151"/>
      <c r="V85" s="151"/>
      <c r="W85" s="151"/>
      <c r="X85" s="126"/>
      <c r="Y85" s="125"/>
    </row>
    <row r="86" spans="1:25" x14ac:dyDescent="0.3">
      <c r="A86" s="156"/>
      <c r="B86" s="17"/>
      <c r="C86" s="17"/>
      <c r="D86" s="66"/>
      <c r="E86" s="66"/>
      <c r="F86" s="33"/>
      <c r="G86" s="309"/>
      <c r="H86" s="5"/>
      <c r="I86" s="5"/>
      <c r="J86" s="5"/>
      <c r="K86" s="108"/>
      <c r="S86" s="117"/>
      <c r="T86" s="163"/>
      <c r="U86" s="163"/>
      <c r="V86" s="163"/>
      <c r="W86" s="163"/>
      <c r="X86" s="126"/>
      <c r="Y86" s="125"/>
    </row>
    <row r="87" spans="1:25" ht="15" thickBot="1" x14ac:dyDescent="0.35">
      <c r="A87" s="176"/>
      <c r="B87" s="173"/>
      <c r="C87" s="173" t="s">
        <v>12</v>
      </c>
      <c r="D87" s="173" t="s">
        <v>13</v>
      </c>
      <c r="E87" s="173" t="s">
        <v>14</v>
      </c>
      <c r="F87" s="173" t="s">
        <v>15</v>
      </c>
      <c r="G87" s="5" t="s">
        <v>24</v>
      </c>
      <c r="H87" s="5" t="s">
        <v>25</v>
      </c>
      <c r="I87" s="5" t="s">
        <v>26</v>
      </c>
      <c r="J87" s="5" t="s">
        <v>27</v>
      </c>
      <c r="K87" s="108"/>
      <c r="S87" s="117"/>
      <c r="T87" s="151"/>
      <c r="U87" s="151"/>
      <c r="V87" s="151"/>
      <c r="W87" s="151"/>
      <c r="X87" s="151"/>
      <c r="Y87" s="118"/>
    </row>
    <row r="88" spans="1:25" x14ac:dyDescent="0.3">
      <c r="A88" s="176"/>
      <c r="B88" s="14" t="s">
        <v>17</v>
      </c>
      <c r="C88" s="179"/>
      <c r="D88" s="179"/>
      <c r="E88" s="179"/>
      <c r="F88" s="179"/>
      <c r="G88" s="15"/>
      <c r="H88" s="15"/>
      <c r="I88" s="15"/>
      <c r="J88" s="16"/>
      <c r="K88" s="108"/>
      <c r="S88" s="117"/>
      <c r="T88" s="151"/>
      <c r="U88" s="151"/>
      <c r="V88" s="151"/>
      <c r="W88" s="151"/>
      <c r="X88" s="126"/>
      <c r="Y88" s="125"/>
    </row>
    <row r="89" spans="1:25" x14ac:dyDescent="0.3">
      <c r="A89" s="176"/>
      <c r="B89" s="21" t="s">
        <v>81</v>
      </c>
      <c r="C89" s="17"/>
      <c r="D89" s="17"/>
      <c r="E89" s="17"/>
      <c r="F89" s="17"/>
      <c r="G89" s="18"/>
      <c r="H89" s="18"/>
      <c r="I89" s="18"/>
      <c r="J89" s="22"/>
      <c r="K89" s="108"/>
      <c r="S89" s="117"/>
      <c r="T89" s="151"/>
      <c r="U89" s="151"/>
      <c r="V89" s="151"/>
      <c r="W89" s="151"/>
      <c r="X89" s="126"/>
      <c r="Y89" s="125"/>
    </row>
    <row r="90" spans="1:25" x14ac:dyDescent="0.3">
      <c r="A90" s="176"/>
      <c r="B90" s="3" t="s">
        <v>177</v>
      </c>
      <c r="C90" s="173"/>
      <c r="D90" s="173"/>
      <c r="E90" s="173"/>
      <c r="F90" s="173"/>
      <c r="G90" s="5"/>
      <c r="H90" s="5"/>
      <c r="I90" s="5"/>
      <c r="J90" s="6"/>
      <c r="K90" s="108"/>
      <c r="S90" s="117"/>
      <c r="T90" s="151"/>
      <c r="U90" s="151"/>
      <c r="V90" s="151"/>
      <c r="W90" s="151"/>
      <c r="X90" s="126"/>
      <c r="Y90" s="125"/>
    </row>
    <row r="91" spans="1:25" ht="15" thickBot="1" x14ac:dyDescent="0.35">
      <c r="A91" s="176"/>
      <c r="B91" s="7" t="s">
        <v>63</v>
      </c>
      <c r="C91" s="178"/>
      <c r="D91" s="178"/>
      <c r="E91" s="178"/>
      <c r="F91" s="178"/>
      <c r="G91" s="8"/>
      <c r="H91" s="8"/>
      <c r="I91" s="8"/>
      <c r="J91" s="9"/>
      <c r="K91" s="108"/>
      <c r="S91" s="117"/>
      <c r="T91" s="151"/>
      <c r="U91" s="151"/>
      <c r="V91" s="151"/>
      <c r="W91" s="151"/>
      <c r="X91" s="126"/>
      <c r="Y91" s="125"/>
    </row>
    <row r="92" spans="1:25" ht="15" thickBot="1" x14ac:dyDescent="0.35">
      <c r="A92" s="176"/>
      <c r="B92" s="173"/>
      <c r="C92" s="173"/>
      <c r="D92" s="173"/>
      <c r="E92" s="173"/>
      <c r="F92" s="173"/>
      <c r="G92" s="5"/>
      <c r="H92" s="5"/>
      <c r="I92" s="5"/>
      <c r="J92" s="5"/>
      <c r="K92" s="193"/>
      <c r="S92" s="117"/>
      <c r="T92" s="151"/>
      <c r="U92" s="151"/>
      <c r="V92" s="151"/>
      <c r="W92" s="151"/>
      <c r="X92" s="126"/>
      <c r="Y92" s="125"/>
    </row>
    <row r="93" spans="1:25" ht="15" thickTop="1" x14ac:dyDescent="0.3">
      <c r="A93" s="106"/>
      <c r="B93" s="25"/>
      <c r="C93" s="25"/>
      <c r="D93" s="25"/>
      <c r="E93" s="25"/>
      <c r="F93" s="25"/>
      <c r="G93" s="26"/>
      <c r="H93" s="26"/>
      <c r="I93" s="26"/>
      <c r="J93" s="26"/>
      <c r="K93" s="108"/>
      <c r="S93" s="117"/>
      <c r="T93" s="151"/>
      <c r="U93" s="151"/>
      <c r="V93" s="151"/>
      <c r="W93" s="151"/>
      <c r="X93" s="151"/>
      <c r="Y93" s="118"/>
    </row>
    <row r="94" spans="1:25" ht="21" x14ac:dyDescent="0.4">
      <c r="A94" s="176"/>
      <c r="B94" s="173"/>
      <c r="C94" s="173"/>
      <c r="D94" s="173"/>
      <c r="E94" s="173"/>
      <c r="F94" s="172" t="s">
        <v>163</v>
      </c>
      <c r="G94" s="5"/>
      <c r="H94" s="5"/>
      <c r="I94" s="5"/>
      <c r="J94" s="5"/>
      <c r="K94" s="108"/>
      <c r="S94" s="117"/>
      <c r="T94" s="151"/>
      <c r="U94" s="151"/>
      <c r="V94" s="151"/>
      <c r="W94" s="151"/>
      <c r="X94" s="151"/>
      <c r="Y94" s="118"/>
    </row>
    <row r="95" spans="1:25" x14ac:dyDescent="0.3">
      <c r="A95" s="176"/>
      <c r="B95" s="28"/>
      <c r="C95" s="173"/>
      <c r="D95" s="173"/>
      <c r="E95" s="173"/>
      <c r="F95" s="173"/>
      <c r="G95" s="5"/>
      <c r="H95" s="5"/>
      <c r="I95" s="5"/>
      <c r="J95" s="5"/>
      <c r="K95" s="108"/>
      <c r="S95" s="117"/>
      <c r="T95" s="163"/>
      <c r="U95" s="163"/>
      <c r="V95" s="163"/>
      <c r="W95" s="163"/>
      <c r="X95" s="163"/>
      <c r="Y95" s="118"/>
    </row>
    <row r="96" spans="1:25" x14ac:dyDescent="0.3">
      <c r="A96" s="176"/>
      <c r="B96" s="173"/>
      <c r="C96" s="40">
        <v>28655</v>
      </c>
      <c r="D96" s="33" t="s">
        <v>29</v>
      </c>
      <c r="E96" s="33" t="s">
        <v>63</v>
      </c>
      <c r="F96" s="33">
        <v>1</v>
      </c>
      <c r="G96" s="33">
        <v>5</v>
      </c>
      <c r="H96" s="173"/>
      <c r="I96" s="5" t="s">
        <v>179</v>
      </c>
      <c r="J96" s="5"/>
      <c r="K96" s="108"/>
      <c r="S96" s="117" t="s">
        <v>29</v>
      </c>
      <c r="T96" s="151" t="s">
        <v>63</v>
      </c>
      <c r="U96" s="151">
        <v>1</v>
      </c>
      <c r="V96" s="151">
        <v>5</v>
      </c>
      <c r="W96" s="151"/>
      <c r="X96" s="126">
        <f t="shared" ref="X96:X101" si="10">(IF(U96&gt;V96,3,IF(U96=V96,1,2)))</f>
        <v>2</v>
      </c>
      <c r="Y96" s="125">
        <f t="shared" ref="Y96:Y101" si="11">(IF(V96&gt;U96,3,IF(U96=V96,1,2)))</f>
        <v>3</v>
      </c>
    </row>
    <row r="97" spans="1:25" ht="15" thickBot="1" x14ac:dyDescent="0.35">
      <c r="A97" s="176"/>
      <c r="B97" s="173"/>
      <c r="C97" s="58"/>
      <c r="D97" s="59"/>
      <c r="E97" s="59"/>
      <c r="F97" s="59"/>
      <c r="G97" s="59"/>
      <c r="H97" s="178"/>
      <c r="I97" s="8"/>
      <c r="J97" s="5"/>
      <c r="K97" s="108"/>
      <c r="S97" s="117" t="s">
        <v>88</v>
      </c>
      <c r="T97" s="163" t="s">
        <v>37</v>
      </c>
      <c r="U97" s="163">
        <v>0</v>
      </c>
      <c r="V97" s="163">
        <v>0</v>
      </c>
      <c r="W97" s="163"/>
      <c r="X97" s="126">
        <f t="shared" si="10"/>
        <v>1</v>
      </c>
      <c r="Y97" s="125">
        <f t="shared" si="11"/>
        <v>1</v>
      </c>
    </row>
    <row r="98" spans="1:25" ht="15" thickBot="1" x14ac:dyDescent="0.35">
      <c r="A98" s="176"/>
      <c r="B98" s="173"/>
      <c r="C98" s="58">
        <v>28655</v>
      </c>
      <c r="D98" s="59" t="s">
        <v>88</v>
      </c>
      <c r="E98" s="59" t="s">
        <v>37</v>
      </c>
      <c r="F98" s="59">
        <v>0</v>
      </c>
      <c r="G98" s="59">
        <v>0</v>
      </c>
      <c r="H98" s="178"/>
      <c r="I98" s="8" t="s">
        <v>175</v>
      </c>
      <c r="J98" s="5"/>
      <c r="K98" s="108"/>
      <c r="S98" s="117" t="s">
        <v>63</v>
      </c>
      <c r="T98" s="151" t="s">
        <v>88</v>
      </c>
      <c r="U98" s="151">
        <v>2</v>
      </c>
      <c r="V98" s="151">
        <v>2</v>
      </c>
      <c r="W98" s="151"/>
      <c r="X98" s="126">
        <f t="shared" si="10"/>
        <v>1</v>
      </c>
      <c r="Y98" s="125">
        <f t="shared" si="11"/>
        <v>1</v>
      </c>
    </row>
    <row r="99" spans="1:25" x14ac:dyDescent="0.3">
      <c r="A99" s="176"/>
      <c r="B99" s="173"/>
      <c r="C99" s="40">
        <v>28659</v>
      </c>
      <c r="D99" s="33" t="s">
        <v>63</v>
      </c>
      <c r="E99" s="33" t="s">
        <v>88</v>
      </c>
      <c r="F99" s="33">
        <v>2</v>
      </c>
      <c r="G99" s="33">
        <v>2</v>
      </c>
      <c r="H99" s="173"/>
      <c r="I99" s="5" t="s">
        <v>179</v>
      </c>
      <c r="J99" s="5"/>
      <c r="K99" s="108"/>
      <c r="S99" s="117" t="s">
        <v>37</v>
      </c>
      <c r="T99" s="151" t="s">
        <v>29</v>
      </c>
      <c r="U99" s="151">
        <v>1</v>
      </c>
      <c r="V99" s="151">
        <v>0</v>
      </c>
      <c r="W99" s="151"/>
      <c r="X99" s="126">
        <f t="shared" si="10"/>
        <v>3</v>
      </c>
      <c r="Y99" s="125">
        <f t="shared" si="11"/>
        <v>2</v>
      </c>
    </row>
    <row r="100" spans="1:25" ht="15" thickBot="1" x14ac:dyDescent="0.35">
      <c r="A100" s="176"/>
      <c r="B100" s="173"/>
      <c r="C100" s="58"/>
      <c r="D100" s="59"/>
      <c r="E100" s="59"/>
      <c r="F100" s="59"/>
      <c r="G100" s="59"/>
      <c r="H100" s="178"/>
      <c r="I100" s="8"/>
      <c r="J100" s="5"/>
      <c r="K100" s="108"/>
      <c r="S100" s="117" t="s">
        <v>29</v>
      </c>
      <c r="T100" s="163" t="s">
        <v>88</v>
      </c>
      <c r="U100" s="163">
        <v>3</v>
      </c>
      <c r="V100" s="163">
        <v>2</v>
      </c>
      <c r="W100" s="163"/>
      <c r="X100" s="126">
        <f t="shared" si="10"/>
        <v>3</v>
      </c>
      <c r="Y100" s="125">
        <f t="shared" si="11"/>
        <v>2</v>
      </c>
    </row>
    <row r="101" spans="1:25" x14ac:dyDescent="0.3">
      <c r="A101" s="176"/>
      <c r="B101" s="173"/>
      <c r="C101" s="40">
        <v>28659</v>
      </c>
      <c r="D101" s="33" t="s">
        <v>37</v>
      </c>
      <c r="E101" s="33" t="s">
        <v>29</v>
      </c>
      <c r="F101" s="33">
        <v>1</v>
      </c>
      <c r="G101" s="33">
        <v>0</v>
      </c>
      <c r="H101" s="173"/>
      <c r="I101" s="5" t="s">
        <v>175</v>
      </c>
      <c r="J101" s="5"/>
      <c r="K101" s="108"/>
      <c r="S101" s="117" t="s">
        <v>63</v>
      </c>
      <c r="T101" s="151" t="s">
        <v>37</v>
      </c>
      <c r="U101" s="151">
        <v>2</v>
      </c>
      <c r="V101" s="151">
        <v>1</v>
      </c>
      <c r="W101" s="151"/>
      <c r="X101" s="126">
        <f t="shared" si="10"/>
        <v>3</v>
      </c>
      <c r="Y101" s="125">
        <f t="shared" si="11"/>
        <v>2</v>
      </c>
    </row>
    <row r="102" spans="1:25" ht="15" thickBot="1" x14ac:dyDescent="0.35">
      <c r="A102" s="176"/>
      <c r="B102" s="173"/>
      <c r="C102" s="58"/>
      <c r="D102" s="59"/>
      <c r="E102" s="59"/>
      <c r="F102" s="59"/>
      <c r="G102" s="59"/>
      <c r="H102" s="178"/>
      <c r="I102" s="8"/>
      <c r="J102" s="5"/>
      <c r="K102" s="108"/>
      <c r="S102" s="117"/>
      <c r="T102" s="163"/>
      <c r="U102" s="163"/>
      <c r="V102" s="163"/>
      <c r="W102" s="163"/>
      <c r="X102" s="126"/>
      <c r="Y102" s="125"/>
    </row>
    <row r="103" spans="1:25" x14ac:dyDescent="0.3">
      <c r="A103" s="176"/>
      <c r="B103" s="173"/>
      <c r="C103" s="40">
        <v>28662</v>
      </c>
      <c r="D103" s="33" t="s">
        <v>29</v>
      </c>
      <c r="E103" s="33" t="s">
        <v>88</v>
      </c>
      <c r="F103" s="33">
        <v>3</v>
      </c>
      <c r="G103" s="33">
        <v>2</v>
      </c>
      <c r="H103" s="173"/>
      <c r="I103" s="5" t="s">
        <v>179</v>
      </c>
      <c r="J103" s="5"/>
      <c r="K103" s="108"/>
      <c r="S103" s="117"/>
      <c r="T103" s="151"/>
      <c r="U103" s="151"/>
      <c r="V103" s="151"/>
      <c r="W103" s="151"/>
      <c r="X103" s="126"/>
      <c r="Y103" s="125"/>
    </row>
    <row r="104" spans="1:25" ht="15" thickBot="1" x14ac:dyDescent="0.35">
      <c r="A104" s="176"/>
      <c r="B104" s="173"/>
      <c r="C104" s="58"/>
      <c r="D104" s="59"/>
      <c r="E104" s="59"/>
      <c r="F104" s="59"/>
      <c r="G104" s="59"/>
      <c r="H104" s="178"/>
      <c r="I104" s="8"/>
      <c r="J104" s="5"/>
      <c r="K104" s="108"/>
      <c r="S104" s="117"/>
      <c r="T104" s="163"/>
      <c r="U104" s="163"/>
      <c r="V104" s="163"/>
      <c r="W104" s="163"/>
      <c r="X104" s="126"/>
      <c r="Y104" s="125"/>
    </row>
    <row r="105" spans="1:25" x14ac:dyDescent="0.3">
      <c r="A105" s="176"/>
      <c r="B105" s="173"/>
      <c r="C105" s="40">
        <v>28662</v>
      </c>
      <c r="D105" s="33" t="s">
        <v>63</v>
      </c>
      <c r="E105" s="33" t="s">
        <v>37</v>
      </c>
      <c r="F105" s="33">
        <v>2</v>
      </c>
      <c r="G105" s="33">
        <v>1</v>
      </c>
      <c r="H105" s="173"/>
      <c r="I105" s="5" t="s">
        <v>175</v>
      </c>
      <c r="J105" s="5"/>
      <c r="K105" s="108"/>
      <c r="S105" s="117"/>
      <c r="T105" s="151"/>
      <c r="U105" s="151"/>
      <c r="V105" s="151"/>
      <c r="W105" s="151"/>
      <c r="X105" s="126"/>
      <c r="Y105" s="125"/>
    </row>
    <row r="106" spans="1:25" x14ac:dyDescent="0.3">
      <c r="A106" s="156"/>
      <c r="B106" s="173"/>
      <c r="C106" s="173"/>
      <c r="D106" s="33"/>
      <c r="E106" s="33"/>
      <c r="F106" s="33" t="s">
        <v>281</v>
      </c>
      <c r="G106" s="309" t="s">
        <v>282</v>
      </c>
      <c r="H106" s="5"/>
      <c r="I106" s="5"/>
      <c r="J106" s="5"/>
      <c r="K106" s="108"/>
      <c r="S106" s="117"/>
      <c r="T106" s="151"/>
      <c r="U106" s="151"/>
      <c r="V106" s="151"/>
      <c r="W106" s="151"/>
      <c r="X106" s="126"/>
      <c r="Y106" s="125"/>
    </row>
    <row r="107" spans="1:25" x14ac:dyDescent="0.3">
      <c r="A107" s="156"/>
      <c r="B107" s="173"/>
      <c r="C107" s="173"/>
      <c r="D107" s="33"/>
      <c r="E107" s="33"/>
      <c r="F107" s="33"/>
      <c r="G107" s="309"/>
      <c r="H107" s="5"/>
      <c r="I107" s="5"/>
      <c r="J107" s="5"/>
      <c r="K107" s="108"/>
      <c r="S107" s="117"/>
      <c r="T107" s="163"/>
      <c r="U107" s="163"/>
      <c r="V107" s="163"/>
      <c r="W107" s="163"/>
      <c r="X107" s="126"/>
      <c r="Y107" s="125"/>
    </row>
    <row r="108" spans="1:25" ht="15" thickBot="1" x14ac:dyDescent="0.35">
      <c r="A108" s="176"/>
      <c r="B108" s="173"/>
      <c r="C108" s="173" t="s">
        <v>12</v>
      </c>
      <c r="D108" s="173" t="s">
        <v>13</v>
      </c>
      <c r="E108" s="173" t="s">
        <v>14</v>
      </c>
      <c r="F108" s="173" t="s">
        <v>15</v>
      </c>
      <c r="G108" s="5" t="s">
        <v>24</v>
      </c>
      <c r="H108" s="5" t="s">
        <v>25</v>
      </c>
      <c r="I108" s="5" t="s">
        <v>26</v>
      </c>
      <c r="J108" s="5" t="s">
        <v>27</v>
      </c>
      <c r="K108" s="108"/>
      <c r="S108" s="117"/>
      <c r="T108" s="151"/>
      <c r="U108" s="151"/>
      <c r="V108" s="151"/>
      <c r="W108" s="151"/>
      <c r="X108" s="126"/>
      <c r="Y108" s="125"/>
    </row>
    <row r="109" spans="1:25" s="13" customFormat="1" x14ac:dyDescent="0.3">
      <c r="A109" s="24"/>
      <c r="B109" s="14" t="s">
        <v>29</v>
      </c>
      <c r="C109" s="179"/>
      <c r="D109" s="179"/>
      <c r="E109" s="179"/>
      <c r="F109" s="179"/>
      <c r="G109" s="15"/>
      <c r="H109" s="15"/>
      <c r="I109" s="15"/>
      <c r="J109" s="16"/>
      <c r="K109" s="109"/>
      <c r="S109" s="117"/>
      <c r="T109" s="151"/>
      <c r="U109" s="151"/>
      <c r="V109" s="151"/>
      <c r="W109" s="151"/>
      <c r="X109" s="126"/>
      <c r="Y109" s="125"/>
    </row>
    <row r="110" spans="1:25" s="13" customFormat="1" x14ac:dyDescent="0.3">
      <c r="A110" s="24"/>
      <c r="B110" s="21" t="s">
        <v>63</v>
      </c>
      <c r="C110" s="17"/>
      <c r="D110" s="17"/>
      <c r="E110" s="17"/>
      <c r="F110" s="17"/>
      <c r="G110" s="18"/>
      <c r="H110" s="18"/>
      <c r="I110" s="18"/>
      <c r="J110" s="22"/>
      <c r="K110" s="109"/>
      <c r="S110" s="117"/>
      <c r="T110" s="151"/>
      <c r="U110" s="151"/>
      <c r="V110" s="151"/>
      <c r="W110" s="151"/>
      <c r="X110" s="126"/>
      <c r="Y110" s="125"/>
    </row>
    <row r="111" spans="1:25" s="13" customFormat="1" x14ac:dyDescent="0.3">
      <c r="A111" s="24"/>
      <c r="B111" s="21" t="s">
        <v>88</v>
      </c>
      <c r="C111" s="17"/>
      <c r="D111" s="17"/>
      <c r="E111" s="17"/>
      <c r="F111" s="17"/>
      <c r="G111" s="18"/>
      <c r="H111" s="18"/>
      <c r="I111" s="18"/>
      <c r="J111" s="22"/>
      <c r="K111" s="109"/>
      <c r="S111" s="117"/>
      <c r="T111" s="151"/>
      <c r="U111" s="151"/>
      <c r="V111" s="151"/>
      <c r="W111" s="151"/>
      <c r="X111" s="126"/>
      <c r="Y111" s="125"/>
    </row>
    <row r="112" spans="1:25" s="13" customFormat="1" ht="15" thickBot="1" x14ac:dyDescent="0.35">
      <c r="A112" s="24"/>
      <c r="B112" s="29" t="s">
        <v>37</v>
      </c>
      <c r="C112" s="30"/>
      <c r="D112" s="30"/>
      <c r="E112" s="30"/>
      <c r="F112" s="30"/>
      <c r="G112" s="31"/>
      <c r="H112" s="31"/>
      <c r="I112" s="31"/>
      <c r="J112" s="32"/>
      <c r="K112" s="109"/>
      <c r="S112" s="117"/>
      <c r="T112" s="151"/>
      <c r="U112" s="151"/>
      <c r="V112" s="151"/>
      <c r="W112" s="151"/>
      <c r="X112" s="126"/>
      <c r="Y112" s="125"/>
    </row>
    <row r="113" spans="1:25" x14ac:dyDescent="0.3">
      <c r="A113" s="156"/>
      <c r="B113" s="173"/>
      <c r="C113" s="173"/>
      <c r="D113" s="173"/>
      <c r="E113" s="173"/>
      <c r="F113" s="173"/>
      <c r="G113" s="5"/>
      <c r="H113" s="5"/>
      <c r="I113" s="5"/>
      <c r="J113" s="5"/>
      <c r="K113" s="108"/>
      <c r="S113" s="117"/>
      <c r="T113" s="151"/>
      <c r="U113" s="151"/>
      <c r="V113" s="151"/>
      <c r="W113" s="151"/>
      <c r="X113" s="126"/>
      <c r="Y113" s="125"/>
    </row>
    <row r="114" spans="1:25" x14ac:dyDescent="0.3">
      <c r="A114" s="156"/>
      <c r="B114" s="173"/>
      <c r="C114" s="173"/>
      <c r="D114" s="173"/>
      <c r="E114" s="173"/>
      <c r="F114" s="173"/>
      <c r="G114" s="5"/>
      <c r="H114" s="5"/>
      <c r="I114" s="5"/>
      <c r="J114" s="5"/>
      <c r="K114" s="108"/>
      <c r="S114" s="117"/>
      <c r="T114" s="151"/>
      <c r="U114" s="151"/>
      <c r="V114" s="151"/>
      <c r="W114" s="151"/>
      <c r="X114" s="126"/>
      <c r="Y114" s="125"/>
    </row>
    <row r="115" spans="1:25" ht="21" x14ac:dyDescent="0.4">
      <c r="A115" s="156"/>
      <c r="B115" s="173"/>
      <c r="C115" s="173"/>
      <c r="D115" s="173"/>
      <c r="E115" s="173"/>
      <c r="F115" s="172" t="s">
        <v>164</v>
      </c>
      <c r="G115" s="5"/>
      <c r="H115" s="5"/>
      <c r="I115" s="5"/>
      <c r="J115" s="5"/>
      <c r="K115" s="108"/>
      <c r="S115" s="117"/>
      <c r="T115" s="151"/>
      <c r="U115" s="151"/>
      <c r="V115" s="151"/>
      <c r="W115" s="151"/>
      <c r="X115" s="151"/>
      <c r="Y115" s="118"/>
    </row>
    <row r="116" spans="1:25" x14ac:dyDescent="0.3">
      <c r="A116" s="156"/>
      <c r="B116" s="28"/>
      <c r="C116" s="173"/>
      <c r="D116" s="173"/>
      <c r="E116" s="173"/>
      <c r="F116" s="173"/>
      <c r="G116" s="5"/>
      <c r="H116" s="5"/>
      <c r="I116" s="5"/>
      <c r="J116" s="5"/>
      <c r="K116" s="108"/>
      <c r="S116" s="117"/>
      <c r="T116" s="163"/>
      <c r="U116" s="163"/>
      <c r="V116" s="163"/>
      <c r="W116" s="163"/>
      <c r="X116" s="163"/>
      <c r="Y116" s="118"/>
    </row>
    <row r="117" spans="1:25" x14ac:dyDescent="0.3">
      <c r="A117" s="176"/>
      <c r="B117" s="173"/>
      <c r="C117" s="40">
        <v>28655</v>
      </c>
      <c r="D117" s="66" t="s">
        <v>9</v>
      </c>
      <c r="E117" s="66" t="s">
        <v>17</v>
      </c>
      <c r="F117" s="66">
        <v>3</v>
      </c>
      <c r="G117" s="66">
        <v>0</v>
      </c>
      <c r="H117" s="173"/>
      <c r="I117" s="5" t="s">
        <v>182</v>
      </c>
      <c r="J117" s="5"/>
      <c r="K117" s="108"/>
      <c r="S117" s="117" t="s">
        <v>9</v>
      </c>
      <c r="T117" s="151" t="s">
        <v>17</v>
      </c>
      <c r="U117" s="151">
        <v>3</v>
      </c>
      <c r="V117" s="151">
        <v>0</v>
      </c>
      <c r="W117" s="151"/>
      <c r="X117" s="126">
        <f t="shared" ref="X117:X122" si="12">(IF(U117&gt;V117,3,IF(U117=V117,1,2)))</f>
        <v>3</v>
      </c>
      <c r="Y117" s="125">
        <f t="shared" ref="Y117:Y122" si="13">(IF(V117&gt;U117,3,IF(U117=V117,1,2)))</f>
        <v>2</v>
      </c>
    </row>
    <row r="118" spans="1:25" ht="15" thickBot="1" x14ac:dyDescent="0.35">
      <c r="A118" s="176"/>
      <c r="B118" s="173"/>
      <c r="C118" s="58"/>
      <c r="D118" s="59"/>
      <c r="E118" s="59"/>
      <c r="F118" s="59"/>
      <c r="G118" s="59"/>
      <c r="H118" s="178"/>
      <c r="I118" s="8"/>
      <c r="J118" s="5"/>
      <c r="K118" s="108"/>
      <c r="S118" s="117" t="s">
        <v>61</v>
      </c>
      <c r="T118" s="163" t="s">
        <v>5</v>
      </c>
      <c r="U118" s="163">
        <v>0</v>
      </c>
      <c r="V118" s="163">
        <v>2</v>
      </c>
      <c r="W118" s="163"/>
      <c r="X118" s="126">
        <f t="shared" si="12"/>
        <v>2</v>
      </c>
      <c r="Y118" s="125">
        <f t="shared" si="13"/>
        <v>3</v>
      </c>
    </row>
    <row r="119" spans="1:25" x14ac:dyDescent="0.3">
      <c r="A119" s="176"/>
      <c r="B119" s="173"/>
      <c r="C119" s="40">
        <v>28655</v>
      </c>
      <c r="D119" s="33" t="s">
        <v>61</v>
      </c>
      <c r="E119" s="33" t="s">
        <v>5</v>
      </c>
      <c r="F119" s="33">
        <v>0</v>
      </c>
      <c r="G119" s="33">
        <v>2</v>
      </c>
      <c r="H119" s="173"/>
      <c r="I119" s="5" t="s">
        <v>178</v>
      </c>
      <c r="J119" s="5"/>
      <c r="K119" s="108"/>
      <c r="S119" s="117" t="s">
        <v>17</v>
      </c>
      <c r="T119" s="151" t="s">
        <v>61</v>
      </c>
      <c r="U119" s="151">
        <v>0</v>
      </c>
      <c r="V119" s="151">
        <v>1</v>
      </c>
      <c r="W119" s="151"/>
      <c r="X119" s="126">
        <f t="shared" si="12"/>
        <v>2</v>
      </c>
      <c r="Y119" s="125">
        <f t="shared" si="13"/>
        <v>3</v>
      </c>
    </row>
    <row r="120" spans="1:25" ht="15" thickBot="1" x14ac:dyDescent="0.35">
      <c r="A120" s="176"/>
      <c r="B120" s="173"/>
      <c r="C120" s="58"/>
      <c r="D120" s="59"/>
      <c r="E120" s="59"/>
      <c r="F120" s="59"/>
      <c r="G120" s="59"/>
      <c r="H120" s="178"/>
      <c r="I120" s="8"/>
      <c r="J120" s="5"/>
      <c r="K120" s="108"/>
      <c r="S120" s="117" t="s">
        <v>5</v>
      </c>
      <c r="T120" s="163" t="s">
        <v>9</v>
      </c>
      <c r="U120" s="163">
        <v>0</v>
      </c>
      <c r="V120" s="163">
        <v>0</v>
      </c>
      <c r="W120" s="163"/>
      <c r="X120" s="126">
        <f t="shared" si="12"/>
        <v>1</v>
      </c>
      <c r="Y120" s="125">
        <f t="shared" si="13"/>
        <v>1</v>
      </c>
    </row>
    <row r="121" spans="1:25" x14ac:dyDescent="0.3">
      <c r="A121" s="176"/>
      <c r="B121" s="173"/>
      <c r="C121" s="40">
        <v>28659</v>
      </c>
      <c r="D121" s="66" t="s">
        <v>17</v>
      </c>
      <c r="E121" s="66" t="s">
        <v>61</v>
      </c>
      <c r="F121" s="66">
        <v>0</v>
      </c>
      <c r="G121" s="66">
        <v>1</v>
      </c>
      <c r="H121" s="173"/>
      <c r="I121" s="5" t="s">
        <v>182</v>
      </c>
      <c r="J121" s="5"/>
      <c r="K121" s="108"/>
      <c r="S121" s="117" t="s">
        <v>9</v>
      </c>
      <c r="T121" s="151" t="s">
        <v>61</v>
      </c>
      <c r="U121" s="151">
        <v>3</v>
      </c>
      <c r="V121" s="151">
        <v>1</v>
      </c>
      <c r="W121" s="151"/>
      <c r="X121" s="126">
        <f t="shared" si="12"/>
        <v>3</v>
      </c>
      <c r="Y121" s="125">
        <f t="shared" si="13"/>
        <v>2</v>
      </c>
    </row>
    <row r="122" spans="1:25" ht="15" thickBot="1" x14ac:dyDescent="0.35">
      <c r="A122" s="176"/>
      <c r="B122" s="173"/>
      <c r="C122" s="58"/>
      <c r="D122" s="59"/>
      <c r="E122" s="59"/>
      <c r="F122" s="59"/>
      <c r="G122" s="59"/>
      <c r="H122" s="178"/>
      <c r="I122" s="8"/>
      <c r="J122" s="5"/>
      <c r="K122" s="108"/>
      <c r="S122" s="117" t="s">
        <v>17</v>
      </c>
      <c r="T122" s="163" t="s">
        <v>5</v>
      </c>
      <c r="U122" s="163">
        <v>0</v>
      </c>
      <c r="V122" s="163">
        <v>6</v>
      </c>
      <c r="W122" s="163"/>
      <c r="X122" s="126">
        <f t="shared" si="12"/>
        <v>2</v>
      </c>
      <c r="Y122" s="125">
        <f t="shared" si="13"/>
        <v>3</v>
      </c>
    </row>
    <row r="123" spans="1:25" ht="15" thickBot="1" x14ac:dyDescent="0.35">
      <c r="A123" s="176"/>
      <c r="B123" s="173"/>
      <c r="C123" s="58">
        <v>28659</v>
      </c>
      <c r="D123" s="59" t="s">
        <v>5</v>
      </c>
      <c r="E123" s="59" t="s">
        <v>9</v>
      </c>
      <c r="F123" s="59">
        <v>0</v>
      </c>
      <c r="G123" s="59">
        <v>0</v>
      </c>
      <c r="H123" s="178"/>
      <c r="I123" s="8" t="s">
        <v>178</v>
      </c>
      <c r="J123" s="5"/>
      <c r="K123" s="108"/>
      <c r="S123" s="117"/>
      <c r="T123" s="151"/>
      <c r="U123" s="151"/>
      <c r="V123" s="151"/>
      <c r="W123" s="151"/>
      <c r="X123" s="151"/>
      <c r="Y123" s="118"/>
    </row>
    <row r="124" spans="1:25" x14ac:dyDescent="0.3">
      <c r="A124" s="176"/>
      <c r="B124" s="173"/>
      <c r="C124" s="40">
        <v>28662</v>
      </c>
      <c r="D124" s="66" t="s">
        <v>9</v>
      </c>
      <c r="E124" s="66" t="s">
        <v>61</v>
      </c>
      <c r="F124" s="66">
        <v>3</v>
      </c>
      <c r="G124" s="66">
        <v>1</v>
      </c>
      <c r="H124" s="173"/>
      <c r="I124" s="5" t="s">
        <v>182</v>
      </c>
      <c r="J124" s="5"/>
      <c r="K124" s="108"/>
      <c r="S124" s="117"/>
      <c r="T124" s="151"/>
      <c r="U124" s="151"/>
      <c r="V124" s="151"/>
      <c r="W124" s="151"/>
      <c r="X124" s="151"/>
      <c r="Y124" s="118"/>
    </row>
    <row r="125" spans="1:25" ht="15" thickBot="1" x14ac:dyDescent="0.35">
      <c r="A125" s="176"/>
      <c r="B125" s="173"/>
      <c r="C125" s="58"/>
      <c r="D125" s="59"/>
      <c r="E125" s="59"/>
      <c r="F125" s="59"/>
      <c r="G125" s="59"/>
      <c r="H125" s="178"/>
      <c r="I125" s="8"/>
      <c r="J125" s="5"/>
      <c r="K125" s="108"/>
      <c r="S125" s="117"/>
      <c r="T125" s="163"/>
      <c r="U125" s="163"/>
      <c r="V125" s="163"/>
      <c r="W125" s="163"/>
      <c r="X125" s="163"/>
      <c r="Y125" s="118"/>
    </row>
    <row r="126" spans="1:25" x14ac:dyDescent="0.3">
      <c r="A126" s="176"/>
      <c r="B126" s="173"/>
      <c r="C126" s="40">
        <v>28662</v>
      </c>
      <c r="D126" s="33" t="s">
        <v>17</v>
      </c>
      <c r="E126" s="33" t="s">
        <v>5</v>
      </c>
      <c r="F126" s="33">
        <v>0</v>
      </c>
      <c r="G126" s="33">
        <v>6</v>
      </c>
      <c r="H126" s="173"/>
      <c r="I126" s="5" t="s">
        <v>178</v>
      </c>
      <c r="J126" s="5"/>
      <c r="K126" s="108"/>
      <c r="S126" s="117"/>
      <c r="T126" s="151"/>
      <c r="U126" s="151"/>
      <c r="V126" s="151"/>
      <c r="W126" s="151"/>
      <c r="X126" s="126"/>
      <c r="Y126" s="125"/>
    </row>
    <row r="127" spans="1:25" x14ac:dyDescent="0.3">
      <c r="A127" s="156"/>
      <c r="B127" s="173"/>
      <c r="C127" s="173"/>
      <c r="D127" s="33"/>
      <c r="E127" s="33"/>
      <c r="F127" s="33" t="s">
        <v>281</v>
      </c>
      <c r="G127" s="309" t="s">
        <v>282</v>
      </c>
      <c r="H127" s="5"/>
      <c r="I127" s="5"/>
      <c r="J127" s="5"/>
      <c r="K127" s="108"/>
      <c r="S127" s="117"/>
      <c r="T127" s="151"/>
      <c r="U127" s="151"/>
      <c r="V127" s="151"/>
      <c r="W127" s="151"/>
      <c r="X127" s="126"/>
      <c r="Y127" s="125"/>
    </row>
    <row r="128" spans="1:25" x14ac:dyDescent="0.3">
      <c r="A128" s="156"/>
      <c r="B128" s="173"/>
      <c r="C128" s="173"/>
      <c r="D128" s="173"/>
      <c r="E128" s="173"/>
      <c r="F128" s="173"/>
      <c r="G128" s="5"/>
      <c r="H128" s="5"/>
      <c r="I128" s="5"/>
      <c r="J128" s="5"/>
      <c r="K128" s="108"/>
      <c r="S128" s="117"/>
      <c r="T128" s="163"/>
      <c r="U128" s="163"/>
      <c r="V128" s="163"/>
      <c r="W128" s="163"/>
      <c r="X128" s="126"/>
      <c r="Y128" s="125"/>
    </row>
    <row r="129" spans="1:25" ht="15" thickBot="1" x14ac:dyDescent="0.35">
      <c r="A129" s="176"/>
      <c r="B129" s="173"/>
      <c r="C129" s="173" t="s">
        <v>12</v>
      </c>
      <c r="D129" s="173" t="s">
        <v>13</v>
      </c>
      <c r="E129" s="173" t="s">
        <v>14</v>
      </c>
      <c r="F129" s="173" t="s">
        <v>15</v>
      </c>
      <c r="G129" s="5" t="s">
        <v>24</v>
      </c>
      <c r="H129" s="5" t="s">
        <v>25</v>
      </c>
      <c r="I129" s="5" t="s">
        <v>26</v>
      </c>
      <c r="J129" s="5" t="s">
        <v>27</v>
      </c>
      <c r="K129" s="108"/>
      <c r="S129" s="117"/>
      <c r="T129" s="151"/>
      <c r="U129" s="151"/>
      <c r="V129" s="151"/>
      <c r="W129" s="151"/>
      <c r="X129" s="126"/>
      <c r="Y129" s="125"/>
    </row>
    <row r="130" spans="1:25" s="13" customFormat="1" x14ac:dyDescent="0.3">
      <c r="A130" s="24"/>
      <c r="B130" s="14" t="s">
        <v>9</v>
      </c>
      <c r="C130" s="179"/>
      <c r="D130" s="179"/>
      <c r="E130" s="179"/>
      <c r="F130" s="179"/>
      <c r="G130" s="15"/>
      <c r="H130" s="15"/>
      <c r="I130" s="15"/>
      <c r="J130" s="16"/>
      <c r="K130" s="109"/>
      <c r="S130" s="117"/>
      <c r="T130" s="151"/>
      <c r="U130" s="151"/>
      <c r="V130" s="151"/>
      <c r="W130" s="151"/>
      <c r="X130" s="126"/>
      <c r="Y130" s="125"/>
    </row>
    <row r="131" spans="1:25" s="13" customFormat="1" x14ac:dyDescent="0.3">
      <c r="A131" s="24"/>
      <c r="B131" s="21" t="s">
        <v>17</v>
      </c>
      <c r="C131" s="17"/>
      <c r="D131" s="17"/>
      <c r="E131" s="17"/>
      <c r="F131" s="17"/>
      <c r="G131" s="18"/>
      <c r="H131" s="18"/>
      <c r="I131" s="18"/>
      <c r="J131" s="22"/>
      <c r="K131" s="109"/>
      <c r="S131" s="117"/>
      <c r="T131" s="151"/>
      <c r="U131" s="151"/>
      <c r="V131" s="151"/>
      <c r="W131" s="151"/>
      <c r="X131" s="126"/>
      <c r="Y131" s="125"/>
    </row>
    <row r="132" spans="1:25" s="13" customFormat="1" x14ac:dyDescent="0.3">
      <c r="A132" s="24"/>
      <c r="B132" s="21" t="s">
        <v>61</v>
      </c>
      <c r="C132" s="17"/>
      <c r="D132" s="17"/>
      <c r="E132" s="17"/>
      <c r="F132" s="17"/>
      <c r="G132" s="18"/>
      <c r="H132" s="18"/>
      <c r="I132" s="18"/>
      <c r="J132" s="22"/>
      <c r="K132" s="109"/>
      <c r="S132" s="117"/>
      <c r="T132" s="151"/>
      <c r="U132" s="151"/>
      <c r="V132" s="151"/>
      <c r="W132" s="151"/>
      <c r="X132" s="126"/>
      <c r="Y132" s="125"/>
    </row>
    <row r="133" spans="1:25" s="13" customFormat="1" ht="15" thickBot="1" x14ac:dyDescent="0.35">
      <c r="A133" s="24"/>
      <c r="B133" s="29" t="s">
        <v>5</v>
      </c>
      <c r="C133" s="30"/>
      <c r="D133" s="30"/>
      <c r="E133" s="30"/>
      <c r="F133" s="30"/>
      <c r="G133" s="31"/>
      <c r="H133" s="31"/>
      <c r="I133" s="31"/>
      <c r="J133" s="32"/>
      <c r="K133" s="109"/>
      <c r="S133" s="117"/>
      <c r="T133" s="151"/>
      <c r="U133" s="151"/>
      <c r="V133" s="151"/>
      <c r="W133" s="151"/>
      <c r="X133" s="126"/>
      <c r="Y133" s="125"/>
    </row>
    <row r="134" spans="1:25" ht="15" thickBot="1" x14ac:dyDescent="0.35">
      <c r="A134" s="198"/>
      <c r="B134" s="36"/>
      <c r="C134" s="36"/>
      <c r="D134" s="36"/>
      <c r="E134" s="36"/>
      <c r="F134" s="36"/>
      <c r="G134" s="37"/>
      <c r="H134" s="37"/>
      <c r="I134" s="37"/>
      <c r="J134" s="37"/>
      <c r="K134" s="193"/>
      <c r="S134" s="117"/>
      <c r="T134" s="151"/>
      <c r="U134" s="151"/>
      <c r="V134" s="151"/>
      <c r="W134" s="151"/>
      <c r="X134" s="126"/>
      <c r="Y134" s="125"/>
    </row>
    <row r="135" spans="1:25" ht="15.6" thickTop="1" thickBot="1" x14ac:dyDescent="0.35">
      <c r="A135" s="156"/>
      <c r="B135" s="173"/>
      <c r="C135" s="173"/>
      <c r="D135" s="173"/>
      <c r="E135" s="173"/>
      <c r="F135" s="173"/>
      <c r="G135" s="5"/>
      <c r="H135" s="5"/>
      <c r="I135" s="5"/>
      <c r="J135" s="5"/>
      <c r="K135" s="108"/>
      <c r="S135" s="117"/>
      <c r="T135" s="151"/>
      <c r="U135" s="151"/>
      <c r="V135" s="151"/>
      <c r="W135" s="151"/>
      <c r="X135" s="126"/>
      <c r="Y135" s="125"/>
    </row>
    <row r="136" spans="1:25" ht="21" x14ac:dyDescent="0.4">
      <c r="A136" s="156"/>
      <c r="B136" s="173"/>
      <c r="C136" s="420" t="s">
        <v>337</v>
      </c>
      <c r="D136" s="433"/>
      <c r="E136" s="433"/>
      <c r="F136" s="433"/>
      <c r="G136" s="433"/>
      <c r="H136" s="433"/>
      <c r="I136" s="422"/>
      <c r="J136" s="5"/>
      <c r="K136" s="108"/>
      <c r="S136" s="117"/>
      <c r="T136" s="151"/>
      <c r="U136" s="151"/>
      <c r="V136" s="151"/>
      <c r="W136" s="151"/>
      <c r="X136" s="126"/>
      <c r="Y136" s="125"/>
    </row>
    <row r="137" spans="1:25" ht="14.4" customHeight="1" x14ac:dyDescent="0.4">
      <c r="A137" s="156"/>
      <c r="B137" s="387"/>
      <c r="C137" s="364"/>
      <c r="D137" s="387"/>
      <c r="E137" s="387"/>
      <c r="F137" s="387"/>
      <c r="G137" s="387"/>
      <c r="H137" s="387"/>
      <c r="I137" s="392"/>
      <c r="J137" s="5"/>
      <c r="K137" s="108"/>
      <c r="S137" s="117"/>
      <c r="T137" s="387"/>
      <c r="U137" s="387"/>
      <c r="V137" s="387"/>
      <c r="W137" s="387"/>
      <c r="X137" s="126"/>
      <c r="Y137" s="125"/>
    </row>
    <row r="138" spans="1:25" x14ac:dyDescent="0.3">
      <c r="A138" s="156"/>
      <c r="B138" s="173"/>
      <c r="C138" s="21"/>
      <c r="D138" s="17" t="s">
        <v>37</v>
      </c>
      <c r="E138" s="64" t="s">
        <v>9</v>
      </c>
      <c r="F138" s="66">
        <v>1</v>
      </c>
      <c r="G138" s="18">
        <v>2</v>
      </c>
      <c r="I138" s="22"/>
      <c r="J138" s="5"/>
      <c r="K138" s="108"/>
      <c r="S138" s="117" t="s">
        <v>37</v>
      </c>
      <c r="T138" s="151" t="s">
        <v>9</v>
      </c>
      <c r="U138" s="151">
        <v>1</v>
      </c>
      <c r="V138" s="151">
        <v>2</v>
      </c>
      <c r="W138" s="151"/>
      <c r="X138" s="126">
        <f t="shared" ref="X138" si="14">(IF(U138&gt;V138,3,IF(U138=V138,1,2)))</f>
        <v>2</v>
      </c>
      <c r="Y138" s="125">
        <f t="shared" ref="Y138" si="15">(IF(V138&gt;U138,3,IF(U138=V138,1,2)))</f>
        <v>3</v>
      </c>
    </row>
    <row r="139" spans="1:25" x14ac:dyDescent="0.3">
      <c r="A139" s="156"/>
      <c r="B139" s="173"/>
      <c r="C139" s="3"/>
      <c r="D139" s="33"/>
      <c r="E139" s="173"/>
      <c r="F139" s="33" t="s">
        <v>172</v>
      </c>
      <c r="G139" s="5" t="s">
        <v>171</v>
      </c>
      <c r="I139" s="6"/>
      <c r="J139" s="5"/>
      <c r="K139" s="93"/>
      <c r="L139" s="1"/>
      <c r="S139" s="117"/>
      <c r="T139" s="163"/>
      <c r="U139" s="163"/>
      <c r="V139" s="163"/>
      <c r="W139" s="163"/>
      <c r="X139" s="126"/>
      <c r="Y139" s="125"/>
    </row>
    <row r="140" spans="1:25" s="13" customFormat="1" ht="15" thickBot="1" x14ac:dyDescent="0.35">
      <c r="A140" s="194"/>
      <c r="B140" s="17"/>
      <c r="C140" s="7"/>
      <c r="D140" s="178"/>
      <c r="E140" s="178"/>
      <c r="F140" s="178"/>
      <c r="G140" s="178"/>
      <c r="H140" s="8"/>
      <c r="I140" s="9"/>
      <c r="J140" s="18"/>
      <c r="K140" s="35"/>
      <c r="L140" s="10"/>
      <c r="S140" s="168"/>
      <c r="T140" s="95"/>
      <c r="U140" s="95"/>
      <c r="V140" s="95"/>
      <c r="W140" s="95"/>
      <c r="X140" s="95"/>
      <c r="Y140" s="169"/>
    </row>
    <row r="141" spans="1:25" x14ac:dyDescent="0.3">
      <c r="A141" s="156"/>
      <c r="B141" s="173"/>
      <c r="C141" s="173"/>
      <c r="D141" s="173"/>
      <c r="E141" s="173"/>
      <c r="F141" s="173"/>
      <c r="G141" s="5"/>
      <c r="H141" s="5"/>
      <c r="I141" s="5"/>
      <c r="J141" s="5"/>
      <c r="K141" s="93"/>
      <c r="L141" s="1"/>
      <c r="S141" s="117"/>
      <c r="T141" s="163"/>
      <c r="U141" s="163"/>
      <c r="V141" s="163"/>
      <c r="W141" s="163"/>
      <c r="X141" s="126"/>
      <c r="Y141" s="125"/>
    </row>
    <row r="142" spans="1:25" x14ac:dyDescent="0.3">
      <c r="A142" s="156"/>
      <c r="B142" s="173"/>
      <c r="C142" s="173"/>
      <c r="D142" s="173"/>
      <c r="E142" s="173"/>
      <c r="F142" s="173"/>
      <c r="G142" s="5"/>
      <c r="H142" s="5"/>
      <c r="I142" s="5"/>
      <c r="J142" s="5"/>
      <c r="K142" s="93"/>
      <c r="L142" s="1"/>
      <c r="S142" s="117"/>
      <c r="T142" s="163"/>
      <c r="U142" s="163"/>
      <c r="V142" s="163"/>
      <c r="W142" s="163"/>
      <c r="X142" s="126"/>
      <c r="Y142" s="125"/>
    </row>
    <row r="143" spans="1:25" x14ac:dyDescent="0.3">
      <c r="A143" s="156"/>
      <c r="B143" s="173"/>
      <c r="C143" s="173"/>
      <c r="D143" s="173"/>
      <c r="E143" s="173"/>
      <c r="F143" s="173"/>
      <c r="G143" s="5"/>
      <c r="H143" s="5"/>
      <c r="I143" s="5"/>
      <c r="J143" s="5"/>
      <c r="K143" s="93"/>
      <c r="L143" s="1"/>
      <c r="S143" s="117"/>
      <c r="T143" s="163"/>
      <c r="U143" s="163"/>
      <c r="V143" s="163"/>
      <c r="W143" s="163"/>
      <c r="X143" s="126"/>
      <c r="Y143" s="125"/>
    </row>
    <row r="144" spans="1:25" s="39" customFormat="1" ht="15" thickBot="1" x14ac:dyDescent="0.35">
      <c r="A144" s="156"/>
      <c r="B144" s="173"/>
      <c r="C144" s="173"/>
      <c r="D144" s="173"/>
      <c r="E144" s="173"/>
      <c r="F144" s="173"/>
      <c r="G144" s="5"/>
      <c r="H144" s="5"/>
      <c r="I144" s="5"/>
      <c r="J144" s="5"/>
      <c r="K144" s="93"/>
      <c r="L144" s="151"/>
      <c r="S144" s="117"/>
      <c r="T144" s="163"/>
      <c r="U144" s="163"/>
      <c r="V144" s="163"/>
      <c r="W144" s="163"/>
      <c r="X144" s="126"/>
      <c r="Y144" s="125"/>
    </row>
    <row r="145" spans="1:26" s="95" customFormat="1" ht="21" x14ac:dyDescent="0.4">
      <c r="A145" s="194"/>
      <c r="B145" s="17"/>
      <c r="C145" s="443" t="s">
        <v>336</v>
      </c>
      <c r="D145" s="433"/>
      <c r="E145" s="433"/>
      <c r="F145" s="433"/>
      <c r="G145" s="433"/>
      <c r="H145" s="433"/>
      <c r="I145" s="422"/>
      <c r="J145" s="18"/>
      <c r="K145" s="35"/>
      <c r="L145" s="17"/>
      <c r="S145" s="117"/>
      <c r="T145" s="163"/>
      <c r="U145" s="163"/>
      <c r="V145" s="163"/>
      <c r="W145" s="163"/>
      <c r="X145" s="126"/>
      <c r="Y145" s="125"/>
    </row>
    <row r="146" spans="1:26" s="95" customFormat="1" ht="14.4" customHeight="1" x14ac:dyDescent="0.4">
      <c r="A146" s="194"/>
      <c r="B146" s="17"/>
      <c r="C146" s="383"/>
      <c r="D146" s="387"/>
      <c r="E146" s="387"/>
      <c r="F146" s="387"/>
      <c r="G146" s="387"/>
      <c r="H146" s="387"/>
      <c r="I146" s="392"/>
      <c r="J146" s="18"/>
      <c r="K146" s="35"/>
      <c r="L146" s="17"/>
      <c r="S146" s="117"/>
      <c r="T146" s="387"/>
      <c r="U146" s="387"/>
      <c r="V146" s="387"/>
      <c r="W146" s="387"/>
      <c r="X146" s="126"/>
      <c r="Y146" s="125"/>
    </row>
    <row r="147" spans="1:26" s="13" customFormat="1" x14ac:dyDescent="0.3">
      <c r="A147" s="194"/>
      <c r="B147" s="17"/>
      <c r="C147" s="21"/>
      <c r="D147" s="66" t="s">
        <v>5</v>
      </c>
      <c r="E147" s="64" t="s">
        <v>63</v>
      </c>
      <c r="F147" s="17">
        <v>3</v>
      </c>
      <c r="G147" s="18">
        <v>1</v>
      </c>
      <c r="H147" s="10" t="s">
        <v>30</v>
      </c>
      <c r="I147" s="22"/>
      <c r="J147" s="18"/>
      <c r="K147" s="35"/>
      <c r="L147" s="10"/>
      <c r="S147" s="117" t="s">
        <v>5</v>
      </c>
      <c r="T147" s="163" t="s">
        <v>63</v>
      </c>
      <c r="U147" s="163">
        <v>3</v>
      </c>
      <c r="V147" s="163">
        <v>1</v>
      </c>
      <c r="W147" s="163"/>
      <c r="X147" s="126">
        <f t="shared" ref="X147" si="16">(IF(U147&gt;V147,3,IF(U147=V147,1,2)))</f>
        <v>3</v>
      </c>
      <c r="Y147" s="125">
        <f t="shared" ref="Y147" si="17">(IF(V147&gt;U147,3,IF(U147=V147,1,2)))</f>
        <v>2</v>
      </c>
    </row>
    <row r="148" spans="1:26" s="13" customFormat="1" x14ac:dyDescent="0.3">
      <c r="A148" s="194"/>
      <c r="B148" s="17"/>
      <c r="C148" s="21"/>
      <c r="D148" s="66"/>
      <c r="E148" s="17"/>
      <c r="F148" s="66" t="s">
        <v>172</v>
      </c>
      <c r="G148" s="18" t="s">
        <v>183</v>
      </c>
      <c r="I148" s="22"/>
      <c r="J148" s="18"/>
      <c r="K148" s="35"/>
      <c r="L148" s="10"/>
      <c r="S148" s="117"/>
      <c r="T148" s="163"/>
      <c r="U148" s="163"/>
      <c r="V148" s="163"/>
      <c r="W148" s="163"/>
      <c r="X148" s="163"/>
      <c r="Y148" s="118"/>
    </row>
    <row r="149" spans="1:26" s="13" customFormat="1" ht="15" thickBot="1" x14ac:dyDescent="0.35">
      <c r="A149" s="194"/>
      <c r="B149" s="17"/>
      <c r="C149" s="21"/>
      <c r="D149" s="66"/>
      <c r="E149" s="17"/>
      <c r="F149" s="66" t="s">
        <v>172</v>
      </c>
      <c r="G149" s="18" t="s">
        <v>171</v>
      </c>
      <c r="I149" s="22"/>
      <c r="J149" s="18"/>
      <c r="K149" s="35"/>
      <c r="L149" s="10"/>
      <c r="R149" s="95"/>
      <c r="S149" s="168"/>
      <c r="T149" s="95"/>
      <c r="U149" s="95"/>
      <c r="V149" s="95"/>
      <c r="W149" s="95"/>
      <c r="X149" s="95"/>
      <c r="Y149" s="169"/>
      <c r="Z149" s="95"/>
    </row>
    <row r="150" spans="1:26" s="13" customFormat="1" ht="15" thickBot="1" x14ac:dyDescent="0.35">
      <c r="A150" s="194"/>
      <c r="B150" s="17"/>
      <c r="C150" s="29"/>
      <c r="D150" s="30"/>
      <c r="E150" s="30"/>
      <c r="F150" s="30"/>
      <c r="G150" s="30"/>
      <c r="H150" s="31"/>
      <c r="I150" s="32"/>
      <c r="J150" s="18"/>
      <c r="K150" s="35"/>
      <c r="L150" s="10"/>
      <c r="R150" s="95"/>
      <c r="S150" s="115"/>
      <c r="T150" s="115"/>
      <c r="U150" s="115"/>
      <c r="V150" s="115"/>
      <c r="W150" s="115"/>
      <c r="X150" s="153"/>
      <c r="Y150" s="153"/>
      <c r="Z150" s="95"/>
    </row>
    <row r="151" spans="1:26" s="13" customFormat="1" x14ac:dyDescent="0.3">
      <c r="A151" s="194"/>
      <c r="B151" s="17"/>
      <c r="C151" s="95"/>
      <c r="D151" s="95"/>
      <c r="E151" s="95"/>
      <c r="F151" s="95"/>
      <c r="G151" s="95"/>
      <c r="H151" s="95"/>
      <c r="I151" s="95"/>
      <c r="J151" s="18"/>
      <c r="K151" s="35"/>
      <c r="L151" s="10"/>
      <c r="R151" s="95"/>
      <c r="S151" s="166"/>
      <c r="T151" s="166"/>
      <c r="U151" s="166"/>
      <c r="V151" s="166"/>
      <c r="W151" s="166"/>
      <c r="X151" s="126"/>
      <c r="Y151" s="126"/>
      <c r="Z151" s="95"/>
    </row>
    <row r="152" spans="1:26" s="13" customFormat="1" x14ac:dyDescent="0.3">
      <c r="A152" s="194"/>
      <c r="B152" s="17"/>
      <c r="C152" s="95"/>
      <c r="D152" s="95"/>
      <c r="E152" s="95"/>
      <c r="F152" s="95"/>
      <c r="G152" s="95"/>
      <c r="H152" s="95"/>
      <c r="I152" s="95"/>
      <c r="J152" s="18"/>
      <c r="K152" s="35"/>
      <c r="L152" s="10"/>
      <c r="R152" s="95"/>
      <c r="S152" s="166"/>
      <c r="T152" s="166"/>
      <c r="U152" s="166"/>
      <c r="V152" s="166"/>
      <c r="W152" s="166"/>
      <c r="X152" s="126"/>
      <c r="Y152" s="126"/>
      <c r="Z152" s="95"/>
    </row>
    <row r="153" spans="1:26" s="13" customFormat="1" x14ac:dyDescent="0.3">
      <c r="A153" s="194"/>
      <c r="B153" s="17"/>
      <c r="C153" s="17"/>
      <c r="D153" s="17"/>
      <c r="E153" s="17"/>
      <c r="F153" s="17"/>
      <c r="G153" s="18"/>
      <c r="H153" s="18"/>
      <c r="I153" s="18"/>
      <c r="J153" s="18"/>
      <c r="K153" s="35"/>
      <c r="L153" s="10"/>
      <c r="R153" s="95"/>
      <c r="S153" s="166"/>
      <c r="T153" s="166"/>
      <c r="U153" s="166"/>
      <c r="V153" s="166"/>
      <c r="W153" s="166"/>
      <c r="X153" s="126"/>
      <c r="Y153" s="126"/>
      <c r="Z153" s="95"/>
    </row>
    <row r="154" spans="1:26" s="13" customFormat="1" x14ac:dyDescent="0.3">
      <c r="A154" s="24"/>
      <c r="B154" s="17"/>
      <c r="C154" s="17"/>
      <c r="D154" s="17"/>
      <c r="E154" s="17"/>
      <c r="F154" s="17"/>
      <c r="G154" s="18"/>
      <c r="H154" s="18"/>
      <c r="I154" s="18"/>
      <c r="J154" s="18"/>
      <c r="K154" s="109"/>
      <c r="R154" s="95"/>
      <c r="S154" s="166"/>
      <c r="T154" s="166"/>
      <c r="U154" s="166"/>
      <c r="V154" s="166"/>
      <c r="W154" s="166"/>
      <c r="X154" s="126"/>
      <c r="Y154" s="126"/>
      <c r="Z154" s="95"/>
    </row>
    <row r="155" spans="1:26" s="13" customFormat="1" ht="15" thickBot="1" x14ac:dyDescent="0.35">
      <c r="A155" s="24"/>
      <c r="B155" s="17" t="s">
        <v>298</v>
      </c>
      <c r="C155" s="17" t="s">
        <v>12</v>
      </c>
      <c r="D155" s="17" t="s">
        <v>13</v>
      </c>
      <c r="E155" s="17" t="s">
        <v>14</v>
      </c>
      <c r="F155" s="17" t="s">
        <v>15</v>
      </c>
      <c r="G155" s="18" t="s">
        <v>24</v>
      </c>
      <c r="H155" s="18" t="s">
        <v>25</v>
      </c>
      <c r="I155" s="18" t="s">
        <v>26</v>
      </c>
      <c r="J155" s="18" t="s">
        <v>27</v>
      </c>
      <c r="K155" s="35"/>
      <c r="L155" s="10"/>
      <c r="R155" s="95"/>
      <c r="S155" s="166"/>
      <c r="T155" s="166"/>
      <c r="U155" s="166"/>
      <c r="V155" s="166"/>
      <c r="W155" s="166"/>
      <c r="X155" s="126"/>
      <c r="Y155" s="126"/>
      <c r="Z155" s="95"/>
    </row>
    <row r="156" spans="1:26" s="13" customFormat="1" x14ac:dyDescent="0.3">
      <c r="A156" s="24"/>
      <c r="B156" s="14" t="s">
        <v>5</v>
      </c>
      <c r="C156" s="179">
        <f>COUNTIF($S$12:$T$147,"Argentinien")</f>
        <v>7</v>
      </c>
      <c r="D156" s="124">
        <f t="shared" ref="D156:D171" si="18">SUMPRODUCT(($S$12:$T$147=B156)*($X$12:$Y$147=3))</f>
        <v>5</v>
      </c>
      <c r="E156" s="124">
        <f t="shared" ref="E156:E171" si="19">SUMPRODUCT(($S$12:$T$147=B156)*($X$12:$Y$147=1))</f>
        <v>1</v>
      </c>
      <c r="F156" s="124">
        <f t="shared" ref="F156:F171" si="20">SUMPRODUCT(($S$12:$T$147=B156)*($X$12:$Y$147=2))</f>
        <v>1</v>
      </c>
      <c r="G156" s="124">
        <f t="shared" ref="G156:G171" si="21">SUMPRODUCT(($S$12:$S$147=B156)*($U$12:$U$147))+SUMPRODUCT(($T$12:$T$147=B156)*($V$12:$V$147))</f>
        <v>15</v>
      </c>
      <c r="H156" s="124">
        <f t="shared" ref="H156:H171" si="22">SUMPRODUCT(($S$12:$S$147=B156)*($V$12:$V$147))+SUMPRODUCT(($T$12:$T$147=B156)*($U$12:$U$147))</f>
        <v>4</v>
      </c>
      <c r="I156" s="15">
        <f t="shared" ref="I156:I171" si="23">(D156*2)+E156</f>
        <v>11</v>
      </c>
      <c r="J156" s="16">
        <f t="shared" ref="J156:J171" si="24">(F156*2)+E156</f>
        <v>3</v>
      </c>
      <c r="K156" s="35"/>
      <c r="L156" s="10"/>
      <c r="R156" s="95"/>
      <c r="S156" s="17"/>
      <c r="T156" s="17"/>
      <c r="U156" s="17"/>
      <c r="V156" s="17"/>
      <c r="W156" s="17"/>
      <c r="X156" s="126"/>
      <c r="Y156" s="126"/>
      <c r="Z156" s="95"/>
    </row>
    <row r="157" spans="1:26" s="13" customFormat="1" x14ac:dyDescent="0.3">
      <c r="A157" s="24"/>
      <c r="B157" s="21" t="s">
        <v>9</v>
      </c>
      <c r="C157" s="17">
        <f>COUNTIF($S$12:$T$147,"Brasilien")</f>
        <v>7</v>
      </c>
      <c r="D157" s="43">
        <f t="shared" si="18"/>
        <v>4</v>
      </c>
      <c r="E157" s="43">
        <f t="shared" si="19"/>
        <v>3</v>
      </c>
      <c r="F157" s="43">
        <f t="shared" si="20"/>
        <v>0</v>
      </c>
      <c r="G157" s="43">
        <f t="shared" si="21"/>
        <v>10</v>
      </c>
      <c r="H157" s="43">
        <f t="shared" si="22"/>
        <v>3</v>
      </c>
      <c r="I157" s="18">
        <f t="shared" si="23"/>
        <v>11</v>
      </c>
      <c r="J157" s="22">
        <f t="shared" si="24"/>
        <v>3</v>
      </c>
      <c r="K157" s="35"/>
      <c r="L157" s="10"/>
      <c r="R157" s="95"/>
      <c r="S157" s="17"/>
      <c r="T157" s="17"/>
      <c r="U157" s="17"/>
      <c r="V157" s="17"/>
      <c r="W157" s="17"/>
      <c r="X157" s="17"/>
      <c r="Y157" s="17"/>
      <c r="Z157" s="95"/>
    </row>
    <row r="158" spans="1:26" s="13" customFormat="1" x14ac:dyDescent="0.3">
      <c r="A158" s="24"/>
      <c r="B158" s="21" t="s">
        <v>37</v>
      </c>
      <c r="C158" s="17">
        <f>COUNTIF($S$12:$T$147,"Italien")</f>
        <v>7</v>
      </c>
      <c r="D158" s="43">
        <f t="shared" si="18"/>
        <v>4</v>
      </c>
      <c r="E158" s="43">
        <f t="shared" si="19"/>
        <v>1</v>
      </c>
      <c r="F158" s="43">
        <f t="shared" si="20"/>
        <v>2</v>
      </c>
      <c r="G158" s="43">
        <f t="shared" si="21"/>
        <v>9</v>
      </c>
      <c r="H158" s="43">
        <f t="shared" si="22"/>
        <v>6</v>
      </c>
      <c r="I158" s="18">
        <f t="shared" si="23"/>
        <v>9</v>
      </c>
      <c r="J158" s="22">
        <f t="shared" si="24"/>
        <v>5</v>
      </c>
      <c r="K158" s="35"/>
      <c r="L158" s="10"/>
      <c r="R158" s="95"/>
      <c r="S158" s="166"/>
      <c r="T158" s="166"/>
      <c r="U158" s="166"/>
      <c r="V158" s="166"/>
      <c r="W158" s="166"/>
      <c r="X158" s="126"/>
      <c r="Y158" s="126"/>
      <c r="Z158" s="95"/>
    </row>
    <row r="159" spans="1:26" s="13" customFormat="1" x14ac:dyDescent="0.3">
      <c r="A159" s="24"/>
      <c r="B159" s="21" t="s">
        <v>63</v>
      </c>
      <c r="C159" s="17">
        <f>COUNTIF($S$12:$T$147,"Niederlande")</f>
        <v>7</v>
      </c>
      <c r="D159" s="43">
        <f t="shared" si="18"/>
        <v>3</v>
      </c>
      <c r="E159" s="43">
        <f t="shared" si="19"/>
        <v>2</v>
      </c>
      <c r="F159" s="43">
        <f t="shared" si="20"/>
        <v>2</v>
      </c>
      <c r="G159" s="43">
        <f t="shared" si="21"/>
        <v>15</v>
      </c>
      <c r="H159" s="43">
        <f t="shared" si="22"/>
        <v>10</v>
      </c>
      <c r="I159" s="18">
        <f t="shared" si="23"/>
        <v>8</v>
      </c>
      <c r="J159" s="22">
        <f t="shared" si="24"/>
        <v>6</v>
      </c>
      <c r="K159" s="35"/>
      <c r="L159" s="10"/>
      <c r="R159" s="95"/>
      <c r="S159" s="166"/>
      <c r="T159" s="166"/>
      <c r="U159" s="166"/>
      <c r="V159" s="166"/>
      <c r="W159" s="166"/>
      <c r="X159" s="166"/>
      <c r="Y159" s="166"/>
      <c r="Z159" s="95"/>
    </row>
    <row r="160" spans="1:26" s="13" customFormat="1" x14ac:dyDescent="0.3">
      <c r="A160" s="24"/>
      <c r="B160" s="21" t="s">
        <v>61</v>
      </c>
      <c r="C160" s="17">
        <f>COUNTIF($S$12:$T$147,"Polen")</f>
        <v>6</v>
      </c>
      <c r="D160" s="43">
        <f t="shared" si="18"/>
        <v>3</v>
      </c>
      <c r="E160" s="43">
        <f t="shared" si="19"/>
        <v>1</v>
      </c>
      <c r="F160" s="43">
        <f t="shared" si="20"/>
        <v>2</v>
      </c>
      <c r="G160" s="43">
        <f t="shared" si="21"/>
        <v>6</v>
      </c>
      <c r="H160" s="43">
        <f t="shared" si="22"/>
        <v>6</v>
      </c>
      <c r="I160" s="18">
        <f t="shared" si="23"/>
        <v>7</v>
      </c>
      <c r="J160" s="22">
        <f t="shared" si="24"/>
        <v>5</v>
      </c>
      <c r="K160" s="35"/>
      <c r="L160" s="10"/>
      <c r="R160" s="95"/>
      <c r="S160" s="17"/>
      <c r="T160" s="17"/>
      <c r="U160" s="17"/>
      <c r="V160" s="17"/>
      <c r="W160" s="17"/>
      <c r="X160" s="126"/>
      <c r="Y160" s="126"/>
      <c r="Z160" s="95"/>
    </row>
    <row r="161" spans="1:26" s="13" customFormat="1" x14ac:dyDescent="0.3">
      <c r="A161" s="24"/>
      <c r="B161" s="21" t="s">
        <v>88</v>
      </c>
      <c r="C161" s="17">
        <f>COUNTIF($S$12:$T$147,"BRD")</f>
        <v>6</v>
      </c>
      <c r="D161" s="43">
        <f t="shared" si="18"/>
        <v>1</v>
      </c>
      <c r="E161" s="43">
        <f t="shared" si="19"/>
        <v>4</v>
      </c>
      <c r="F161" s="43">
        <f t="shared" si="20"/>
        <v>1</v>
      </c>
      <c r="G161" s="43">
        <f t="shared" si="21"/>
        <v>10</v>
      </c>
      <c r="H161" s="43">
        <f t="shared" si="22"/>
        <v>5</v>
      </c>
      <c r="I161" s="18">
        <f t="shared" si="23"/>
        <v>6</v>
      </c>
      <c r="J161" s="22">
        <f t="shared" si="24"/>
        <v>6</v>
      </c>
      <c r="K161" s="35"/>
      <c r="L161" s="10"/>
      <c r="R161" s="95"/>
      <c r="S161" s="17"/>
      <c r="T161" s="17"/>
      <c r="U161" s="17"/>
      <c r="V161" s="17"/>
      <c r="W161" s="17"/>
      <c r="X161" s="143"/>
      <c r="Y161" s="143"/>
      <c r="Z161" s="95"/>
    </row>
    <row r="162" spans="1:26" s="13" customFormat="1" x14ac:dyDescent="0.3">
      <c r="A162" s="24"/>
      <c r="B162" s="21" t="s">
        <v>29</v>
      </c>
      <c r="C162" s="17">
        <f>COUNTIF($S$12:$T$147,"Österreich")</f>
        <v>6</v>
      </c>
      <c r="D162" s="43">
        <f t="shared" si="18"/>
        <v>3</v>
      </c>
      <c r="E162" s="43">
        <f t="shared" si="19"/>
        <v>0</v>
      </c>
      <c r="F162" s="43">
        <f t="shared" si="20"/>
        <v>3</v>
      </c>
      <c r="G162" s="43">
        <f t="shared" si="21"/>
        <v>7</v>
      </c>
      <c r="H162" s="43">
        <f t="shared" si="22"/>
        <v>10</v>
      </c>
      <c r="I162" s="18">
        <f t="shared" si="23"/>
        <v>6</v>
      </c>
      <c r="J162" s="22">
        <f t="shared" si="24"/>
        <v>6</v>
      </c>
      <c r="K162" s="35"/>
      <c r="L162" s="10"/>
      <c r="R162" s="95"/>
      <c r="S162" s="170"/>
      <c r="T162" s="170"/>
      <c r="U162" s="170"/>
      <c r="V162" s="170"/>
      <c r="W162" s="170"/>
      <c r="X162" s="170"/>
      <c r="Y162" s="170"/>
      <c r="Z162" s="95"/>
    </row>
    <row r="163" spans="1:26" s="13" customFormat="1" x14ac:dyDescent="0.3">
      <c r="A163" s="24"/>
      <c r="B163" s="21" t="s">
        <v>17</v>
      </c>
      <c r="C163" s="17">
        <f>COUNTIF($S$12:$T$147,"Peru")</f>
        <v>6</v>
      </c>
      <c r="D163" s="43">
        <f t="shared" si="18"/>
        <v>2</v>
      </c>
      <c r="E163" s="43">
        <f t="shared" si="19"/>
        <v>1</v>
      </c>
      <c r="F163" s="43">
        <f t="shared" si="20"/>
        <v>3</v>
      </c>
      <c r="G163" s="43">
        <f t="shared" si="21"/>
        <v>7</v>
      </c>
      <c r="H163" s="43">
        <f t="shared" si="22"/>
        <v>12</v>
      </c>
      <c r="I163" s="18">
        <f t="shared" si="23"/>
        <v>5</v>
      </c>
      <c r="J163" s="22">
        <f t="shared" si="24"/>
        <v>7</v>
      </c>
      <c r="K163" s="35"/>
      <c r="L163" s="10"/>
      <c r="R163" s="95"/>
      <c r="S163" s="166"/>
      <c r="T163" s="166"/>
      <c r="U163" s="166"/>
      <c r="V163" s="166"/>
      <c r="W163" s="166"/>
      <c r="X163" s="166"/>
      <c r="Y163" s="166"/>
      <c r="Z163" s="95"/>
    </row>
    <row r="164" spans="1:26" s="13" customFormat="1" x14ac:dyDescent="0.3">
      <c r="A164" s="24"/>
      <c r="B164" s="21" t="s">
        <v>81</v>
      </c>
      <c r="C164" s="17">
        <f>COUNTIF($S$12:$T$147,"Schottland")</f>
        <v>3</v>
      </c>
      <c r="D164" s="43">
        <f t="shared" si="18"/>
        <v>1</v>
      </c>
      <c r="E164" s="43">
        <f t="shared" si="19"/>
        <v>1</v>
      </c>
      <c r="F164" s="43">
        <f t="shared" si="20"/>
        <v>1</v>
      </c>
      <c r="G164" s="43">
        <f t="shared" si="21"/>
        <v>5</v>
      </c>
      <c r="H164" s="43">
        <f t="shared" si="22"/>
        <v>6</v>
      </c>
      <c r="I164" s="18">
        <f t="shared" si="23"/>
        <v>3</v>
      </c>
      <c r="J164" s="22">
        <f t="shared" si="24"/>
        <v>3</v>
      </c>
      <c r="K164" s="35"/>
      <c r="L164" s="10"/>
      <c r="R164" s="95"/>
      <c r="S164" s="166"/>
      <c r="T164" s="166"/>
      <c r="U164" s="166"/>
      <c r="V164" s="166"/>
      <c r="W164" s="166"/>
      <c r="X164" s="126"/>
      <c r="Y164" s="126"/>
      <c r="Z164" s="95"/>
    </row>
    <row r="165" spans="1:26" s="13" customFormat="1" x14ac:dyDescent="0.3">
      <c r="A165" s="24"/>
      <c r="B165" s="21" t="s">
        <v>176</v>
      </c>
      <c r="C165" s="17">
        <f>COUNTIF($S$12:$T$147,"Tunesien")</f>
        <v>3</v>
      </c>
      <c r="D165" s="43">
        <f t="shared" si="18"/>
        <v>1</v>
      </c>
      <c r="E165" s="43">
        <f t="shared" si="19"/>
        <v>1</v>
      </c>
      <c r="F165" s="43">
        <f t="shared" si="20"/>
        <v>1</v>
      </c>
      <c r="G165" s="43">
        <f t="shared" si="21"/>
        <v>3</v>
      </c>
      <c r="H165" s="43">
        <f t="shared" si="22"/>
        <v>2</v>
      </c>
      <c r="I165" s="18">
        <f t="shared" si="23"/>
        <v>3</v>
      </c>
      <c r="J165" s="22">
        <f t="shared" si="24"/>
        <v>3</v>
      </c>
      <c r="K165" s="35"/>
      <c r="L165" s="10"/>
      <c r="R165" s="95"/>
      <c r="S165" s="17"/>
      <c r="T165" s="17"/>
      <c r="U165" s="17"/>
      <c r="V165" s="17"/>
      <c r="W165" s="17"/>
      <c r="X165" s="126"/>
      <c r="Y165" s="126"/>
      <c r="Z165" s="95"/>
    </row>
    <row r="166" spans="1:26" s="13" customFormat="1" x14ac:dyDescent="0.3">
      <c r="A166" s="24"/>
      <c r="B166" s="21" t="s">
        <v>35</v>
      </c>
      <c r="C166" s="17">
        <f>COUNTIF($S$12:$T$147,"Spanien")</f>
        <v>3</v>
      </c>
      <c r="D166" s="43">
        <f t="shared" si="18"/>
        <v>1</v>
      </c>
      <c r="E166" s="43">
        <f t="shared" si="19"/>
        <v>1</v>
      </c>
      <c r="F166" s="43">
        <f t="shared" si="20"/>
        <v>1</v>
      </c>
      <c r="G166" s="43">
        <f t="shared" si="21"/>
        <v>2</v>
      </c>
      <c r="H166" s="43">
        <f t="shared" si="22"/>
        <v>2</v>
      </c>
      <c r="I166" s="18">
        <f t="shared" si="23"/>
        <v>3</v>
      </c>
      <c r="J166" s="22">
        <f t="shared" si="24"/>
        <v>3</v>
      </c>
      <c r="K166" s="35"/>
      <c r="L166" s="10"/>
      <c r="R166" s="95"/>
      <c r="S166" s="166"/>
      <c r="T166" s="166"/>
      <c r="U166" s="166"/>
      <c r="V166" s="166"/>
      <c r="W166" s="166"/>
      <c r="X166" s="166"/>
      <c r="Y166" s="166"/>
      <c r="Z166" s="95"/>
    </row>
    <row r="167" spans="1:26" s="13" customFormat="1" x14ac:dyDescent="0.3">
      <c r="A167" s="24"/>
      <c r="B167" s="21" t="s">
        <v>3</v>
      </c>
      <c r="C167" s="17">
        <f>COUNTIF($S$12:$T$147,"Frankreich")</f>
        <v>3</v>
      </c>
      <c r="D167" s="43">
        <f t="shared" si="18"/>
        <v>1</v>
      </c>
      <c r="E167" s="43">
        <f t="shared" si="19"/>
        <v>0</v>
      </c>
      <c r="F167" s="43">
        <f t="shared" si="20"/>
        <v>2</v>
      </c>
      <c r="G167" s="43">
        <f t="shared" si="21"/>
        <v>5</v>
      </c>
      <c r="H167" s="43">
        <f t="shared" si="22"/>
        <v>5</v>
      </c>
      <c r="I167" s="18">
        <f t="shared" si="23"/>
        <v>2</v>
      </c>
      <c r="J167" s="22">
        <f t="shared" si="24"/>
        <v>4</v>
      </c>
      <c r="K167" s="35"/>
      <c r="L167" s="10"/>
      <c r="R167" s="95"/>
      <c r="S167" s="166"/>
      <c r="T167" s="166"/>
      <c r="U167" s="166"/>
      <c r="V167" s="166"/>
      <c r="W167" s="166"/>
      <c r="X167" s="126"/>
      <c r="Y167" s="126"/>
      <c r="Z167" s="95"/>
    </row>
    <row r="168" spans="1:26" s="13" customFormat="1" x14ac:dyDescent="0.3">
      <c r="A168" s="24"/>
      <c r="B168" s="21" t="s">
        <v>177</v>
      </c>
      <c r="C168" s="17">
        <f>COUNTIF($S$12:$T$147,"Iran")</f>
        <v>3</v>
      </c>
      <c r="D168" s="43">
        <f t="shared" si="18"/>
        <v>0</v>
      </c>
      <c r="E168" s="43">
        <f t="shared" si="19"/>
        <v>1</v>
      </c>
      <c r="F168" s="43">
        <f t="shared" si="20"/>
        <v>2</v>
      </c>
      <c r="G168" s="43">
        <f t="shared" si="21"/>
        <v>2</v>
      </c>
      <c r="H168" s="43">
        <f t="shared" si="22"/>
        <v>8</v>
      </c>
      <c r="I168" s="18">
        <f t="shared" si="23"/>
        <v>1</v>
      </c>
      <c r="J168" s="22">
        <f t="shared" si="24"/>
        <v>5</v>
      </c>
      <c r="K168" s="35"/>
      <c r="L168" s="10"/>
      <c r="R168" s="95"/>
      <c r="S168" s="166"/>
      <c r="T168" s="166"/>
      <c r="U168" s="166"/>
      <c r="V168" s="166"/>
      <c r="W168" s="166"/>
      <c r="X168" s="166"/>
      <c r="Y168" s="166"/>
      <c r="Z168" s="95"/>
    </row>
    <row r="169" spans="1:26" s="13" customFormat="1" x14ac:dyDescent="0.3">
      <c r="A169" s="24"/>
      <c r="B169" s="21" t="s">
        <v>41</v>
      </c>
      <c r="C169" s="17">
        <f>COUNTIF($S$12:$T$147,"Schweden")</f>
        <v>3</v>
      </c>
      <c r="D169" s="43">
        <f t="shared" si="18"/>
        <v>0</v>
      </c>
      <c r="E169" s="43">
        <f t="shared" si="19"/>
        <v>1</v>
      </c>
      <c r="F169" s="43">
        <f t="shared" si="20"/>
        <v>2</v>
      </c>
      <c r="G169" s="43">
        <f t="shared" si="21"/>
        <v>1</v>
      </c>
      <c r="H169" s="43">
        <f t="shared" si="22"/>
        <v>3</v>
      </c>
      <c r="I169" s="18">
        <f t="shared" si="23"/>
        <v>1</v>
      </c>
      <c r="J169" s="22">
        <f t="shared" si="24"/>
        <v>5</v>
      </c>
      <c r="K169" s="35"/>
      <c r="L169" s="10"/>
      <c r="R169" s="95"/>
      <c r="S169" s="17"/>
      <c r="T169" s="17"/>
      <c r="U169" s="17"/>
      <c r="V169" s="17"/>
      <c r="W169" s="17"/>
      <c r="X169" s="17"/>
      <c r="Y169" s="17"/>
      <c r="Z169" s="95"/>
    </row>
    <row r="170" spans="1:26" s="13" customFormat="1" x14ac:dyDescent="0.3">
      <c r="A170" s="24"/>
      <c r="B170" s="21" t="s">
        <v>32</v>
      </c>
      <c r="C170" s="17">
        <f>COUNTIF($S$12:$T$147,"Ungarn")</f>
        <v>3</v>
      </c>
      <c r="D170" s="43">
        <f t="shared" si="18"/>
        <v>0</v>
      </c>
      <c r="E170" s="43">
        <f t="shared" si="19"/>
        <v>0</v>
      </c>
      <c r="F170" s="43">
        <f t="shared" si="20"/>
        <v>3</v>
      </c>
      <c r="G170" s="43">
        <f t="shared" si="21"/>
        <v>3</v>
      </c>
      <c r="H170" s="43">
        <f t="shared" si="22"/>
        <v>8</v>
      </c>
      <c r="I170" s="18">
        <f t="shared" si="23"/>
        <v>0</v>
      </c>
      <c r="J170" s="22">
        <f t="shared" si="24"/>
        <v>6</v>
      </c>
      <c r="K170" s="35"/>
      <c r="L170" s="10"/>
      <c r="R170" s="95"/>
      <c r="S170" s="166"/>
      <c r="T170" s="166"/>
      <c r="U170" s="166"/>
      <c r="V170" s="166"/>
      <c r="W170" s="166"/>
      <c r="X170" s="126"/>
      <c r="Y170" s="126"/>
      <c r="Z170" s="95"/>
    </row>
    <row r="171" spans="1:26" s="13" customFormat="1" ht="15" thickBot="1" x14ac:dyDescent="0.35">
      <c r="A171" s="24"/>
      <c r="B171" s="29" t="s">
        <v>4</v>
      </c>
      <c r="C171" s="30">
        <f>COUNTIF($S$12:$T$147,"Mexiko")</f>
        <v>3</v>
      </c>
      <c r="D171" s="80">
        <f t="shared" si="18"/>
        <v>0</v>
      </c>
      <c r="E171" s="80">
        <f t="shared" si="19"/>
        <v>0</v>
      </c>
      <c r="F171" s="80">
        <f t="shared" si="20"/>
        <v>3</v>
      </c>
      <c r="G171" s="80">
        <f t="shared" si="21"/>
        <v>2</v>
      </c>
      <c r="H171" s="80">
        <f t="shared" si="22"/>
        <v>12</v>
      </c>
      <c r="I171" s="31">
        <f t="shared" si="23"/>
        <v>0</v>
      </c>
      <c r="J171" s="32">
        <f t="shared" si="24"/>
        <v>6</v>
      </c>
      <c r="K171" s="35"/>
      <c r="L171" s="10"/>
      <c r="R171" s="95"/>
      <c r="S171" s="17"/>
      <c r="T171" s="17"/>
      <c r="U171" s="17"/>
      <c r="V171" s="17"/>
      <c r="W171" s="17"/>
      <c r="X171" s="126"/>
      <c r="Y171" s="126"/>
      <c r="Z171" s="95"/>
    </row>
    <row r="172" spans="1:26" x14ac:dyDescent="0.3">
      <c r="A172" s="176"/>
      <c r="B172" s="173"/>
      <c r="C172" s="173"/>
      <c r="D172" s="173"/>
      <c r="E172" s="173"/>
      <c r="F172" s="173"/>
      <c r="G172" s="5"/>
      <c r="H172" s="5"/>
      <c r="I172" s="5"/>
      <c r="J172" s="5"/>
      <c r="K172" s="108"/>
      <c r="R172" s="39"/>
      <c r="S172" s="166"/>
      <c r="T172" s="166"/>
      <c r="U172" s="166"/>
      <c r="V172" s="166"/>
      <c r="W172" s="166"/>
      <c r="X172" s="166"/>
      <c r="Y172" s="166"/>
      <c r="Z172" s="39"/>
    </row>
    <row r="173" spans="1:26" ht="15" thickBot="1" x14ac:dyDescent="0.35">
      <c r="A173" s="110"/>
      <c r="B173" s="36"/>
      <c r="C173" s="36"/>
      <c r="D173" s="36"/>
      <c r="E173" s="36"/>
      <c r="F173" s="36"/>
      <c r="G173" s="37"/>
      <c r="H173" s="37"/>
      <c r="I173" s="37"/>
      <c r="J173" s="37"/>
      <c r="K173" s="193"/>
      <c r="R173" s="39"/>
      <c r="S173" s="166"/>
      <c r="T173" s="166"/>
      <c r="U173" s="166"/>
      <c r="V173" s="166"/>
      <c r="W173" s="166"/>
      <c r="X173" s="126"/>
      <c r="Y173" s="126"/>
      <c r="Z173" s="39"/>
    </row>
    <row r="174" spans="1:26" ht="15" thickTop="1" x14ac:dyDescent="0.3">
      <c r="R174" s="39"/>
      <c r="S174" s="166"/>
      <c r="T174" s="166"/>
      <c r="U174" s="166"/>
      <c r="V174" s="166"/>
      <c r="W174" s="166"/>
      <c r="X174" s="126"/>
      <c r="Y174" s="126"/>
      <c r="Z174" s="39"/>
    </row>
    <row r="175" spans="1:26" x14ac:dyDescent="0.3">
      <c r="R175" s="39"/>
      <c r="S175" s="17"/>
      <c r="T175" s="17"/>
      <c r="U175" s="17"/>
      <c r="V175" s="17"/>
      <c r="W175" s="17"/>
      <c r="X175" s="17"/>
      <c r="Y175" s="17"/>
      <c r="Z175" s="39"/>
    </row>
    <row r="176" spans="1:26" x14ac:dyDescent="0.3">
      <c r="R176" s="39"/>
      <c r="S176" s="166"/>
      <c r="T176" s="166"/>
      <c r="U176" s="166"/>
      <c r="V176" s="166"/>
      <c r="W176" s="166"/>
      <c r="X176" s="166"/>
      <c r="Y176" s="166"/>
      <c r="Z176" s="39"/>
    </row>
    <row r="177" spans="18:26" x14ac:dyDescent="0.3">
      <c r="R177" s="39"/>
      <c r="S177" s="166"/>
      <c r="T177" s="166"/>
      <c r="U177" s="166"/>
      <c r="V177" s="166"/>
      <c r="W177" s="166"/>
      <c r="X177" s="166"/>
      <c r="Y177" s="166"/>
      <c r="Z177" s="39"/>
    </row>
    <row r="178" spans="18:26" x14ac:dyDescent="0.3">
      <c r="R178" s="39"/>
      <c r="S178" s="166"/>
      <c r="T178" s="166"/>
      <c r="U178" s="166"/>
      <c r="V178" s="166"/>
      <c r="W178" s="166"/>
      <c r="X178" s="166"/>
      <c r="Y178" s="166"/>
      <c r="Z178" s="39"/>
    </row>
    <row r="179" spans="18:26" x14ac:dyDescent="0.3">
      <c r="R179" s="39"/>
      <c r="S179" s="166"/>
      <c r="T179" s="166"/>
      <c r="U179" s="166"/>
      <c r="V179" s="166"/>
      <c r="W179" s="166"/>
      <c r="X179" s="166"/>
      <c r="Y179" s="166"/>
      <c r="Z179" s="39"/>
    </row>
    <row r="180" spans="18:26" x14ac:dyDescent="0.3">
      <c r="R180" s="39"/>
      <c r="S180" s="166"/>
      <c r="T180" s="166"/>
      <c r="U180" s="166"/>
      <c r="V180" s="166"/>
      <c r="W180" s="166"/>
      <c r="X180" s="166"/>
      <c r="Y180" s="166"/>
      <c r="Z180" s="39"/>
    </row>
    <row r="181" spans="18:26" x14ac:dyDescent="0.3">
      <c r="R181" s="39"/>
      <c r="S181" s="166"/>
      <c r="T181" s="166"/>
      <c r="U181" s="166"/>
      <c r="V181" s="166"/>
      <c r="W181" s="166"/>
      <c r="X181" s="126"/>
      <c r="Y181" s="126"/>
      <c r="Z181" s="39"/>
    </row>
    <row r="182" spans="18:26" x14ac:dyDescent="0.3">
      <c r="R182" s="39"/>
      <c r="S182" s="166"/>
      <c r="T182" s="166"/>
      <c r="U182" s="166"/>
      <c r="V182" s="166"/>
      <c r="W182" s="166"/>
      <c r="X182" s="126"/>
      <c r="Y182" s="126"/>
      <c r="Z182" s="39"/>
    </row>
    <row r="183" spans="18:26" x14ac:dyDescent="0.3">
      <c r="R183" s="39"/>
      <c r="S183" s="166"/>
      <c r="T183" s="166"/>
      <c r="U183" s="166"/>
      <c r="V183" s="166"/>
      <c r="W183" s="166"/>
      <c r="X183" s="166"/>
      <c r="Y183" s="166"/>
      <c r="Z183" s="39"/>
    </row>
    <row r="184" spans="18:26" x14ac:dyDescent="0.3">
      <c r="R184" s="39"/>
      <c r="S184" s="166"/>
      <c r="T184" s="166"/>
      <c r="U184" s="166"/>
      <c r="V184" s="166"/>
      <c r="W184" s="166"/>
      <c r="X184" s="166"/>
      <c r="Y184" s="166"/>
      <c r="Z184" s="39"/>
    </row>
    <row r="185" spans="18:26" x14ac:dyDescent="0.3">
      <c r="R185" s="39"/>
      <c r="S185" s="166"/>
      <c r="T185" s="166"/>
      <c r="U185" s="166"/>
      <c r="V185" s="166"/>
      <c r="W185" s="166"/>
      <c r="X185" s="166"/>
      <c r="Y185" s="166"/>
      <c r="Z185" s="39"/>
    </row>
    <row r="186" spans="18:26" x14ac:dyDescent="0.3">
      <c r="R186" s="39"/>
      <c r="S186" s="166"/>
      <c r="T186" s="166"/>
      <c r="U186" s="166"/>
      <c r="V186" s="166"/>
      <c r="W186" s="166"/>
      <c r="X186" s="166"/>
      <c r="Y186" s="166"/>
      <c r="Z186" s="39"/>
    </row>
    <row r="187" spans="18:26" x14ac:dyDescent="0.3">
      <c r="R187" s="39"/>
      <c r="S187" s="166"/>
      <c r="T187" s="166"/>
      <c r="U187" s="166"/>
      <c r="V187" s="166"/>
      <c r="W187" s="166"/>
      <c r="X187" s="126"/>
      <c r="Y187" s="126"/>
      <c r="Z187" s="39"/>
    </row>
    <row r="188" spans="18:26" x14ac:dyDescent="0.3">
      <c r="R188" s="39"/>
      <c r="S188" s="17"/>
      <c r="T188" s="17"/>
      <c r="U188" s="17"/>
      <c r="V188" s="17"/>
      <c r="W188" s="17"/>
      <c r="X188" s="17"/>
      <c r="Y188" s="17"/>
      <c r="Z188" s="39"/>
    </row>
    <row r="189" spans="18:26" x14ac:dyDescent="0.3">
      <c r="R189" s="39"/>
      <c r="S189" s="166"/>
      <c r="T189" s="166"/>
      <c r="U189" s="166"/>
      <c r="V189" s="166"/>
      <c r="W189" s="166"/>
      <c r="X189" s="166"/>
      <c r="Y189" s="166"/>
      <c r="Z189" s="39"/>
    </row>
    <row r="191" spans="18:26" x14ac:dyDescent="0.3">
      <c r="S191" s="151"/>
      <c r="T191" s="151"/>
      <c r="U191" s="151"/>
      <c r="V191" s="151"/>
      <c r="W191" s="151"/>
      <c r="X191" s="151"/>
      <c r="Y191" s="151"/>
    </row>
    <row r="193" spans="19:25" x14ac:dyDescent="0.3">
      <c r="S193" s="151"/>
      <c r="T193" s="151"/>
      <c r="U193" s="151"/>
      <c r="V193" s="151"/>
      <c r="W193" s="151"/>
      <c r="X193" s="126"/>
      <c r="Y193" s="126"/>
    </row>
    <row r="195" spans="19:25" x14ac:dyDescent="0.3">
      <c r="S195" s="151"/>
      <c r="T195" s="151"/>
      <c r="U195" s="151"/>
      <c r="V195" s="151"/>
      <c r="W195" s="151"/>
      <c r="X195" s="151"/>
      <c r="Y195" s="151"/>
    </row>
    <row r="196" spans="19:25" x14ac:dyDescent="0.3">
      <c r="S196" s="151"/>
      <c r="T196" s="151"/>
      <c r="U196" s="151"/>
      <c r="V196" s="151"/>
      <c r="W196" s="151"/>
      <c r="X196" s="151"/>
      <c r="Y196" s="151"/>
    </row>
    <row r="197" spans="19:25" x14ac:dyDescent="0.3">
      <c r="S197" s="151"/>
      <c r="T197" s="151"/>
      <c r="U197" s="151"/>
      <c r="V197" s="151"/>
      <c r="W197" s="151"/>
      <c r="X197" s="151"/>
      <c r="Y197" s="151"/>
    </row>
    <row r="201" spans="19:25" x14ac:dyDescent="0.3">
      <c r="S201" s="151"/>
      <c r="T201" s="151"/>
      <c r="U201" s="151"/>
      <c r="V201" s="151"/>
      <c r="W201" s="151"/>
      <c r="X201" s="151"/>
      <c r="Y201" s="151"/>
    </row>
    <row r="203" spans="19:25" x14ac:dyDescent="0.3">
      <c r="S203" s="151"/>
      <c r="T203" s="151"/>
      <c r="U203" s="151"/>
      <c r="V203" s="151"/>
      <c r="W203" s="151"/>
      <c r="X203" s="151"/>
      <c r="Y203" s="151"/>
    </row>
    <row r="205" spans="19:25" x14ac:dyDescent="0.3">
      <c r="S205" s="151"/>
      <c r="T205" s="151"/>
      <c r="U205" s="151"/>
      <c r="V205" s="151"/>
      <c r="W205" s="151"/>
      <c r="X205" s="151"/>
      <c r="Y205" s="151"/>
    </row>
    <row r="210" spans="19:25" x14ac:dyDescent="0.3">
      <c r="S210" s="10"/>
      <c r="T210" s="10"/>
      <c r="U210" s="10"/>
      <c r="V210" s="10"/>
      <c r="W210" s="10"/>
      <c r="X210" s="10"/>
      <c r="Y210" s="10"/>
    </row>
  </sheetData>
  <sortState ref="A153:Z169">
    <sortCondition descending="1" ref="I153:I169"/>
    <sortCondition ref="J153:J169"/>
    <sortCondition descending="1" ref="G153:G169"/>
    <sortCondition ref="H153:H169"/>
  </sortState>
  <mergeCells count="5">
    <mergeCell ref="A2:K2"/>
    <mergeCell ref="A4:K4"/>
    <mergeCell ref="A5:K5"/>
    <mergeCell ref="C136:I136"/>
    <mergeCell ref="C145:I145"/>
  </mergeCells>
  <pageMargins left="0.7" right="0.7" top="0.78740157499999996" bottom="0.78740157499999996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A273"/>
  <sheetViews>
    <sheetView topLeftCell="A219" zoomScaleNormal="100" workbookViewId="0">
      <selection activeCell="M239" sqref="M239"/>
    </sheetView>
  </sheetViews>
  <sheetFormatPr baseColWidth="10" defaultRowHeight="14.4" x14ac:dyDescent="0.3"/>
  <cols>
    <col min="1" max="5" width="11.77734375" style="1" customWidth="1"/>
    <col min="6" max="6" width="11.77734375" style="171" customWidth="1"/>
    <col min="7" max="10" width="11.77734375" style="2" customWidth="1"/>
    <col min="11" max="18" width="11.77734375" customWidth="1"/>
    <col min="19" max="25" width="11.77734375" style="167" customWidth="1"/>
  </cols>
  <sheetData>
    <row r="1" spans="1:27" ht="15" thickTop="1" x14ac:dyDescent="0.3">
      <c r="A1" s="106"/>
      <c r="B1" s="25"/>
      <c r="C1" s="25"/>
      <c r="D1" s="25"/>
      <c r="E1" s="25"/>
      <c r="F1" s="25"/>
      <c r="G1" s="26"/>
      <c r="H1" s="26"/>
      <c r="I1" s="26"/>
      <c r="J1" s="26"/>
      <c r="K1" s="107"/>
      <c r="S1" s="114">
        <v>1</v>
      </c>
      <c r="T1" s="115">
        <v>2</v>
      </c>
      <c r="U1" s="115">
        <v>3</v>
      </c>
      <c r="V1" s="115">
        <v>4</v>
      </c>
      <c r="W1" s="115">
        <v>5</v>
      </c>
      <c r="X1" s="115">
        <v>6</v>
      </c>
      <c r="Y1" s="116">
        <v>7</v>
      </c>
    </row>
    <row r="2" spans="1:27" ht="46.2" x14ac:dyDescent="0.85">
      <c r="A2" s="425" t="s">
        <v>184</v>
      </c>
      <c r="B2" s="426"/>
      <c r="C2" s="426"/>
      <c r="D2" s="426"/>
      <c r="E2" s="426"/>
      <c r="F2" s="426"/>
      <c r="G2" s="426"/>
      <c r="H2" s="426"/>
      <c r="I2" s="426"/>
      <c r="J2" s="426"/>
      <c r="K2" s="427"/>
      <c r="S2" s="117"/>
      <c r="T2" s="166"/>
      <c r="U2" s="166"/>
      <c r="V2" s="166"/>
      <c r="W2" s="166"/>
      <c r="X2" s="166"/>
      <c r="Y2" s="118"/>
    </row>
    <row r="3" spans="1:27" x14ac:dyDescent="0.3">
      <c r="A3" s="176"/>
      <c r="B3" s="173"/>
      <c r="C3" s="173"/>
      <c r="D3" s="173"/>
      <c r="E3" s="173"/>
      <c r="F3" s="173"/>
      <c r="G3" s="5"/>
      <c r="H3" s="5"/>
      <c r="I3" s="5"/>
      <c r="J3" s="5"/>
      <c r="K3" s="108"/>
      <c r="S3" s="117"/>
      <c r="T3" s="166"/>
      <c r="U3" s="166"/>
      <c r="V3" s="166"/>
      <c r="W3" s="166"/>
      <c r="X3" s="166"/>
      <c r="Y3" s="118"/>
    </row>
    <row r="4" spans="1:27" ht="28.8" x14ac:dyDescent="0.55000000000000004">
      <c r="A4" s="428" t="s">
        <v>185</v>
      </c>
      <c r="B4" s="429"/>
      <c r="C4" s="429"/>
      <c r="D4" s="429"/>
      <c r="E4" s="429"/>
      <c r="F4" s="429"/>
      <c r="G4" s="429"/>
      <c r="H4" s="429"/>
      <c r="I4" s="429"/>
      <c r="J4" s="429"/>
      <c r="K4" s="427"/>
      <c r="S4" s="117"/>
      <c r="T4" s="166"/>
      <c r="U4" s="166"/>
      <c r="V4" s="166"/>
      <c r="W4" s="166"/>
      <c r="X4" s="166"/>
      <c r="Y4" s="118"/>
    </row>
    <row r="5" spans="1:27" ht="21" x14ac:dyDescent="0.4">
      <c r="A5" s="430" t="s">
        <v>231</v>
      </c>
      <c r="B5" s="431"/>
      <c r="C5" s="431"/>
      <c r="D5" s="431"/>
      <c r="E5" s="431"/>
      <c r="F5" s="431"/>
      <c r="G5" s="431"/>
      <c r="H5" s="431"/>
      <c r="I5" s="431"/>
      <c r="J5" s="431"/>
      <c r="K5" s="427"/>
      <c r="S5" s="117"/>
      <c r="T5" s="166"/>
      <c r="U5" s="166"/>
      <c r="V5" s="166"/>
      <c r="W5" s="166"/>
      <c r="X5" s="166"/>
      <c r="Y5" s="118"/>
    </row>
    <row r="6" spans="1:27" x14ac:dyDescent="0.3">
      <c r="A6" s="176"/>
      <c r="B6" s="173"/>
      <c r="C6" s="173"/>
      <c r="D6" s="173"/>
      <c r="E6" s="173"/>
      <c r="F6" s="173"/>
      <c r="G6" s="5"/>
      <c r="H6" s="5"/>
      <c r="I6" s="5"/>
      <c r="J6" s="5"/>
      <c r="K6" s="108"/>
      <c r="S6" s="117"/>
      <c r="T6" s="166"/>
      <c r="U6" s="166"/>
      <c r="V6" s="166"/>
      <c r="W6" s="166"/>
      <c r="X6" s="166"/>
      <c r="Y6" s="118"/>
    </row>
    <row r="7" spans="1:27" x14ac:dyDescent="0.3">
      <c r="A7" s="176"/>
      <c r="B7" s="173"/>
      <c r="C7" s="173"/>
      <c r="D7" s="173"/>
      <c r="E7" s="173"/>
      <c r="F7" s="173"/>
      <c r="G7" s="5"/>
      <c r="H7" s="5"/>
      <c r="I7" s="5"/>
      <c r="J7" s="5"/>
      <c r="K7" s="108"/>
      <c r="S7" s="117"/>
      <c r="T7" s="166"/>
      <c r="U7" s="166"/>
      <c r="V7" s="166"/>
      <c r="W7" s="166"/>
      <c r="X7" s="166"/>
      <c r="Y7" s="118"/>
    </row>
    <row r="8" spans="1:27" x14ac:dyDescent="0.3">
      <c r="A8" s="176"/>
      <c r="B8" s="173"/>
      <c r="C8" s="173"/>
      <c r="D8" s="173"/>
      <c r="E8" s="173"/>
      <c r="F8" s="173"/>
      <c r="G8" s="5"/>
      <c r="H8" s="5"/>
      <c r="I8" s="5"/>
      <c r="J8" s="5"/>
      <c r="K8" s="108"/>
      <c r="S8" s="117"/>
      <c r="T8" s="166"/>
      <c r="U8" s="166"/>
      <c r="V8" s="166"/>
      <c r="W8" s="166"/>
      <c r="X8" s="166"/>
      <c r="Y8" s="118"/>
    </row>
    <row r="9" spans="1:27" x14ac:dyDescent="0.3">
      <c r="A9" s="176"/>
      <c r="B9" s="173"/>
      <c r="C9" s="173"/>
      <c r="D9" s="173"/>
      <c r="E9" s="173"/>
      <c r="F9" s="173"/>
      <c r="G9" s="5"/>
      <c r="H9" s="5"/>
      <c r="I9" s="5"/>
      <c r="J9" s="5"/>
      <c r="K9" s="108"/>
      <c r="S9" s="117"/>
      <c r="T9" s="166"/>
      <c r="U9" s="166"/>
      <c r="V9" s="166"/>
      <c r="W9" s="166"/>
      <c r="X9" s="166"/>
      <c r="Y9" s="118"/>
    </row>
    <row r="10" spans="1:27" ht="21" x14ac:dyDescent="0.4">
      <c r="A10" s="176"/>
      <c r="B10" s="173"/>
      <c r="C10" s="173"/>
      <c r="D10" s="173"/>
      <c r="E10" s="173"/>
      <c r="F10" s="172" t="s">
        <v>2</v>
      </c>
      <c r="G10" s="5"/>
      <c r="H10" s="5"/>
      <c r="I10" s="5"/>
      <c r="J10" s="5"/>
      <c r="K10" s="108"/>
      <c r="S10" s="117"/>
      <c r="T10" s="166"/>
      <c r="U10" s="166"/>
      <c r="V10" s="166"/>
      <c r="W10" s="166"/>
      <c r="X10" s="166"/>
      <c r="Y10" s="118"/>
    </row>
    <row r="11" spans="1:27" x14ac:dyDescent="0.3">
      <c r="A11" s="176"/>
      <c r="B11" s="28"/>
      <c r="C11" s="173"/>
      <c r="D11" s="173"/>
      <c r="E11" s="173"/>
      <c r="F11" s="173"/>
      <c r="G11" s="5"/>
      <c r="H11" s="5"/>
      <c r="I11" s="5"/>
      <c r="J11" s="5"/>
      <c r="K11" s="108"/>
      <c r="S11" s="117"/>
      <c r="T11" s="166"/>
      <c r="U11" s="166"/>
      <c r="V11" s="166"/>
      <c r="W11" s="166"/>
      <c r="X11" s="166"/>
      <c r="Y11" s="118"/>
    </row>
    <row r="12" spans="1:27" ht="15" thickBot="1" x14ac:dyDescent="0.35">
      <c r="A12" s="176"/>
      <c r="B12" s="173"/>
      <c r="C12" s="58">
        <v>30116</v>
      </c>
      <c r="D12" s="178" t="s">
        <v>37</v>
      </c>
      <c r="E12" s="178" t="s">
        <v>61</v>
      </c>
      <c r="F12" s="178">
        <v>0</v>
      </c>
      <c r="G12" s="178">
        <v>0</v>
      </c>
      <c r="H12" s="178"/>
      <c r="I12" s="178" t="s">
        <v>186</v>
      </c>
      <c r="J12" s="5"/>
      <c r="K12" s="108"/>
      <c r="S12" s="117" t="s">
        <v>37</v>
      </c>
      <c r="T12" s="166" t="s">
        <v>61</v>
      </c>
      <c r="U12" s="166">
        <v>0</v>
      </c>
      <c r="V12" s="166">
        <v>0</v>
      </c>
      <c r="W12" s="166"/>
      <c r="X12" s="126">
        <f t="shared" ref="X12:X15" si="0">(IF(U12&gt;V12,3,IF(U12=V12,1,2)))</f>
        <v>1</v>
      </c>
      <c r="Y12" s="125">
        <f t="shared" ref="Y12:Y15" si="1">(IF(V12&gt;U12,3,IF(U12=V12,1,2)))</f>
        <v>1</v>
      </c>
      <c r="AA12" t="s">
        <v>37</v>
      </c>
    </row>
    <row r="13" spans="1:27" ht="15" thickBot="1" x14ac:dyDescent="0.35">
      <c r="A13" s="176"/>
      <c r="B13" s="173"/>
      <c r="C13" s="58">
        <v>30117</v>
      </c>
      <c r="D13" s="178" t="s">
        <v>17</v>
      </c>
      <c r="E13" s="178" t="s">
        <v>190</v>
      </c>
      <c r="F13" s="178">
        <v>0</v>
      </c>
      <c r="G13" s="178">
        <v>0</v>
      </c>
      <c r="H13" s="178"/>
      <c r="I13" s="8" t="s">
        <v>189</v>
      </c>
      <c r="J13" s="5"/>
      <c r="K13" s="108"/>
      <c r="S13" s="117" t="s">
        <v>17</v>
      </c>
      <c r="T13" s="166" t="s">
        <v>190</v>
      </c>
      <c r="U13" s="166">
        <v>0</v>
      </c>
      <c r="V13" s="166">
        <v>0</v>
      </c>
      <c r="W13" s="166"/>
      <c r="X13" s="126">
        <f t="shared" si="0"/>
        <v>1</v>
      </c>
      <c r="Y13" s="125">
        <f t="shared" si="1"/>
        <v>1</v>
      </c>
      <c r="AA13" t="s">
        <v>88</v>
      </c>
    </row>
    <row r="14" spans="1:27" x14ac:dyDescent="0.3">
      <c r="A14" s="176"/>
      <c r="B14" s="173"/>
      <c r="C14" s="40">
        <v>30120</v>
      </c>
      <c r="D14" s="173" t="s">
        <v>37</v>
      </c>
      <c r="E14" s="173" t="s">
        <v>17</v>
      </c>
      <c r="F14" s="173">
        <v>1</v>
      </c>
      <c r="G14" s="173">
        <v>1</v>
      </c>
      <c r="H14" s="173"/>
      <c r="I14" s="5" t="s">
        <v>186</v>
      </c>
      <c r="J14" s="5"/>
      <c r="K14" s="108"/>
      <c r="S14" s="117" t="s">
        <v>37</v>
      </c>
      <c r="T14" s="166" t="s">
        <v>17</v>
      </c>
      <c r="U14" s="166">
        <v>1</v>
      </c>
      <c r="V14" s="166">
        <v>1</v>
      </c>
      <c r="W14" s="166"/>
      <c r="X14" s="126">
        <f t="shared" si="0"/>
        <v>1</v>
      </c>
      <c r="Y14" s="125">
        <f t="shared" si="1"/>
        <v>1</v>
      </c>
      <c r="AA14" t="s">
        <v>61</v>
      </c>
    </row>
    <row r="15" spans="1:27" ht="15" thickBot="1" x14ac:dyDescent="0.35">
      <c r="A15" s="176"/>
      <c r="B15" s="173"/>
      <c r="C15" s="58"/>
      <c r="D15" s="178"/>
      <c r="E15" s="178"/>
      <c r="F15" s="178" t="s">
        <v>172</v>
      </c>
      <c r="G15" s="178" t="s">
        <v>171</v>
      </c>
      <c r="H15" s="178"/>
      <c r="I15" s="8"/>
      <c r="J15" s="5"/>
      <c r="K15" s="108"/>
      <c r="S15" s="117" t="s">
        <v>61</v>
      </c>
      <c r="T15" s="166" t="s">
        <v>190</v>
      </c>
      <c r="U15" s="166">
        <v>0</v>
      </c>
      <c r="V15" s="166">
        <v>0</v>
      </c>
      <c r="W15" s="166"/>
      <c r="X15" s="126">
        <f t="shared" si="0"/>
        <v>1</v>
      </c>
      <c r="Y15" s="125">
        <f t="shared" si="1"/>
        <v>1</v>
      </c>
      <c r="AA15" t="s">
        <v>9</v>
      </c>
    </row>
    <row r="16" spans="1:27" ht="15" thickBot="1" x14ac:dyDescent="0.35">
      <c r="A16" s="176"/>
      <c r="B16" s="173"/>
      <c r="C16" s="58">
        <v>30121</v>
      </c>
      <c r="D16" s="178" t="s">
        <v>61</v>
      </c>
      <c r="E16" s="178" t="s">
        <v>190</v>
      </c>
      <c r="F16" s="178">
        <v>0</v>
      </c>
      <c r="G16" s="178">
        <v>0</v>
      </c>
      <c r="H16" s="178"/>
      <c r="I16" s="8" t="s">
        <v>189</v>
      </c>
      <c r="J16" s="5"/>
      <c r="K16" s="108"/>
      <c r="S16" s="117" t="s">
        <v>61</v>
      </c>
      <c r="T16" s="166" t="s">
        <v>17</v>
      </c>
      <c r="U16" s="166">
        <v>5</v>
      </c>
      <c r="V16" s="166">
        <v>1</v>
      </c>
      <c r="W16" s="166"/>
      <c r="X16" s="126">
        <f t="shared" ref="X16:X17" si="2">(IF(U16&gt;V16,3,IF(U16=V16,1,2)))</f>
        <v>3</v>
      </c>
      <c r="Y16" s="125">
        <f t="shared" ref="Y16:Y17" si="3">(IF(V16&gt;U16,3,IF(U16=V16,1,2)))</f>
        <v>2</v>
      </c>
      <c r="AA16" t="s">
        <v>74</v>
      </c>
    </row>
    <row r="17" spans="1:27" x14ac:dyDescent="0.3">
      <c r="A17" s="176"/>
      <c r="B17" s="173"/>
      <c r="C17" s="40">
        <v>30124</v>
      </c>
      <c r="D17" s="28" t="s">
        <v>61</v>
      </c>
      <c r="E17" s="173" t="s">
        <v>17</v>
      </c>
      <c r="F17" s="28">
        <v>5</v>
      </c>
      <c r="G17" s="173">
        <v>1</v>
      </c>
      <c r="H17" s="173"/>
      <c r="I17" s="5" t="s">
        <v>189</v>
      </c>
      <c r="J17" s="5"/>
      <c r="K17" s="108"/>
      <c r="S17" s="117" t="s">
        <v>37</v>
      </c>
      <c r="T17" s="166" t="s">
        <v>190</v>
      </c>
      <c r="U17" s="166">
        <v>1</v>
      </c>
      <c r="V17" s="166">
        <v>1</v>
      </c>
      <c r="W17" s="166"/>
      <c r="X17" s="126">
        <f t="shared" si="2"/>
        <v>1</v>
      </c>
      <c r="Y17" s="125">
        <f t="shared" si="3"/>
        <v>1</v>
      </c>
      <c r="AA17" t="s">
        <v>3</v>
      </c>
    </row>
    <row r="18" spans="1:27" ht="15" thickBot="1" x14ac:dyDescent="0.35">
      <c r="A18" s="176"/>
      <c r="B18" s="173"/>
      <c r="C18" s="58"/>
      <c r="D18" s="178"/>
      <c r="E18" s="178"/>
      <c r="F18" s="178" t="s">
        <v>170</v>
      </c>
      <c r="G18" s="178" t="s">
        <v>171</v>
      </c>
      <c r="H18" s="178"/>
      <c r="I18" s="8"/>
      <c r="J18" s="5"/>
      <c r="K18" s="108"/>
      <c r="S18" s="117"/>
      <c r="T18" s="166"/>
      <c r="U18" s="166"/>
      <c r="V18" s="166"/>
      <c r="W18" s="166"/>
      <c r="X18" s="126"/>
      <c r="Y18" s="125"/>
      <c r="AA18" t="s">
        <v>101</v>
      </c>
    </row>
    <row r="19" spans="1:27" x14ac:dyDescent="0.3">
      <c r="A19" s="176"/>
      <c r="B19" s="173"/>
      <c r="C19" s="40">
        <v>30125</v>
      </c>
      <c r="D19" s="173" t="s">
        <v>37</v>
      </c>
      <c r="E19" s="173" t="s">
        <v>190</v>
      </c>
      <c r="F19" s="173">
        <v>1</v>
      </c>
      <c r="G19" s="173">
        <v>1</v>
      </c>
      <c r="H19" s="173"/>
      <c r="I19" s="5" t="s">
        <v>186</v>
      </c>
      <c r="J19" s="5"/>
      <c r="K19" s="108"/>
      <c r="S19" s="117"/>
      <c r="T19" s="166"/>
      <c r="U19" s="166"/>
      <c r="V19" s="166"/>
      <c r="W19" s="166"/>
      <c r="X19" s="126"/>
      <c r="Y19" s="125"/>
      <c r="AA19" t="s">
        <v>29</v>
      </c>
    </row>
    <row r="20" spans="1:27" x14ac:dyDescent="0.3">
      <c r="A20" s="156"/>
      <c r="B20" s="173"/>
      <c r="C20" s="173"/>
      <c r="D20" s="173"/>
      <c r="E20" s="173"/>
      <c r="F20" s="173" t="s">
        <v>170</v>
      </c>
      <c r="G20" s="5" t="s">
        <v>171</v>
      </c>
      <c r="H20" s="5"/>
      <c r="I20" s="5"/>
      <c r="J20" s="5"/>
      <c r="K20" s="108"/>
      <c r="S20" s="117"/>
      <c r="T20" s="166"/>
      <c r="U20" s="166"/>
      <c r="V20" s="166"/>
      <c r="W20" s="166"/>
      <c r="X20" s="126"/>
      <c r="Y20" s="125"/>
      <c r="AA20" t="s">
        <v>98</v>
      </c>
    </row>
    <row r="21" spans="1:27" x14ac:dyDescent="0.3">
      <c r="A21" s="156"/>
      <c r="B21" s="173"/>
      <c r="C21" s="173"/>
      <c r="D21" s="173"/>
      <c r="E21" s="173"/>
      <c r="F21" s="173"/>
      <c r="G21" s="5"/>
      <c r="H21" s="5"/>
      <c r="I21" s="5"/>
      <c r="J21" s="5"/>
      <c r="K21" s="108"/>
      <c r="S21" s="117"/>
      <c r="T21" s="166"/>
      <c r="U21" s="166"/>
      <c r="V21" s="166"/>
      <c r="W21" s="166"/>
      <c r="X21" s="126"/>
      <c r="Y21" s="125"/>
      <c r="AA21" t="s">
        <v>21</v>
      </c>
    </row>
    <row r="22" spans="1:27" ht="15" thickBot="1" x14ac:dyDescent="0.35">
      <c r="A22" s="176"/>
      <c r="B22" s="173"/>
      <c r="C22" s="173" t="s">
        <v>12</v>
      </c>
      <c r="D22" s="173" t="s">
        <v>13</v>
      </c>
      <c r="E22" s="173" t="s">
        <v>14</v>
      </c>
      <c r="F22" s="173" t="s">
        <v>15</v>
      </c>
      <c r="G22" s="5" t="s">
        <v>24</v>
      </c>
      <c r="H22" s="5" t="s">
        <v>25</v>
      </c>
      <c r="I22" s="5" t="s">
        <v>26</v>
      </c>
      <c r="J22" s="5" t="s">
        <v>27</v>
      </c>
      <c r="K22" s="108"/>
      <c r="S22" s="117"/>
      <c r="T22" s="166"/>
      <c r="U22" s="166"/>
      <c r="V22" s="166"/>
      <c r="W22" s="166"/>
      <c r="X22" s="126"/>
      <c r="Y22" s="125"/>
      <c r="AA22" t="s">
        <v>192</v>
      </c>
    </row>
    <row r="23" spans="1:27" x14ac:dyDescent="0.3">
      <c r="A23" s="176"/>
      <c r="B23" s="14" t="s">
        <v>61</v>
      </c>
      <c r="C23" s="210">
        <f>COUNTIF($S$12:$T$17,"Polen")</f>
        <v>3</v>
      </c>
      <c r="D23" s="124">
        <f>SUMPRODUCT(($S$12:$T$17=B23)*($X$12:$Y$17=3))</f>
        <v>1</v>
      </c>
      <c r="E23" s="124">
        <f>SUMPRODUCT(($S$12:$T$17=B23)*($X$12:$Y$17=1))</f>
        <v>2</v>
      </c>
      <c r="F23" s="124">
        <f>SUMPRODUCT(($S$12:$T$17=B23)*($X$12:$Y$17=2))</f>
        <v>0</v>
      </c>
      <c r="G23" s="124">
        <f>SUMPRODUCT(($S$12:$S$17=B23)*($U$12:$U$17))+SUMPRODUCT(($T$12:$T$17=B23)*($V$12:$V$17))</f>
        <v>5</v>
      </c>
      <c r="H23" s="124">
        <f>SUMPRODUCT(($S$12:$S$17=B23)*($V$12:$V$17))+SUMPRODUCT(($T$12:$T$17=B23)*($U$12:$U$17))</f>
        <v>1</v>
      </c>
      <c r="I23" s="15">
        <f>(D23*2)+E23</f>
        <v>4</v>
      </c>
      <c r="J23" s="16">
        <f>(F23*2)+E23</f>
        <v>2</v>
      </c>
      <c r="K23" s="108"/>
      <c r="S23" s="117"/>
      <c r="T23" s="166"/>
      <c r="U23" s="166"/>
      <c r="V23" s="166"/>
      <c r="W23" s="166"/>
      <c r="X23" s="209"/>
      <c r="Y23" s="118"/>
      <c r="AA23" t="s">
        <v>5</v>
      </c>
    </row>
    <row r="24" spans="1:27" x14ac:dyDescent="0.3">
      <c r="A24" s="176"/>
      <c r="B24" s="21" t="s">
        <v>37</v>
      </c>
      <c r="C24" s="209">
        <f>COUNTIF($S$12:$T$17,"Italien")</f>
        <v>3</v>
      </c>
      <c r="D24" s="43">
        <f>SUMPRODUCT(($S$12:$T$17=B24)*($X$12:$Y$17=3))</f>
        <v>0</v>
      </c>
      <c r="E24" s="43">
        <f>SUMPRODUCT(($S$12:$T$17=B24)*($X$12:$Y$17=1))</f>
        <v>3</v>
      </c>
      <c r="F24" s="43">
        <f>SUMPRODUCT(($S$12:$T$17=B24)*($X$12:$Y$17=2))</f>
        <v>0</v>
      </c>
      <c r="G24" s="43">
        <f>SUMPRODUCT(($S$12:$S$17=B24)*($U$12:$U$17))+SUMPRODUCT(($T$12:$T$17=B24)*($V$12:$V$17))</f>
        <v>2</v>
      </c>
      <c r="H24" s="43">
        <f>SUMPRODUCT(($S$12:$S$17=B24)*($V$12:$V$17))+SUMPRODUCT(($T$12:$T$17=B24)*($U$12:$U$17))</f>
        <v>2</v>
      </c>
      <c r="I24" s="18">
        <f>(D24*2)+E24</f>
        <v>3</v>
      </c>
      <c r="J24" s="22">
        <f>(F24*2)+E24</f>
        <v>3</v>
      </c>
      <c r="K24" s="108"/>
      <c r="S24" s="117"/>
      <c r="T24" s="166"/>
      <c r="U24" s="166"/>
      <c r="V24" s="166"/>
      <c r="W24" s="166"/>
      <c r="X24" s="126"/>
      <c r="Y24" s="125"/>
      <c r="AA24" t="s">
        <v>35</v>
      </c>
    </row>
    <row r="25" spans="1:27" x14ac:dyDescent="0.3">
      <c r="A25" s="176"/>
      <c r="B25" s="3" t="s">
        <v>190</v>
      </c>
      <c r="C25" s="209">
        <f>COUNTIF($S$12:$T$17,"Kamerun")</f>
        <v>3</v>
      </c>
      <c r="D25" s="43">
        <f>SUMPRODUCT(($S$12:$T$17=B25)*($X$12:$Y$17=3))</f>
        <v>0</v>
      </c>
      <c r="E25" s="43">
        <f>SUMPRODUCT(($S$12:$T$17=B25)*($X$12:$Y$17=1))</f>
        <v>3</v>
      </c>
      <c r="F25" s="43">
        <f>SUMPRODUCT(($S$12:$T$17=B25)*($X$12:$Y$17=2))</f>
        <v>0</v>
      </c>
      <c r="G25" s="43">
        <f>SUMPRODUCT(($S$12:$S$17=B25)*($U$12:$U$17))+SUMPRODUCT(($T$12:$T$17=B25)*($V$12:$V$17))</f>
        <v>1</v>
      </c>
      <c r="H25" s="43">
        <f>SUMPRODUCT(($S$12:$S$17=B25)*($V$12:$V$17))+SUMPRODUCT(($T$12:$T$17=B25)*($U$12:$U$17))</f>
        <v>1</v>
      </c>
      <c r="I25" s="18">
        <f>(D25*2)+E25</f>
        <v>3</v>
      </c>
      <c r="J25" s="22">
        <f>(F25*2)+E25</f>
        <v>3</v>
      </c>
      <c r="K25" s="108"/>
      <c r="S25" s="117"/>
      <c r="T25" s="166"/>
      <c r="U25" s="166"/>
      <c r="V25" s="166"/>
      <c r="W25" s="166"/>
      <c r="X25" s="166"/>
      <c r="Y25" s="118"/>
      <c r="AA25" t="s">
        <v>32</v>
      </c>
    </row>
    <row r="26" spans="1:27" ht="15" thickBot="1" x14ac:dyDescent="0.35">
      <c r="A26" s="176"/>
      <c r="B26" s="7" t="s">
        <v>17</v>
      </c>
      <c r="C26" s="211">
        <f>COUNTIF($S$12:$T$17,"Peru")</f>
        <v>3</v>
      </c>
      <c r="D26" s="80">
        <f>SUMPRODUCT(($S$12:$T$17=B26)*($X$12:$Y$17=3))</f>
        <v>0</v>
      </c>
      <c r="E26" s="80">
        <f>SUMPRODUCT(($S$12:$T$17=B26)*($X$12:$Y$17=1))</f>
        <v>2</v>
      </c>
      <c r="F26" s="80">
        <f>SUMPRODUCT(($S$12:$T$17=B26)*($X$12:$Y$17=2))</f>
        <v>1</v>
      </c>
      <c r="G26" s="80">
        <f>SUMPRODUCT(($S$12:$S$17=B26)*($U$12:$U$17))+SUMPRODUCT(($T$12:$T$17=B26)*($V$12:$V$17))</f>
        <v>2</v>
      </c>
      <c r="H26" s="80">
        <f>SUMPRODUCT(($S$12:$S$17=B26)*($V$12:$V$17))+SUMPRODUCT(($T$12:$T$17=B26)*($U$12:$U$17))</f>
        <v>6</v>
      </c>
      <c r="I26" s="31">
        <f>(D26*2)+E26</f>
        <v>2</v>
      </c>
      <c r="J26" s="32">
        <f>(F26*2)+E26</f>
        <v>4</v>
      </c>
      <c r="K26" s="108"/>
      <c r="S26" s="117"/>
      <c r="T26" s="166"/>
      <c r="U26" s="166"/>
      <c r="V26" s="166"/>
      <c r="W26" s="166"/>
      <c r="X26" s="166"/>
      <c r="Y26" s="118"/>
      <c r="AA26" t="s">
        <v>81</v>
      </c>
    </row>
    <row r="27" spans="1:27" ht="15" thickBot="1" x14ac:dyDescent="0.35">
      <c r="A27" s="176"/>
      <c r="B27" s="173"/>
      <c r="C27" s="173"/>
      <c r="D27" s="173"/>
      <c r="E27" s="173"/>
      <c r="F27" s="173"/>
      <c r="G27" s="5"/>
      <c r="H27" s="5"/>
      <c r="I27" s="5"/>
      <c r="J27" s="5"/>
      <c r="K27" s="193"/>
      <c r="S27" s="117"/>
      <c r="T27" s="166"/>
      <c r="U27" s="166"/>
      <c r="V27" s="166"/>
      <c r="W27" s="166"/>
      <c r="X27" s="166"/>
      <c r="Y27" s="118"/>
      <c r="AA27" t="s">
        <v>8</v>
      </c>
    </row>
    <row r="28" spans="1:27" ht="15" thickTop="1" x14ac:dyDescent="0.3">
      <c r="A28" s="106"/>
      <c r="B28" s="25"/>
      <c r="C28" s="25"/>
      <c r="D28" s="25"/>
      <c r="E28" s="25"/>
      <c r="F28" s="25"/>
      <c r="G28" s="26"/>
      <c r="H28" s="26"/>
      <c r="I28" s="26"/>
      <c r="J28" s="26"/>
      <c r="K28" s="108"/>
      <c r="S28" s="117"/>
      <c r="T28" s="166"/>
      <c r="U28" s="166"/>
      <c r="V28" s="166"/>
      <c r="W28" s="166"/>
      <c r="X28" s="166"/>
      <c r="Y28" s="118"/>
      <c r="AA28" t="s">
        <v>190</v>
      </c>
    </row>
    <row r="29" spans="1:27" ht="21" x14ac:dyDescent="0.4">
      <c r="A29" s="176"/>
      <c r="B29" s="173"/>
      <c r="C29" s="173"/>
      <c r="D29" s="173"/>
      <c r="E29" s="173"/>
      <c r="F29" s="172" t="s">
        <v>7</v>
      </c>
      <c r="G29" s="5"/>
      <c r="H29" s="5"/>
      <c r="I29" s="5"/>
      <c r="J29" s="5"/>
      <c r="K29" s="108"/>
      <c r="S29" s="117"/>
      <c r="T29" s="166"/>
      <c r="U29" s="166"/>
      <c r="V29" s="166"/>
      <c r="W29" s="166"/>
      <c r="X29" s="166"/>
      <c r="Y29" s="118"/>
      <c r="AA29" t="s">
        <v>200</v>
      </c>
    </row>
    <row r="30" spans="1:27" x14ac:dyDescent="0.3">
      <c r="A30" s="176"/>
      <c r="B30" s="28"/>
      <c r="C30" s="173"/>
      <c r="D30" s="173"/>
      <c r="E30" s="173"/>
      <c r="F30" s="173"/>
      <c r="G30" s="5"/>
      <c r="H30" s="5"/>
      <c r="I30" s="5"/>
      <c r="J30" s="5"/>
      <c r="K30" s="108"/>
      <c r="S30" s="117"/>
      <c r="T30" s="166"/>
      <c r="U30" s="166"/>
      <c r="V30" s="166"/>
      <c r="W30" s="166"/>
      <c r="X30" s="166"/>
      <c r="Y30" s="118"/>
      <c r="AA30" t="s">
        <v>45</v>
      </c>
    </row>
    <row r="31" spans="1:27" x14ac:dyDescent="0.3">
      <c r="A31" s="176"/>
      <c r="B31" s="173"/>
      <c r="C31" s="40">
        <v>30118</v>
      </c>
      <c r="D31" s="173" t="s">
        <v>88</v>
      </c>
      <c r="E31" s="28" t="s">
        <v>192</v>
      </c>
      <c r="F31" s="173">
        <v>1</v>
      </c>
      <c r="G31" s="28">
        <v>2</v>
      </c>
      <c r="H31" s="173"/>
      <c r="I31" s="5" t="s">
        <v>191</v>
      </c>
      <c r="J31" s="5"/>
      <c r="K31" s="108"/>
      <c r="S31" s="117" t="s">
        <v>88</v>
      </c>
      <c r="T31" s="166" t="s">
        <v>192</v>
      </c>
      <c r="U31" s="166">
        <v>1</v>
      </c>
      <c r="V31" s="166">
        <v>2</v>
      </c>
      <c r="W31" s="166"/>
      <c r="X31" s="126">
        <f t="shared" ref="X31:X36" si="4">(IF(U31&gt;V31,3,IF(U31=V31,1,2)))</f>
        <v>2</v>
      </c>
      <c r="Y31" s="125">
        <f t="shared" ref="Y31:Y36" si="5">(IF(V31&gt;U31,3,IF(U31=V31,1,2)))</f>
        <v>3</v>
      </c>
      <c r="AA31" t="s">
        <v>17</v>
      </c>
    </row>
    <row r="32" spans="1:27" ht="15" thickBot="1" x14ac:dyDescent="0.35">
      <c r="A32" s="176"/>
      <c r="B32" s="173"/>
      <c r="C32" s="58"/>
      <c r="D32" s="178"/>
      <c r="E32" s="178"/>
      <c r="F32" s="178" t="s">
        <v>170</v>
      </c>
      <c r="G32" s="178" t="s">
        <v>171</v>
      </c>
      <c r="H32" s="178"/>
      <c r="I32" s="8"/>
      <c r="J32" s="5"/>
      <c r="K32" s="108"/>
      <c r="S32" s="117" t="s">
        <v>6</v>
      </c>
      <c r="T32" s="166" t="s">
        <v>29</v>
      </c>
      <c r="U32" s="166">
        <v>0</v>
      </c>
      <c r="V32" s="166">
        <v>1</v>
      </c>
      <c r="W32" s="166"/>
      <c r="X32" s="126">
        <f t="shared" si="4"/>
        <v>2</v>
      </c>
      <c r="Y32" s="125">
        <f t="shared" si="5"/>
        <v>3</v>
      </c>
      <c r="AA32" t="s">
        <v>199</v>
      </c>
    </row>
    <row r="33" spans="1:27" x14ac:dyDescent="0.3">
      <c r="A33" s="176"/>
      <c r="B33" s="173"/>
      <c r="C33" s="40">
        <v>30119</v>
      </c>
      <c r="D33" s="173" t="s">
        <v>6</v>
      </c>
      <c r="E33" s="28" t="s">
        <v>29</v>
      </c>
      <c r="F33" s="173">
        <v>0</v>
      </c>
      <c r="G33" s="28">
        <v>1</v>
      </c>
      <c r="H33" s="173"/>
      <c r="I33" s="5" t="s">
        <v>193</v>
      </c>
      <c r="J33" s="5"/>
      <c r="K33" s="108"/>
      <c r="S33" s="117" t="s">
        <v>88</v>
      </c>
      <c r="T33" s="166" t="s">
        <v>6</v>
      </c>
      <c r="U33" s="166">
        <v>4</v>
      </c>
      <c r="V33" s="166">
        <v>1</v>
      </c>
      <c r="W33" s="166"/>
      <c r="X33" s="126">
        <f t="shared" si="4"/>
        <v>3</v>
      </c>
      <c r="Y33" s="125">
        <f t="shared" si="5"/>
        <v>2</v>
      </c>
      <c r="AA33" t="s">
        <v>6</v>
      </c>
    </row>
    <row r="34" spans="1:27" ht="15" thickBot="1" x14ac:dyDescent="0.35">
      <c r="A34" s="176"/>
      <c r="B34" s="173"/>
      <c r="C34" s="58"/>
      <c r="D34" s="178"/>
      <c r="E34" s="178"/>
      <c r="F34" s="178" t="s">
        <v>170</v>
      </c>
      <c r="G34" s="178" t="s">
        <v>183</v>
      </c>
      <c r="H34" s="178"/>
      <c r="I34" s="8"/>
      <c r="J34" s="5"/>
      <c r="K34" s="108"/>
      <c r="S34" s="117" t="s">
        <v>192</v>
      </c>
      <c r="T34" s="166" t="s">
        <v>29</v>
      </c>
      <c r="U34" s="166">
        <v>0</v>
      </c>
      <c r="V34" s="166">
        <v>2</v>
      </c>
      <c r="W34" s="166"/>
      <c r="X34" s="126">
        <f t="shared" si="4"/>
        <v>2</v>
      </c>
      <c r="Y34" s="125">
        <f t="shared" si="5"/>
        <v>3</v>
      </c>
      <c r="AA34" t="s">
        <v>205</v>
      </c>
    </row>
    <row r="35" spans="1:27" x14ac:dyDescent="0.3">
      <c r="A35" s="176"/>
      <c r="B35" s="173"/>
      <c r="C35" s="40">
        <v>30122</v>
      </c>
      <c r="D35" s="28" t="s">
        <v>88</v>
      </c>
      <c r="E35" s="173" t="s">
        <v>6</v>
      </c>
      <c r="F35" s="28">
        <v>4</v>
      </c>
      <c r="G35" s="173">
        <v>1</v>
      </c>
      <c r="H35" s="173"/>
      <c r="I35" s="5" t="s">
        <v>191</v>
      </c>
      <c r="J35" s="5"/>
      <c r="K35" s="108"/>
      <c r="S35" s="117" t="s">
        <v>192</v>
      </c>
      <c r="T35" s="166" t="s">
        <v>6</v>
      </c>
      <c r="U35" s="166">
        <v>3</v>
      </c>
      <c r="V35" s="166">
        <v>2</v>
      </c>
      <c r="W35" s="166"/>
      <c r="X35" s="126">
        <f t="shared" si="4"/>
        <v>3</v>
      </c>
      <c r="Y35" s="125">
        <f t="shared" si="5"/>
        <v>2</v>
      </c>
      <c r="AA35" t="s">
        <v>141</v>
      </c>
    </row>
    <row r="36" spans="1:27" ht="15" thickBot="1" x14ac:dyDescent="0.35">
      <c r="A36" s="176"/>
      <c r="B36" s="173"/>
      <c r="C36" s="58"/>
      <c r="D36" s="178"/>
      <c r="E36" s="178"/>
      <c r="F36" s="178" t="s">
        <v>172</v>
      </c>
      <c r="G36" s="178" t="s">
        <v>171</v>
      </c>
      <c r="H36" s="178"/>
      <c r="I36" s="8"/>
      <c r="J36" s="5"/>
      <c r="K36" s="108"/>
      <c r="S36" s="117" t="s">
        <v>88</v>
      </c>
      <c r="T36" s="166" t="s">
        <v>29</v>
      </c>
      <c r="U36" s="166">
        <v>1</v>
      </c>
      <c r="V36" s="166">
        <v>0</v>
      </c>
      <c r="W36" s="166"/>
      <c r="X36" s="126">
        <f t="shared" si="4"/>
        <v>3</v>
      </c>
      <c r="Y36" s="125">
        <f t="shared" si="5"/>
        <v>2</v>
      </c>
    </row>
    <row r="37" spans="1:27" x14ac:dyDescent="0.3">
      <c r="A37" s="176"/>
      <c r="B37" s="173"/>
      <c r="C37" s="40">
        <v>30123</v>
      </c>
      <c r="D37" s="173" t="s">
        <v>192</v>
      </c>
      <c r="E37" s="28" t="s">
        <v>29</v>
      </c>
      <c r="F37" s="173">
        <v>0</v>
      </c>
      <c r="G37" s="28">
        <v>2</v>
      </c>
      <c r="H37" s="173"/>
      <c r="I37" s="5" t="s">
        <v>193</v>
      </c>
      <c r="J37" s="5"/>
      <c r="K37" s="108"/>
      <c r="S37" s="117"/>
      <c r="T37" s="166"/>
      <c r="U37" s="166"/>
      <c r="V37" s="166"/>
      <c r="W37" s="166"/>
      <c r="X37" s="126"/>
      <c r="Y37" s="125"/>
    </row>
    <row r="38" spans="1:27" ht="15" thickBot="1" x14ac:dyDescent="0.35">
      <c r="A38" s="176"/>
      <c r="B38" s="173"/>
      <c r="C38" s="58"/>
      <c r="D38" s="178"/>
      <c r="E38" s="178"/>
      <c r="F38" s="178" t="s">
        <v>170</v>
      </c>
      <c r="G38" s="178" t="s">
        <v>171</v>
      </c>
      <c r="H38" s="178"/>
      <c r="I38" s="8"/>
      <c r="J38" s="5"/>
      <c r="K38" s="108"/>
      <c r="S38" s="117"/>
      <c r="T38" s="166"/>
      <c r="U38" s="166"/>
      <c r="V38" s="166"/>
      <c r="W38" s="166"/>
      <c r="X38" s="126"/>
      <c r="Y38" s="125"/>
    </row>
    <row r="39" spans="1:27" x14ac:dyDescent="0.3">
      <c r="A39" s="176"/>
      <c r="B39" s="173"/>
      <c r="C39" s="40">
        <v>30126</v>
      </c>
      <c r="D39" s="52" t="s">
        <v>192</v>
      </c>
      <c r="E39" s="17" t="s">
        <v>6</v>
      </c>
      <c r="F39" s="52">
        <v>3</v>
      </c>
      <c r="G39" s="17">
        <v>2</v>
      </c>
      <c r="H39" s="17"/>
      <c r="I39" s="5" t="s">
        <v>193</v>
      </c>
      <c r="J39" s="5"/>
      <c r="K39" s="108"/>
      <c r="S39" s="117"/>
      <c r="T39" s="166"/>
      <c r="U39" s="166"/>
      <c r="V39" s="166"/>
      <c r="W39" s="166"/>
      <c r="X39" s="126"/>
      <c r="Y39" s="125"/>
    </row>
    <row r="40" spans="1:27" ht="15" thickBot="1" x14ac:dyDescent="0.35">
      <c r="A40" s="176"/>
      <c r="B40" s="173"/>
      <c r="C40" s="58"/>
      <c r="D40" s="30"/>
      <c r="E40" s="30"/>
      <c r="F40" s="30" t="s">
        <v>264</v>
      </c>
      <c r="G40" s="30" t="s">
        <v>171</v>
      </c>
      <c r="H40" s="30"/>
      <c r="I40" s="8"/>
      <c r="J40" s="5"/>
      <c r="K40" s="108"/>
      <c r="S40" s="117"/>
      <c r="T40" s="166"/>
      <c r="U40" s="166"/>
      <c r="V40" s="166"/>
      <c r="W40" s="166"/>
      <c r="X40" s="126"/>
      <c r="Y40" s="125"/>
    </row>
    <row r="41" spans="1:27" x14ac:dyDescent="0.3">
      <c r="A41" s="176"/>
      <c r="B41" s="173"/>
      <c r="C41" s="40">
        <v>30127</v>
      </c>
      <c r="D41" s="52" t="s">
        <v>88</v>
      </c>
      <c r="E41" s="17" t="s">
        <v>29</v>
      </c>
      <c r="F41" s="52">
        <v>1</v>
      </c>
      <c r="G41" s="17">
        <v>0</v>
      </c>
      <c r="H41" s="17"/>
      <c r="I41" s="5" t="s">
        <v>191</v>
      </c>
      <c r="J41" s="5"/>
      <c r="K41" s="108"/>
      <c r="S41" s="117"/>
      <c r="T41" s="166"/>
      <c r="U41" s="166"/>
      <c r="V41" s="166"/>
      <c r="W41" s="166"/>
      <c r="X41" s="126"/>
      <c r="Y41" s="125"/>
    </row>
    <row r="42" spans="1:27" x14ac:dyDescent="0.3">
      <c r="A42" s="156"/>
      <c r="B42" s="17"/>
      <c r="C42" s="17"/>
      <c r="D42" s="17"/>
      <c r="E42" s="17"/>
      <c r="F42" s="17" t="s">
        <v>172</v>
      </c>
      <c r="G42" s="18" t="s">
        <v>171</v>
      </c>
      <c r="H42" s="5"/>
      <c r="I42" s="5"/>
      <c r="J42" s="5"/>
      <c r="K42" s="108"/>
      <c r="S42" s="122"/>
      <c r="T42" s="17"/>
      <c r="U42" s="17"/>
      <c r="V42" s="17"/>
      <c r="X42" s="126"/>
      <c r="Y42" s="125"/>
    </row>
    <row r="43" spans="1:27" x14ac:dyDescent="0.3">
      <c r="A43" s="156"/>
      <c r="B43" s="17"/>
      <c r="C43" s="17"/>
      <c r="D43" s="17"/>
      <c r="E43" s="17"/>
      <c r="F43" s="17"/>
      <c r="G43" s="18"/>
      <c r="H43" s="5"/>
      <c r="I43" s="5"/>
      <c r="J43" s="5"/>
      <c r="K43" s="108"/>
      <c r="S43" s="122"/>
      <c r="T43" s="17"/>
      <c r="U43" s="17"/>
      <c r="V43" s="17"/>
      <c r="X43" s="126"/>
      <c r="Y43" s="125"/>
    </row>
    <row r="44" spans="1:27" ht="15" thickBot="1" x14ac:dyDescent="0.35">
      <c r="A44" s="176"/>
      <c r="B44" s="173"/>
      <c r="C44" s="173" t="s">
        <v>12</v>
      </c>
      <c r="D44" s="173" t="s">
        <v>13</v>
      </c>
      <c r="E44" s="173" t="s">
        <v>14</v>
      </c>
      <c r="F44" s="173" t="s">
        <v>15</v>
      </c>
      <c r="G44" s="5" t="s">
        <v>24</v>
      </c>
      <c r="H44" s="5" t="s">
        <v>25</v>
      </c>
      <c r="I44" s="5" t="s">
        <v>26</v>
      </c>
      <c r="J44" s="5" t="s">
        <v>27</v>
      </c>
      <c r="K44" s="108"/>
      <c r="S44" s="117"/>
      <c r="T44" s="166"/>
      <c r="U44" s="166"/>
      <c r="V44" s="166"/>
      <c r="X44" s="126"/>
      <c r="Y44" s="125"/>
    </row>
    <row r="45" spans="1:27" x14ac:dyDescent="0.3">
      <c r="A45" s="176"/>
      <c r="B45" s="14" t="s">
        <v>88</v>
      </c>
      <c r="C45" s="210">
        <f>COUNTIF($S$31:$T$36,"BRD")</f>
        <v>3</v>
      </c>
      <c r="D45" s="124">
        <f>SUMPRODUCT(($S$31:$T$36=B45)*($X$31:$Y$36=3))</f>
        <v>2</v>
      </c>
      <c r="E45" s="124">
        <f>SUMPRODUCT(($S$31:$T$36=B45)*($X$31:$Y$36=1))</f>
        <v>0</v>
      </c>
      <c r="F45" s="124">
        <f>SUMPRODUCT(($S$31:$T$36=B45)*($X$31:$Y$36=2))</f>
        <v>1</v>
      </c>
      <c r="G45" s="124">
        <f>SUMPRODUCT(($S$31:$S$36=B45)*($U$31:$U$36))+SUMPRODUCT(($T$31:$T$36=B45)*($V$31:$V$36))</f>
        <v>6</v>
      </c>
      <c r="H45" s="124">
        <f>SUMPRODUCT(($S$31:$S$36=B45)*($V$31:$V$36))+SUMPRODUCT(($T$31:$T$36=B45)*($U$31:$U$36))</f>
        <v>3</v>
      </c>
      <c r="I45" s="15">
        <f>(D45*2)+E45</f>
        <v>4</v>
      </c>
      <c r="J45" s="16">
        <f>(F45*2)+E45</f>
        <v>2</v>
      </c>
      <c r="K45" s="108"/>
      <c r="S45" s="117"/>
      <c r="T45" s="166"/>
      <c r="U45" s="166"/>
      <c r="V45" s="166"/>
      <c r="X45" s="126"/>
      <c r="Y45" s="125"/>
    </row>
    <row r="46" spans="1:27" x14ac:dyDescent="0.3">
      <c r="A46" s="176"/>
      <c r="B46" s="21" t="s">
        <v>192</v>
      </c>
      <c r="C46" s="209">
        <f>COUNTIF($S$31:$T$36,"Algerien")</f>
        <v>3</v>
      </c>
      <c r="D46" s="43">
        <f>SUMPRODUCT(($S$31:$T$36=B46)*($X$31:$Y$36=3))</f>
        <v>2</v>
      </c>
      <c r="E46" s="43">
        <f>SUMPRODUCT(($S$31:$T$36=B46)*($X$31:$Y$36=1))</f>
        <v>0</v>
      </c>
      <c r="F46" s="43">
        <f>SUMPRODUCT(($S$31:$T$36=B46)*($X$31:$Y$36=2))</f>
        <v>1</v>
      </c>
      <c r="G46" s="43">
        <f>SUMPRODUCT(($S$31:$S$36=B46)*($U$31:$U$36))+SUMPRODUCT(($T$31:$T$36=B46)*($V$31:$V$36))</f>
        <v>5</v>
      </c>
      <c r="H46" s="43">
        <f>SUMPRODUCT(($S$31:$S$36=B46)*($V$31:$V$36))+SUMPRODUCT(($T$31:$T$36=B46)*($U$31:$U$36))</f>
        <v>5</v>
      </c>
      <c r="I46" s="18">
        <f>(D46*2)+E46</f>
        <v>4</v>
      </c>
      <c r="J46" s="22">
        <f>(F46*2)+E46</f>
        <v>2</v>
      </c>
      <c r="K46" s="108"/>
      <c r="S46" s="117"/>
      <c r="T46" s="166"/>
      <c r="U46" s="166"/>
      <c r="V46" s="166"/>
      <c r="X46" s="126"/>
      <c r="Y46" s="125"/>
    </row>
    <row r="47" spans="1:27" x14ac:dyDescent="0.3">
      <c r="A47" s="176"/>
      <c r="B47" s="3" t="s">
        <v>29</v>
      </c>
      <c r="C47" s="209">
        <f>COUNTIF($S$31:$T$36,"Österreich")</f>
        <v>3</v>
      </c>
      <c r="D47" s="43">
        <f>SUMPRODUCT(($S$31:$T$36=B47)*($X$31:$Y$36=3))</f>
        <v>2</v>
      </c>
      <c r="E47" s="43">
        <f>SUMPRODUCT(($S$31:$T$36=B47)*($X$31:$Y$36=1))</f>
        <v>0</v>
      </c>
      <c r="F47" s="43">
        <f>SUMPRODUCT(($S$31:$T$36=B47)*($X$31:$Y$36=2))</f>
        <v>1</v>
      </c>
      <c r="G47" s="43">
        <f>SUMPRODUCT(($S$31:$S$36=B47)*($U$31:$U$36))+SUMPRODUCT(($T$31:$T$36=B47)*($V$31:$V$36))</f>
        <v>3</v>
      </c>
      <c r="H47" s="43">
        <f>SUMPRODUCT(($S$31:$S$36=B47)*($V$31:$V$36))+SUMPRODUCT(($T$31:$T$36=B47)*($U$31:$U$36))</f>
        <v>1</v>
      </c>
      <c r="I47" s="18">
        <f>(D47*2)+E47</f>
        <v>4</v>
      </c>
      <c r="J47" s="22">
        <f>(F47*2)+E47</f>
        <v>2</v>
      </c>
      <c r="K47" s="108"/>
      <c r="S47" s="117"/>
      <c r="T47" s="166"/>
      <c r="U47" s="166"/>
      <c r="V47" s="166"/>
      <c r="X47" s="126"/>
      <c r="Y47" s="125"/>
    </row>
    <row r="48" spans="1:27" ht="15" thickBot="1" x14ac:dyDescent="0.35">
      <c r="A48" s="176"/>
      <c r="B48" s="7" t="s">
        <v>6</v>
      </c>
      <c r="C48" s="211">
        <f>COUNTIF($S$31:$T$36,"Chile")</f>
        <v>3</v>
      </c>
      <c r="D48" s="80">
        <f>SUMPRODUCT(($S$31:$T$36=B48)*($X$31:$Y$36=3))</f>
        <v>0</v>
      </c>
      <c r="E48" s="80">
        <f>SUMPRODUCT(($S$31:$T$36=B48)*($X$31:$Y$36=1))</f>
        <v>0</v>
      </c>
      <c r="F48" s="80">
        <f>SUMPRODUCT(($S$31:$T$36=B48)*($X$31:$Y$36=2))</f>
        <v>3</v>
      </c>
      <c r="G48" s="80">
        <f>SUMPRODUCT(($S$31:$S$36=B48)*($U$31:$U$36))+SUMPRODUCT(($T$31:$T$36=B48)*($V$31:$V$36))</f>
        <v>3</v>
      </c>
      <c r="H48" s="80">
        <f>SUMPRODUCT(($S$31:$S$36=B48)*($V$31:$V$36))+SUMPRODUCT(($T$31:$T$36=B48)*($U$31:$U$36))</f>
        <v>8</v>
      </c>
      <c r="I48" s="31">
        <f>(D48*2)+E48</f>
        <v>0</v>
      </c>
      <c r="J48" s="32">
        <f>(F48*2)+E48</f>
        <v>6</v>
      </c>
      <c r="K48" s="108"/>
      <c r="S48" s="117"/>
      <c r="T48" s="166"/>
      <c r="U48" s="166"/>
      <c r="V48" s="166"/>
      <c r="X48" s="126"/>
      <c r="Y48" s="125"/>
    </row>
    <row r="49" spans="1:25" ht="15" thickBot="1" x14ac:dyDescent="0.35">
      <c r="A49" s="176"/>
      <c r="B49" s="173"/>
      <c r="C49" s="173"/>
      <c r="D49" s="173"/>
      <c r="E49" s="173"/>
      <c r="F49" s="173"/>
      <c r="G49" s="5"/>
      <c r="H49" s="5"/>
      <c r="I49" s="5"/>
      <c r="J49" s="5"/>
      <c r="K49" s="193"/>
      <c r="S49" s="117"/>
      <c r="T49" s="166"/>
      <c r="U49" s="166"/>
      <c r="V49" s="166"/>
      <c r="X49" s="126"/>
      <c r="Y49" s="125"/>
    </row>
    <row r="50" spans="1:25" ht="15" thickTop="1" x14ac:dyDescent="0.3">
      <c r="A50" s="106"/>
      <c r="B50" s="25"/>
      <c r="C50" s="25"/>
      <c r="D50" s="25"/>
      <c r="E50" s="25"/>
      <c r="F50" s="25"/>
      <c r="G50" s="26"/>
      <c r="H50" s="26"/>
      <c r="I50" s="26"/>
      <c r="J50" s="26"/>
      <c r="K50" s="108"/>
      <c r="S50" s="117"/>
      <c r="T50" s="166"/>
      <c r="U50" s="166"/>
      <c r="V50" s="166"/>
      <c r="X50" s="126"/>
      <c r="Y50" s="125"/>
    </row>
    <row r="51" spans="1:25" ht="21" x14ac:dyDescent="0.4">
      <c r="A51" s="176"/>
      <c r="B51" s="173"/>
      <c r="C51" s="173"/>
      <c r="D51" s="173"/>
      <c r="E51" s="173"/>
      <c r="F51" s="172" t="s">
        <v>11</v>
      </c>
      <c r="G51" s="5"/>
      <c r="H51" s="5"/>
      <c r="I51" s="5"/>
      <c r="J51" s="5"/>
      <c r="K51" s="108"/>
      <c r="S51" s="117"/>
      <c r="T51" s="166"/>
      <c r="U51" s="166"/>
      <c r="V51" s="166"/>
      <c r="X51" s="126"/>
      <c r="Y51" s="125"/>
    </row>
    <row r="52" spans="1:25" x14ac:dyDescent="0.3">
      <c r="A52" s="176"/>
      <c r="B52" s="28"/>
      <c r="C52" s="173"/>
      <c r="D52" s="173"/>
      <c r="E52" s="173"/>
      <c r="F52" s="173"/>
      <c r="G52" s="5"/>
      <c r="H52" s="5"/>
      <c r="I52" s="5"/>
      <c r="J52" s="5"/>
      <c r="K52" s="108"/>
      <c r="S52" s="117"/>
      <c r="T52" s="166"/>
      <c r="U52" s="166"/>
      <c r="V52" s="166"/>
      <c r="X52" s="126"/>
      <c r="Y52" s="125"/>
    </row>
    <row r="53" spans="1:25" x14ac:dyDescent="0.3">
      <c r="A53" s="176"/>
      <c r="B53" s="173"/>
      <c r="C53" s="40">
        <v>30115</v>
      </c>
      <c r="D53" s="173" t="s">
        <v>5</v>
      </c>
      <c r="E53" s="28" t="s">
        <v>21</v>
      </c>
      <c r="F53" s="173">
        <v>0</v>
      </c>
      <c r="G53" s="28">
        <v>1</v>
      </c>
      <c r="H53" s="173"/>
      <c r="I53" s="5" t="s">
        <v>194</v>
      </c>
      <c r="J53" s="5"/>
      <c r="K53" s="108"/>
      <c r="S53" s="117" t="s">
        <v>5</v>
      </c>
      <c r="T53" s="166" t="s">
        <v>21</v>
      </c>
      <c r="U53" s="166">
        <v>0</v>
      </c>
      <c r="V53" s="166">
        <v>1</v>
      </c>
      <c r="X53" s="126">
        <f t="shared" ref="X53" si="6">(IF(U53&gt;V53,3,IF(U53=V53,1,2)))</f>
        <v>2</v>
      </c>
      <c r="Y53" s="125">
        <f t="shared" ref="Y53" si="7">(IF(V53&gt;U53,3,IF(U53=V53,1,2)))</f>
        <v>3</v>
      </c>
    </row>
    <row r="54" spans="1:25" ht="15" thickBot="1" x14ac:dyDescent="0.35">
      <c r="A54" s="176"/>
      <c r="B54" s="173"/>
      <c r="C54" s="58"/>
      <c r="D54" s="178"/>
      <c r="E54" s="178"/>
      <c r="F54" s="178" t="s">
        <v>170</v>
      </c>
      <c r="G54" s="178" t="s">
        <v>171</v>
      </c>
      <c r="H54" s="178"/>
      <c r="I54" s="8"/>
      <c r="J54" s="5"/>
      <c r="K54" s="108"/>
      <c r="S54" s="117" t="s">
        <v>32</v>
      </c>
      <c r="T54" s="166" t="s">
        <v>141</v>
      </c>
      <c r="U54" s="166">
        <v>10</v>
      </c>
      <c r="V54" s="166">
        <v>1</v>
      </c>
      <c r="X54" s="126">
        <f t="shared" ref="X54:X58" si="8">(IF(U54&gt;V54,3,IF(U54=V54,1,2)))</f>
        <v>3</v>
      </c>
      <c r="Y54" s="125">
        <f t="shared" ref="Y54:Y58" si="9">(IF(V54&gt;U54,3,IF(U54=V54,1,2)))</f>
        <v>2</v>
      </c>
    </row>
    <row r="55" spans="1:25" x14ac:dyDescent="0.3">
      <c r="A55" s="176"/>
      <c r="B55" s="173"/>
      <c r="C55" s="40">
        <v>30117</v>
      </c>
      <c r="D55" s="28" t="s">
        <v>32</v>
      </c>
      <c r="E55" s="173" t="s">
        <v>141</v>
      </c>
      <c r="F55" s="28">
        <v>10</v>
      </c>
      <c r="G55" s="173">
        <v>1</v>
      </c>
      <c r="H55" s="173"/>
      <c r="I55" s="5" t="s">
        <v>195</v>
      </c>
      <c r="J55" s="5"/>
      <c r="K55" s="108"/>
      <c r="S55" s="117" t="s">
        <v>5</v>
      </c>
      <c r="T55" s="166" t="s">
        <v>32</v>
      </c>
      <c r="U55" s="166">
        <v>4</v>
      </c>
      <c r="V55" s="166">
        <v>1</v>
      </c>
      <c r="X55" s="126">
        <f t="shared" si="8"/>
        <v>3</v>
      </c>
      <c r="Y55" s="125">
        <f t="shared" si="9"/>
        <v>2</v>
      </c>
    </row>
    <row r="56" spans="1:25" ht="15" thickBot="1" x14ac:dyDescent="0.35">
      <c r="A56" s="176"/>
      <c r="B56" s="173"/>
      <c r="C56" s="58"/>
      <c r="D56" s="178"/>
      <c r="E56" s="178"/>
      <c r="F56" s="178" t="s">
        <v>264</v>
      </c>
      <c r="G56" s="178" t="s">
        <v>171</v>
      </c>
      <c r="H56" s="178"/>
      <c r="I56" s="8"/>
      <c r="J56" s="5"/>
      <c r="K56" s="108"/>
      <c r="S56" s="117" t="s">
        <v>21</v>
      </c>
      <c r="T56" s="166" t="s">
        <v>141</v>
      </c>
      <c r="U56" s="166">
        <v>1</v>
      </c>
      <c r="V56" s="166">
        <v>0</v>
      </c>
      <c r="X56" s="126">
        <f t="shared" si="8"/>
        <v>3</v>
      </c>
      <c r="Y56" s="125">
        <f t="shared" si="9"/>
        <v>2</v>
      </c>
    </row>
    <row r="57" spans="1:25" x14ac:dyDescent="0.3">
      <c r="A57" s="176"/>
      <c r="B57" s="173"/>
      <c r="C57" s="40">
        <v>30120</v>
      </c>
      <c r="D57" s="28" t="s">
        <v>5</v>
      </c>
      <c r="E57" s="173" t="s">
        <v>32</v>
      </c>
      <c r="F57" s="28">
        <v>4</v>
      </c>
      <c r="G57" s="173">
        <v>1</v>
      </c>
      <c r="H57" s="173"/>
      <c r="I57" s="5" t="s">
        <v>196</v>
      </c>
      <c r="J57" s="5"/>
      <c r="K57" s="108"/>
      <c r="S57" s="117" t="s">
        <v>21</v>
      </c>
      <c r="T57" s="166" t="s">
        <v>32</v>
      </c>
      <c r="U57" s="166">
        <v>1</v>
      </c>
      <c r="V57" s="166">
        <v>1</v>
      </c>
      <c r="W57" s="166"/>
      <c r="X57" s="126">
        <f t="shared" si="8"/>
        <v>1</v>
      </c>
      <c r="Y57" s="125">
        <f t="shared" si="9"/>
        <v>1</v>
      </c>
    </row>
    <row r="58" spans="1:25" ht="15" thickBot="1" x14ac:dyDescent="0.35">
      <c r="A58" s="176"/>
      <c r="B58" s="173"/>
      <c r="C58" s="58"/>
      <c r="D58" s="178"/>
      <c r="E58" s="178"/>
      <c r="F58" s="178" t="s">
        <v>215</v>
      </c>
      <c r="G58" s="178" t="s">
        <v>171</v>
      </c>
      <c r="H58" s="178"/>
      <c r="I58" s="8"/>
      <c r="J58" s="5"/>
      <c r="K58" s="108"/>
      <c r="S58" s="117" t="s">
        <v>5</v>
      </c>
      <c r="T58" s="166" t="s">
        <v>141</v>
      </c>
      <c r="U58" s="166">
        <v>2</v>
      </c>
      <c r="V58" s="166">
        <v>0</v>
      </c>
      <c r="W58" s="166"/>
      <c r="X58" s="126">
        <f t="shared" si="8"/>
        <v>3</v>
      </c>
      <c r="Y58" s="125">
        <f t="shared" si="9"/>
        <v>2</v>
      </c>
    </row>
    <row r="59" spans="1:25" x14ac:dyDescent="0.3">
      <c r="A59" s="176"/>
      <c r="B59" s="173"/>
      <c r="C59" s="40">
        <v>30121</v>
      </c>
      <c r="D59" s="28" t="s">
        <v>21</v>
      </c>
      <c r="E59" s="173" t="s">
        <v>141</v>
      </c>
      <c r="F59" s="28">
        <v>1</v>
      </c>
      <c r="G59" s="173">
        <v>0</v>
      </c>
      <c r="H59" s="173"/>
      <c r="I59" s="5" t="s">
        <v>195</v>
      </c>
      <c r="J59" s="5"/>
      <c r="K59" s="108"/>
      <c r="S59" s="117"/>
      <c r="T59" s="166"/>
      <c r="U59" s="166"/>
      <c r="V59" s="166"/>
      <c r="W59" s="166"/>
      <c r="X59" s="126"/>
      <c r="Y59" s="125"/>
    </row>
    <row r="60" spans="1:25" ht="15" thickBot="1" x14ac:dyDescent="0.35">
      <c r="A60" s="176"/>
      <c r="B60" s="173"/>
      <c r="C60" s="58"/>
      <c r="D60" s="178"/>
      <c r="E60" s="178"/>
      <c r="F60" s="178" t="s">
        <v>172</v>
      </c>
      <c r="G60" s="178" t="s">
        <v>171</v>
      </c>
      <c r="H60" s="178"/>
      <c r="I60" s="8"/>
      <c r="J60" s="5"/>
      <c r="K60" s="108"/>
      <c r="S60" s="117"/>
      <c r="T60" s="166"/>
      <c r="U60" s="166"/>
      <c r="V60" s="166"/>
      <c r="W60" s="166"/>
      <c r="X60" s="126"/>
      <c r="Y60" s="125"/>
    </row>
    <row r="61" spans="1:25" x14ac:dyDescent="0.3">
      <c r="A61" s="176"/>
      <c r="B61" s="173"/>
      <c r="C61" s="40">
        <v>30124</v>
      </c>
      <c r="D61" s="173" t="s">
        <v>21</v>
      </c>
      <c r="E61" s="173" t="s">
        <v>32</v>
      </c>
      <c r="F61" s="173">
        <v>1</v>
      </c>
      <c r="G61" s="173">
        <v>1</v>
      </c>
      <c r="H61" s="173"/>
      <c r="I61" s="5" t="s">
        <v>195</v>
      </c>
      <c r="J61" s="5"/>
      <c r="K61" s="108"/>
      <c r="S61" s="117"/>
      <c r="T61" s="166"/>
      <c r="U61" s="166"/>
      <c r="V61" s="166"/>
      <c r="W61" s="166"/>
      <c r="X61" s="126"/>
      <c r="Y61" s="125"/>
    </row>
    <row r="62" spans="1:25" ht="15" thickBot="1" x14ac:dyDescent="0.35">
      <c r="A62" s="176"/>
      <c r="B62" s="173"/>
      <c r="C62" s="58"/>
      <c r="D62" s="178"/>
      <c r="E62" s="178"/>
      <c r="F62" s="178" t="s">
        <v>170</v>
      </c>
      <c r="G62" s="178" t="s">
        <v>183</v>
      </c>
      <c r="H62" s="178"/>
      <c r="I62" s="8"/>
      <c r="J62" s="5"/>
      <c r="K62" s="108"/>
      <c r="S62" s="117"/>
      <c r="T62" s="166"/>
      <c r="U62" s="166"/>
      <c r="V62" s="166"/>
      <c r="W62" s="166"/>
      <c r="X62" s="126"/>
      <c r="Y62" s="125"/>
    </row>
    <row r="63" spans="1:25" x14ac:dyDescent="0.3">
      <c r="A63" s="176"/>
      <c r="B63" s="173"/>
      <c r="C63" s="40">
        <v>30125</v>
      </c>
      <c r="D63" s="28" t="s">
        <v>5</v>
      </c>
      <c r="E63" s="173" t="s">
        <v>141</v>
      </c>
      <c r="F63" s="28">
        <v>2</v>
      </c>
      <c r="G63" s="173">
        <v>0</v>
      </c>
      <c r="H63" s="173"/>
      <c r="I63" s="5" t="s">
        <v>196</v>
      </c>
      <c r="J63" s="5"/>
      <c r="K63" s="108"/>
      <c r="S63" s="117"/>
      <c r="T63" s="166"/>
      <c r="U63" s="166"/>
      <c r="V63" s="166"/>
      <c r="W63" s="166"/>
      <c r="X63" s="126"/>
      <c r="Y63" s="125"/>
    </row>
    <row r="64" spans="1:25" x14ac:dyDescent="0.3">
      <c r="A64" s="156"/>
      <c r="B64" s="173"/>
      <c r="C64" s="173"/>
      <c r="D64" s="173"/>
      <c r="E64" s="173"/>
      <c r="F64" s="173" t="s">
        <v>172</v>
      </c>
      <c r="G64" s="5" t="s">
        <v>171</v>
      </c>
      <c r="H64" s="5"/>
      <c r="I64" s="5"/>
      <c r="J64" s="5"/>
      <c r="K64" s="108"/>
      <c r="S64" s="117"/>
      <c r="T64" s="166"/>
      <c r="U64" s="166"/>
      <c r="V64" s="166"/>
      <c r="W64" s="166"/>
      <c r="X64" s="126"/>
      <c r="Y64" s="125"/>
    </row>
    <row r="65" spans="1:25" x14ac:dyDescent="0.3">
      <c r="A65" s="156"/>
      <c r="B65" s="173"/>
      <c r="C65" s="173"/>
      <c r="D65" s="173"/>
      <c r="E65" s="173"/>
      <c r="F65" s="173"/>
      <c r="G65" s="5"/>
      <c r="H65" s="5"/>
      <c r="I65" s="5"/>
      <c r="J65" s="5"/>
      <c r="K65" s="108"/>
      <c r="S65" s="117"/>
      <c r="T65" s="166"/>
      <c r="U65" s="166"/>
      <c r="V65" s="166"/>
      <c r="W65" s="166"/>
      <c r="X65" s="126"/>
      <c r="Y65" s="125"/>
    </row>
    <row r="66" spans="1:25" ht="15" thickBot="1" x14ac:dyDescent="0.35">
      <c r="A66" s="176"/>
      <c r="B66" s="173"/>
      <c r="C66" s="173" t="s">
        <v>12</v>
      </c>
      <c r="D66" s="173" t="s">
        <v>13</v>
      </c>
      <c r="E66" s="173" t="s">
        <v>14</v>
      </c>
      <c r="F66" s="173" t="s">
        <v>15</v>
      </c>
      <c r="G66" s="5" t="s">
        <v>24</v>
      </c>
      <c r="H66" s="5" t="s">
        <v>25</v>
      </c>
      <c r="I66" s="5" t="s">
        <v>26</v>
      </c>
      <c r="J66" s="5" t="s">
        <v>27</v>
      </c>
      <c r="K66" s="108"/>
      <c r="S66" s="117"/>
      <c r="T66" s="166"/>
      <c r="U66" s="166"/>
      <c r="V66" s="166"/>
      <c r="W66" s="166"/>
      <c r="X66" s="126"/>
      <c r="Y66" s="125"/>
    </row>
    <row r="67" spans="1:25" x14ac:dyDescent="0.3">
      <c r="A67" s="176"/>
      <c r="B67" s="14" t="s">
        <v>21</v>
      </c>
      <c r="C67" s="210">
        <f>COUNTIF($S$53:$T$58,"Belgien")</f>
        <v>3</v>
      </c>
      <c r="D67" s="124">
        <f>SUMPRODUCT(($S$53:$T$58=B67)*($X$53:$Y$58=3))</f>
        <v>2</v>
      </c>
      <c r="E67" s="124">
        <f>SUMPRODUCT(($S$53:$T$58=B67)*($X$53:$Y$58=1))</f>
        <v>1</v>
      </c>
      <c r="F67" s="124">
        <f>SUMPRODUCT(($S$53:$T$58=B67)*($X$53:$Y$58=2))</f>
        <v>0</v>
      </c>
      <c r="G67" s="124">
        <f>SUMPRODUCT(($S$53:$S$58=B67)*($U$53:$U$58))+SUMPRODUCT(($T$53:$T$58=B67)*($V$53:$V$58))</f>
        <v>3</v>
      </c>
      <c r="H67" s="124">
        <f>SUMPRODUCT(($S$53:$S$58=B67)*($V$53:$V$58))+SUMPRODUCT(($T$53:$T$58=B67)*($U$53:$U$58))</f>
        <v>1</v>
      </c>
      <c r="I67" s="15">
        <f>(D67*2)+E67</f>
        <v>5</v>
      </c>
      <c r="J67" s="16">
        <f>(F67*2)+E67</f>
        <v>1</v>
      </c>
      <c r="K67" s="108"/>
      <c r="S67" s="117"/>
      <c r="T67" s="166"/>
      <c r="U67" s="166"/>
      <c r="V67" s="166"/>
      <c r="W67" s="166"/>
      <c r="X67" s="126"/>
      <c r="Y67" s="125"/>
    </row>
    <row r="68" spans="1:25" x14ac:dyDescent="0.3">
      <c r="A68" s="176"/>
      <c r="B68" s="21" t="s">
        <v>5</v>
      </c>
      <c r="C68" s="209">
        <f>COUNTIF($S$53:$T$58,"Argentinien")</f>
        <v>3</v>
      </c>
      <c r="D68" s="43">
        <f>SUMPRODUCT(($S$53:$T$58=B68)*($X$53:$Y$58=3))</f>
        <v>2</v>
      </c>
      <c r="E68" s="43">
        <f>SUMPRODUCT(($S$53:$T$58=B68)*($X$53:$Y$58=1))</f>
        <v>0</v>
      </c>
      <c r="F68" s="43">
        <f>SUMPRODUCT(($S$53:$T$58=B68)*($X$53:$Y$58=2))</f>
        <v>1</v>
      </c>
      <c r="G68" s="43">
        <f>SUMPRODUCT(($S$53:$S$58=B68)*($U$53:$U$58))+SUMPRODUCT(($T$53:$T$58=B68)*($V$53:$V$58))</f>
        <v>6</v>
      </c>
      <c r="H68" s="43">
        <f>SUMPRODUCT(($S$53:$S$58=B68)*($V$53:$V$58))+SUMPRODUCT(($T$53:$T$58=B68)*($U$53:$U$58))</f>
        <v>2</v>
      </c>
      <c r="I68" s="18">
        <f>(D68*2)+E68</f>
        <v>4</v>
      </c>
      <c r="J68" s="22">
        <f>(F68*2)+E68</f>
        <v>2</v>
      </c>
      <c r="K68" s="108"/>
      <c r="S68" s="117"/>
      <c r="T68" s="166"/>
      <c r="U68" s="166"/>
      <c r="V68" s="166"/>
      <c r="W68" s="166"/>
      <c r="X68" s="126"/>
      <c r="Y68" s="125"/>
    </row>
    <row r="69" spans="1:25" x14ac:dyDescent="0.3">
      <c r="A69" s="176"/>
      <c r="B69" s="3" t="s">
        <v>32</v>
      </c>
      <c r="C69" s="209">
        <f>COUNTIF($S$53:$T$58,"Ungarn")</f>
        <v>3</v>
      </c>
      <c r="D69" s="43">
        <f>SUMPRODUCT(($S$53:$T$58=B69)*($X$53:$Y$58=3))</f>
        <v>1</v>
      </c>
      <c r="E69" s="43">
        <f>SUMPRODUCT(($S$53:$T$58=B69)*($X$53:$Y$58=1))</f>
        <v>1</v>
      </c>
      <c r="F69" s="43">
        <f>SUMPRODUCT(($S$53:$T$58=B69)*($X$53:$Y$58=2))</f>
        <v>1</v>
      </c>
      <c r="G69" s="43">
        <f>SUMPRODUCT(($S$53:$S$58=B69)*($U$53:$U$58))+SUMPRODUCT(($T$53:$T$58=B69)*($V$53:$V$58))</f>
        <v>12</v>
      </c>
      <c r="H69" s="43">
        <f>SUMPRODUCT(($S$53:$S$58=B69)*($V$53:$V$58))+SUMPRODUCT(($T$53:$T$58=B69)*($U$53:$U$58))</f>
        <v>6</v>
      </c>
      <c r="I69" s="18">
        <f>(D69*2)+E69</f>
        <v>3</v>
      </c>
      <c r="J69" s="22">
        <f>(F69*2)+E69</f>
        <v>3</v>
      </c>
      <c r="K69" s="108"/>
      <c r="S69" s="117"/>
      <c r="T69" s="166"/>
      <c r="U69" s="166"/>
      <c r="V69" s="166"/>
      <c r="W69" s="166"/>
      <c r="X69" s="126"/>
      <c r="Y69" s="125"/>
    </row>
    <row r="70" spans="1:25" ht="15" thickBot="1" x14ac:dyDescent="0.35">
      <c r="A70" s="176"/>
      <c r="B70" s="7" t="s">
        <v>141</v>
      </c>
      <c r="C70" s="211">
        <f>COUNTIF($S$53:$T$58,"El Salvador")</f>
        <v>3</v>
      </c>
      <c r="D70" s="80">
        <f>SUMPRODUCT(($S$53:$T$58=B70)*($X$53:$Y$58=3))</f>
        <v>0</v>
      </c>
      <c r="E70" s="80">
        <f>SUMPRODUCT(($S$53:$T$58=B70)*($X$53:$Y$58=1))</f>
        <v>0</v>
      </c>
      <c r="F70" s="80">
        <f>SUMPRODUCT(($S$53:$T$58=B70)*($X$53:$Y$58=2))</f>
        <v>3</v>
      </c>
      <c r="G70" s="80">
        <f>SUMPRODUCT(($S$53:$S$58=B70)*($U$53:$U$58))+SUMPRODUCT(($T$53:$T$58=B70)*($V$53:$V$58))</f>
        <v>1</v>
      </c>
      <c r="H70" s="80">
        <f>SUMPRODUCT(($S$53:$S$58=B70)*($V$53:$V$58))+SUMPRODUCT(($T$53:$T$58=B70)*($U$53:$U$58))</f>
        <v>13</v>
      </c>
      <c r="I70" s="31">
        <f>(D70*2)+E70</f>
        <v>0</v>
      </c>
      <c r="J70" s="32">
        <f>(F70*2)+E70</f>
        <v>6</v>
      </c>
      <c r="K70" s="108"/>
      <c r="S70" s="117"/>
      <c r="T70" s="166"/>
      <c r="U70" s="166"/>
      <c r="V70" s="166"/>
      <c r="W70" s="166"/>
      <c r="X70" s="126"/>
      <c r="Y70" s="125"/>
    </row>
    <row r="71" spans="1:25" ht="15" thickBot="1" x14ac:dyDescent="0.35">
      <c r="A71" s="176"/>
      <c r="B71" s="173"/>
      <c r="C71" s="173"/>
      <c r="D71" s="173"/>
      <c r="E71" s="173"/>
      <c r="F71" s="173"/>
      <c r="G71" s="5"/>
      <c r="H71" s="5"/>
      <c r="I71" s="5"/>
      <c r="J71" s="5"/>
      <c r="K71" s="193"/>
      <c r="S71" s="117"/>
      <c r="T71" s="166"/>
      <c r="U71" s="166"/>
      <c r="V71" s="166"/>
      <c r="W71" s="166"/>
      <c r="X71" s="126"/>
      <c r="Y71" s="125"/>
    </row>
    <row r="72" spans="1:25" ht="15" thickTop="1" x14ac:dyDescent="0.3">
      <c r="A72" s="106"/>
      <c r="B72" s="25"/>
      <c r="C72" s="25"/>
      <c r="D72" s="25"/>
      <c r="E72" s="25"/>
      <c r="F72" s="25"/>
      <c r="G72" s="26"/>
      <c r="H72" s="26"/>
      <c r="I72" s="26"/>
      <c r="J72" s="26"/>
      <c r="K72" s="108"/>
      <c r="S72" s="117"/>
      <c r="T72" s="166"/>
      <c r="U72" s="166"/>
      <c r="V72" s="166"/>
      <c r="W72" s="166"/>
      <c r="X72" s="126"/>
      <c r="Y72" s="125"/>
    </row>
    <row r="73" spans="1:25" ht="21" x14ac:dyDescent="0.4">
      <c r="A73" s="176"/>
      <c r="B73" s="173"/>
      <c r="C73" s="173"/>
      <c r="D73" s="173"/>
      <c r="E73" s="173"/>
      <c r="F73" s="172" t="s">
        <v>19</v>
      </c>
      <c r="G73" s="5"/>
      <c r="H73" s="5"/>
      <c r="I73" s="5"/>
      <c r="J73" s="5"/>
      <c r="K73" s="108"/>
      <c r="S73" s="117"/>
      <c r="T73" s="166"/>
      <c r="U73" s="166"/>
      <c r="V73" s="166"/>
      <c r="W73" s="166"/>
      <c r="X73" s="126"/>
      <c r="Y73" s="125"/>
    </row>
    <row r="74" spans="1:25" x14ac:dyDescent="0.3">
      <c r="A74" s="176"/>
      <c r="B74" s="28"/>
      <c r="C74" s="173"/>
      <c r="D74" s="173"/>
      <c r="E74" s="173"/>
      <c r="F74" s="173"/>
      <c r="G74" s="5"/>
      <c r="H74" s="5"/>
      <c r="I74" s="5"/>
      <c r="J74" s="5"/>
      <c r="K74" s="108"/>
      <c r="S74" s="117"/>
      <c r="T74" s="166"/>
      <c r="U74" s="166"/>
      <c r="V74" s="166"/>
      <c r="W74" s="166"/>
      <c r="X74" s="126"/>
      <c r="Y74" s="125"/>
    </row>
    <row r="75" spans="1:25" x14ac:dyDescent="0.3">
      <c r="A75" s="176"/>
      <c r="B75" s="173"/>
      <c r="C75" s="40">
        <v>30118</v>
      </c>
      <c r="D75" s="28" t="s">
        <v>74</v>
      </c>
      <c r="E75" s="173" t="s">
        <v>3</v>
      </c>
      <c r="F75" s="28">
        <v>3</v>
      </c>
      <c r="G75" s="173">
        <v>1</v>
      </c>
      <c r="H75" s="173"/>
      <c r="I75" s="5" t="s">
        <v>197</v>
      </c>
      <c r="J75" s="5"/>
      <c r="K75" s="108"/>
      <c r="S75" s="122" t="s">
        <v>74</v>
      </c>
      <c r="T75" s="17" t="s">
        <v>3</v>
      </c>
      <c r="U75" s="17">
        <v>3</v>
      </c>
      <c r="V75" s="17">
        <v>1</v>
      </c>
      <c r="W75" s="17"/>
      <c r="X75" s="126">
        <f t="shared" ref="X75" si="10">(IF(U75&gt;V75,3,IF(U75=V75,1,2)))</f>
        <v>3</v>
      </c>
      <c r="Y75" s="125">
        <f t="shared" ref="Y75" si="11">(IF(V75&gt;U75,3,IF(U75=V75,1,2)))</f>
        <v>2</v>
      </c>
    </row>
    <row r="76" spans="1:25" ht="15" thickBot="1" x14ac:dyDescent="0.35">
      <c r="A76" s="176"/>
      <c r="B76" s="173"/>
      <c r="C76" s="58"/>
      <c r="D76" s="178"/>
      <c r="E76" s="178"/>
      <c r="F76" s="178" t="s">
        <v>172</v>
      </c>
      <c r="G76" s="178" t="s">
        <v>183</v>
      </c>
      <c r="H76" s="178"/>
      <c r="I76" s="8"/>
      <c r="J76" s="5"/>
      <c r="K76" s="108"/>
      <c r="S76" s="122" t="s">
        <v>45</v>
      </c>
      <c r="T76" s="17" t="s">
        <v>199</v>
      </c>
      <c r="U76" s="17">
        <v>1</v>
      </c>
      <c r="V76" s="17">
        <v>1</v>
      </c>
      <c r="W76" s="17"/>
      <c r="X76" s="126">
        <f t="shared" ref="X76:X80" si="12">(IF(U76&gt;V76,3,IF(U76=V76,1,2)))</f>
        <v>1</v>
      </c>
      <c r="Y76" s="125">
        <f t="shared" ref="Y76:Y80" si="13">(IF(V76&gt;U76,3,IF(U76=V76,1,2)))</f>
        <v>1</v>
      </c>
    </row>
    <row r="77" spans="1:25" x14ac:dyDescent="0.3">
      <c r="A77" s="176"/>
      <c r="B77" s="173"/>
      <c r="C77" s="40">
        <v>30119</v>
      </c>
      <c r="D77" s="173" t="s">
        <v>45</v>
      </c>
      <c r="E77" s="173" t="s">
        <v>199</v>
      </c>
      <c r="F77" s="173">
        <v>1</v>
      </c>
      <c r="G77" s="173">
        <v>1</v>
      </c>
      <c r="H77" s="173"/>
      <c r="I77" s="5" t="s">
        <v>198</v>
      </c>
      <c r="J77" s="5"/>
      <c r="K77" s="108"/>
      <c r="S77" s="122" t="s">
        <v>74</v>
      </c>
      <c r="T77" s="17" t="s">
        <v>45</v>
      </c>
      <c r="U77" s="17">
        <v>2</v>
      </c>
      <c r="V77" s="17">
        <v>0</v>
      </c>
      <c r="W77" s="17"/>
      <c r="X77" s="126">
        <f t="shared" si="12"/>
        <v>3</v>
      </c>
      <c r="Y77" s="125">
        <f t="shared" si="13"/>
        <v>2</v>
      </c>
    </row>
    <row r="78" spans="1:25" ht="15" thickBot="1" x14ac:dyDescent="0.35">
      <c r="A78" s="176"/>
      <c r="B78" s="173"/>
      <c r="C78" s="58"/>
      <c r="D78" s="178"/>
      <c r="E78" s="178"/>
      <c r="F78" s="178" t="s">
        <v>172</v>
      </c>
      <c r="G78" s="178" t="s">
        <v>171</v>
      </c>
      <c r="H78" s="178"/>
      <c r="I78" s="8"/>
      <c r="J78" s="5"/>
      <c r="K78" s="108"/>
      <c r="S78" s="122" t="s">
        <v>3</v>
      </c>
      <c r="T78" s="17" t="s">
        <v>199</v>
      </c>
      <c r="U78" s="17">
        <v>4</v>
      </c>
      <c r="V78" s="17">
        <v>1</v>
      </c>
      <c r="W78" s="17"/>
      <c r="X78" s="126">
        <f t="shared" si="12"/>
        <v>3</v>
      </c>
      <c r="Y78" s="125">
        <f t="shared" si="13"/>
        <v>2</v>
      </c>
    </row>
    <row r="79" spans="1:25" x14ac:dyDescent="0.3">
      <c r="A79" s="176"/>
      <c r="B79" s="173"/>
      <c r="C79" s="40">
        <v>30122</v>
      </c>
      <c r="D79" s="28" t="s">
        <v>74</v>
      </c>
      <c r="E79" s="173" t="s">
        <v>45</v>
      </c>
      <c r="F79" s="28">
        <v>2</v>
      </c>
      <c r="G79" s="173">
        <v>0</v>
      </c>
      <c r="H79" s="173"/>
      <c r="I79" s="5" t="s">
        <v>197</v>
      </c>
      <c r="J79" s="5"/>
      <c r="K79" s="108"/>
      <c r="S79" s="122" t="s">
        <v>3</v>
      </c>
      <c r="T79" s="17" t="s">
        <v>45</v>
      </c>
      <c r="U79" s="17">
        <v>1</v>
      </c>
      <c r="V79" s="17">
        <v>1</v>
      </c>
      <c r="W79" s="17"/>
      <c r="X79" s="126">
        <f t="shared" si="12"/>
        <v>1</v>
      </c>
      <c r="Y79" s="125">
        <f t="shared" si="13"/>
        <v>1</v>
      </c>
    </row>
    <row r="80" spans="1:25" ht="15" thickBot="1" x14ac:dyDescent="0.35">
      <c r="A80" s="176"/>
      <c r="B80" s="173"/>
      <c r="C80" s="58"/>
      <c r="D80" s="178"/>
      <c r="E80" s="178"/>
      <c r="F80" s="178" t="s">
        <v>170</v>
      </c>
      <c r="G80" s="178" t="s">
        <v>171</v>
      </c>
      <c r="H80" s="178"/>
      <c r="I80" s="8"/>
      <c r="J80" s="5"/>
      <c r="K80" s="108"/>
      <c r="S80" s="122" t="s">
        <v>74</v>
      </c>
      <c r="T80" s="17" t="s">
        <v>199</v>
      </c>
      <c r="U80" s="17">
        <v>1</v>
      </c>
      <c r="V80" s="17">
        <v>0</v>
      </c>
      <c r="W80" s="17"/>
      <c r="X80" s="126">
        <f t="shared" si="12"/>
        <v>3</v>
      </c>
      <c r="Y80" s="125">
        <f t="shared" si="13"/>
        <v>2</v>
      </c>
    </row>
    <row r="81" spans="1:25" x14ac:dyDescent="0.3">
      <c r="A81" s="176"/>
      <c r="B81" s="173"/>
      <c r="C81" s="40">
        <v>30123</v>
      </c>
      <c r="D81" s="28" t="s">
        <v>3</v>
      </c>
      <c r="E81" s="173" t="s">
        <v>199</v>
      </c>
      <c r="F81" s="28">
        <v>4</v>
      </c>
      <c r="G81" s="173">
        <v>1</v>
      </c>
      <c r="H81" s="173"/>
      <c r="I81" s="5" t="s">
        <v>198</v>
      </c>
      <c r="J81" s="5"/>
      <c r="K81" s="108"/>
      <c r="S81" s="122"/>
      <c r="T81" s="17"/>
      <c r="U81" s="17"/>
      <c r="V81" s="17"/>
      <c r="W81" s="17"/>
      <c r="X81" s="126"/>
      <c r="Y81" s="125"/>
    </row>
    <row r="82" spans="1:25" ht="15" thickBot="1" x14ac:dyDescent="0.35">
      <c r="A82" s="176"/>
      <c r="B82" s="173"/>
      <c r="C82" s="58"/>
      <c r="D82" s="178"/>
      <c r="E82" s="178"/>
      <c r="F82" s="178" t="s">
        <v>215</v>
      </c>
      <c r="G82" s="178" t="s">
        <v>171</v>
      </c>
      <c r="H82" s="178"/>
      <c r="I82" s="8"/>
      <c r="J82" s="5"/>
      <c r="K82" s="108"/>
      <c r="S82" s="122"/>
      <c r="T82" s="17"/>
      <c r="U82" s="17"/>
      <c r="V82" s="17"/>
      <c r="W82" s="17"/>
      <c r="X82" s="126"/>
      <c r="Y82" s="125"/>
    </row>
    <row r="83" spans="1:25" x14ac:dyDescent="0.3">
      <c r="A83" s="176"/>
      <c r="B83" s="173"/>
      <c r="C83" s="40">
        <v>30126</v>
      </c>
      <c r="D83" s="173" t="s">
        <v>3</v>
      </c>
      <c r="E83" s="173" t="s">
        <v>45</v>
      </c>
      <c r="F83" s="173">
        <v>1</v>
      </c>
      <c r="G83" s="173">
        <v>1</v>
      </c>
      <c r="H83" s="173"/>
      <c r="I83" s="5" t="s">
        <v>198</v>
      </c>
      <c r="J83" s="5"/>
      <c r="K83" s="108"/>
      <c r="S83" s="122"/>
      <c r="T83" s="17"/>
      <c r="U83" s="17"/>
      <c r="V83" s="17"/>
      <c r="W83" s="17"/>
      <c r="X83" s="126"/>
      <c r="Y83" s="125"/>
    </row>
    <row r="84" spans="1:25" ht="15" thickBot="1" x14ac:dyDescent="0.35">
      <c r="A84" s="176"/>
      <c r="B84" s="173"/>
      <c r="C84" s="58"/>
      <c r="D84" s="178"/>
      <c r="E84" s="178"/>
      <c r="F84" s="178" t="s">
        <v>170</v>
      </c>
      <c r="G84" s="178" t="s">
        <v>171</v>
      </c>
      <c r="H84" s="178"/>
      <c r="I84" s="8"/>
      <c r="J84" s="5"/>
      <c r="K84" s="108"/>
      <c r="S84" s="122"/>
      <c r="T84" s="17"/>
      <c r="U84" s="17"/>
      <c r="V84" s="17"/>
      <c r="W84" s="17"/>
      <c r="X84" s="126"/>
      <c r="Y84" s="125"/>
    </row>
    <row r="85" spans="1:25" x14ac:dyDescent="0.3">
      <c r="A85" s="176"/>
      <c r="B85" s="173"/>
      <c r="C85" s="40">
        <v>30127</v>
      </c>
      <c r="D85" s="52" t="s">
        <v>74</v>
      </c>
      <c r="E85" s="17" t="s">
        <v>199</v>
      </c>
      <c r="F85" s="52">
        <v>1</v>
      </c>
      <c r="G85" s="17">
        <v>0</v>
      </c>
      <c r="H85" s="173"/>
      <c r="I85" s="5" t="s">
        <v>197</v>
      </c>
      <c r="J85" s="5"/>
      <c r="K85" s="108"/>
      <c r="S85" s="122"/>
      <c r="T85" s="17"/>
      <c r="U85" s="17"/>
      <c r="V85" s="17"/>
      <c r="W85" s="17"/>
      <c r="X85" s="126"/>
      <c r="Y85" s="125"/>
    </row>
    <row r="86" spans="1:25" x14ac:dyDescent="0.3">
      <c r="A86" s="156"/>
      <c r="B86" s="17"/>
      <c r="C86" s="17"/>
      <c r="D86" s="17"/>
      <c r="E86" s="17"/>
      <c r="F86" s="173" t="s">
        <v>172</v>
      </c>
      <c r="G86" s="5" t="s">
        <v>171</v>
      </c>
      <c r="H86" s="5"/>
      <c r="I86" s="5"/>
      <c r="J86" s="5"/>
      <c r="K86" s="108"/>
      <c r="S86" s="122"/>
      <c r="T86" s="17"/>
      <c r="U86" s="17"/>
      <c r="V86" s="17"/>
      <c r="W86" s="17"/>
      <c r="X86" s="126"/>
      <c r="Y86" s="125"/>
    </row>
    <row r="87" spans="1:25" x14ac:dyDescent="0.3">
      <c r="A87" s="156"/>
      <c r="B87" s="17"/>
      <c r="C87" s="17"/>
      <c r="D87" s="17"/>
      <c r="E87" s="17"/>
      <c r="F87" s="173"/>
      <c r="G87" s="5"/>
      <c r="H87" s="5"/>
      <c r="I87" s="5"/>
      <c r="J87" s="5"/>
      <c r="K87" s="108"/>
      <c r="S87" s="122"/>
      <c r="T87" s="17"/>
      <c r="U87" s="17"/>
      <c r="V87" s="17"/>
      <c r="W87" s="17"/>
      <c r="X87" s="126"/>
      <c r="Y87" s="125"/>
    </row>
    <row r="88" spans="1:25" ht="15" thickBot="1" x14ac:dyDescent="0.35">
      <c r="A88" s="176"/>
      <c r="B88" s="173"/>
      <c r="C88" s="173" t="s">
        <v>12</v>
      </c>
      <c r="D88" s="173" t="s">
        <v>13</v>
      </c>
      <c r="E88" s="173" t="s">
        <v>14</v>
      </c>
      <c r="F88" s="173" t="s">
        <v>15</v>
      </c>
      <c r="G88" s="5" t="s">
        <v>24</v>
      </c>
      <c r="H88" s="5" t="s">
        <v>25</v>
      </c>
      <c r="I88" s="5" t="s">
        <v>26</v>
      </c>
      <c r="J88" s="5" t="s">
        <v>27</v>
      </c>
      <c r="K88" s="108"/>
      <c r="S88" s="122"/>
      <c r="T88" s="17"/>
      <c r="U88" s="17"/>
      <c r="V88" s="17"/>
      <c r="W88" s="17"/>
      <c r="X88" s="126"/>
      <c r="Y88" s="125"/>
    </row>
    <row r="89" spans="1:25" x14ac:dyDescent="0.3">
      <c r="A89" s="176"/>
      <c r="B89" s="14" t="s">
        <v>74</v>
      </c>
      <c r="C89" s="209">
        <f>COUNTIF($S$12:$T$17,"Polen")</f>
        <v>3</v>
      </c>
      <c r="D89" s="43">
        <f t="shared" ref="D89" si="14">SUMPRODUCT(($S$12:$T$17=B89)*($X$12:$Y$17=3))</f>
        <v>0</v>
      </c>
      <c r="E89" s="43">
        <f t="shared" ref="E89" si="15">SUMPRODUCT(($S$12:$T$17=B89)*($X$12:$Y$17=1))</f>
        <v>0</v>
      </c>
      <c r="F89" s="43">
        <f t="shared" ref="F89" si="16">SUMPRODUCT(($S$12:$T$17=B89)*($X$12:$Y$17=2))</f>
        <v>0</v>
      </c>
      <c r="G89" s="43">
        <f t="shared" ref="G89" si="17">SUMPRODUCT(($S$12:$S$17=B89)*($U$12:$U$17))+SUMPRODUCT(($T$12:$T$17=B89)*($V$12:$V$17))</f>
        <v>0</v>
      </c>
      <c r="H89" s="43">
        <f t="shared" ref="H89" si="18">SUMPRODUCT(($S$12:$S$17=B89)*($V$12:$V$17))+SUMPRODUCT(($T$12:$T$17=B89)*($U$12:$U$17))</f>
        <v>0</v>
      </c>
      <c r="I89" s="18">
        <f t="shared" ref="I89" si="19">(D89*2)+E89</f>
        <v>0</v>
      </c>
      <c r="J89" s="22">
        <f t="shared" ref="J89" si="20">(F89*2)+E89</f>
        <v>0</v>
      </c>
      <c r="K89" s="108"/>
      <c r="S89" s="122"/>
      <c r="T89" s="17"/>
      <c r="U89" s="17"/>
      <c r="V89" s="17"/>
      <c r="W89" s="17"/>
      <c r="X89" s="126"/>
      <c r="Y89" s="125"/>
    </row>
    <row r="90" spans="1:25" x14ac:dyDescent="0.3">
      <c r="A90" s="176"/>
      <c r="B90" s="21" t="s">
        <v>3</v>
      </c>
      <c r="C90" s="17"/>
      <c r="D90" s="17"/>
      <c r="E90" s="17"/>
      <c r="F90" s="17"/>
      <c r="G90" s="18"/>
      <c r="H90" s="18"/>
      <c r="I90" s="18"/>
      <c r="J90" s="22"/>
      <c r="K90" s="108"/>
      <c r="S90" s="122"/>
      <c r="T90" s="17"/>
      <c r="U90" s="17"/>
      <c r="V90" s="17"/>
      <c r="W90" s="17"/>
      <c r="X90" s="126"/>
      <c r="Y90" s="125"/>
    </row>
    <row r="91" spans="1:25" x14ac:dyDescent="0.3">
      <c r="A91" s="176"/>
      <c r="B91" s="3" t="s">
        <v>45</v>
      </c>
      <c r="C91" s="173"/>
      <c r="D91" s="173"/>
      <c r="E91" s="173"/>
      <c r="F91" s="173"/>
      <c r="G91" s="5"/>
      <c r="H91" s="5"/>
      <c r="I91" s="5"/>
      <c r="J91" s="6"/>
      <c r="K91" s="108"/>
      <c r="S91" s="117"/>
      <c r="T91" s="166"/>
      <c r="U91" s="166"/>
      <c r="V91" s="166"/>
      <c r="W91" s="166"/>
      <c r="X91" s="126"/>
      <c r="Y91" s="125"/>
    </row>
    <row r="92" spans="1:25" ht="15" thickBot="1" x14ac:dyDescent="0.35">
      <c r="A92" s="176"/>
      <c r="B92" s="7" t="s">
        <v>199</v>
      </c>
      <c r="C92" s="178"/>
      <c r="D92" s="178"/>
      <c r="E92" s="178"/>
      <c r="F92" s="178"/>
      <c r="G92" s="8"/>
      <c r="H92" s="8"/>
      <c r="I92" s="8"/>
      <c r="J92" s="9"/>
      <c r="K92" s="108"/>
      <c r="S92" s="117"/>
      <c r="T92" s="166"/>
      <c r="U92" s="166"/>
      <c r="V92" s="166"/>
      <c r="W92" s="166"/>
      <c r="X92" s="126"/>
      <c r="Y92" s="125"/>
    </row>
    <row r="93" spans="1:25" ht="15" thickBot="1" x14ac:dyDescent="0.35">
      <c r="A93" s="176"/>
      <c r="B93" s="173"/>
      <c r="C93" s="173"/>
      <c r="D93" s="173"/>
      <c r="E93" s="173"/>
      <c r="F93" s="173"/>
      <c r="G93" s="5"/>
      <c r="H93" s="5"/>
      <c r="I93" s="5"/>
      <c r="J93" s="5"/>
      <c r="K93" s="193"/>
      <c r="S93" s="117"/>
      <c r="T93" s="166"/>
      <c r="U93" s="166"/>
      <c r="V93" s="166"/>
      <c r="W93" s="166"/>
      <c r="X93" s="126"/>
      <c r="Y93" s="125"/>
    </row>
    <row r="94" spans="1:25" ht="15" thickTop="1" x14ac:dyDescent="0.3">
      <c r="A94" s="106"/>
      <c r="B94" s="25"/>
      <c r="C94" s="25"/>
      <c r="D94" s="25"/>
      <c r="E94" s="25"/>
      <c r="F94" s="25"/>
      <c r="G94" s="26"/>
      <c r="H94" s="26"/>
      <c r="I94" s="26"/>
      <c r="J94" s="26"/>
      <c r="K94" s="108"/>
      <c r="S94" s="117"/>
      <c r="T94" s="166"/>
      <c r="U94" s="166"/>
      <c r="V94" s="166"/>
      <c r="W94" s="166"/>
      <c r="X94" s="126"/>
      <c r="Y94" s="125"/>
    </row>
    <row r="95" spans="1:25" ht="21" x14ac:dyDescent="0.4">
      <c r="A95" s="176"/>
      <c r="B95" s="173"/>
      <c r="C95" s="173"/>
      <c r="D95" s="173"/>
      <c r="E95" s="173"/>
      <c r="F95" s="172" t="s">
        <v>188</v>
      </c>
      <c r="G95" s="5"/>
      <c r="H95" s="5"/>
      <c r="I95" s="5"/>
      <c r="J95" s="5"/>
      <c r="K95" s="108"/>
      <c r="S95" s="117"/>
      <c r="T95" s="166"/>
      <c r="U95" s="166"/>
      <c r="V95" s="166"/>
      <c r="W95" s="166"/>
      <c r="X95" s="126"/>
      <c r="Y95" s="125"/>
    </row>
    <row r="96" spans="1:25" x14ac:dyDescent="0.3">
      <c r="A96" s="176"/>
      <c r="B96" s="28"/>
      <c r="C96" s="173"/>
      <c r="D96" s="173"/>
      <c r="E96" s="173"/>
      <c r="F96" s="173"/>
      <c r="G96" s="5"/>
      <c r="H96" s="5"/>
      <c r="I96" s="5"/>
      <c r="J96" s="5"/>
      <c r="K96" s="108"/>
      <c r="S96" s="117"/>
      <c r="T96" s="166"/>
      <c r="U96" s="166"/>
      <c r="V96" s="166"/>
      <c r="W96" s="166"/>
      <c r="X96" s="126"/>
      <c r="Y96" s="125"/>
    </row>
    <row r="97" spans="1:25" x14ac:dyDescent="0.3">
      <c r="A97" s="176"/>
      <c r="B97" s="173"/>
      <c r="C97" s="40">
        <v>30118</v>
      </c>
      <c r="D97" s="173" t="s">
        <v>35</v>
      </c>
      <c r="E97" s="173" t="s">
        <v>200</v>
      </c>
      <c r="F97" s="173">
        <v>1</v>
      </c>
      <c r="G97" s="173">
        <v>1</v>
      </c>
      <c r="H97" s="173"/>
      <c r="I97" s="5" t="s">
        <v>201</v>
      </c>
      <c r="J97" s="5"/>
      <c r="K97" s="108"/>
      <c r="S97" s="117" t="s">
        <v>35</v>
      </c>
      <c r="T97" s="166" t="s">
        <v>200</v>
      </c>
      <c r="U97" s="166">
        <v>1</v>
      </c>
      <c r="V97" s="166">
        <v>1</v>
      </c>
      <c r="W97" s="166"/>
      <c r="X97" s="126">
        <f t="shared" ref="X97:X102" si="21">(IF(U97&gt;V97,3,IF(U97=V97,1,2)))</f>
        <v>1</v>
      </c>
      <c r="Y97" s="125">
        <f t="shared" ref="Y97:Y102" si="22">(IF(V97&gt;U97,3,IF(U97=V97,1,2)))</f>
        <v>1</v>
      </c>
    </row>
    <row r="98" spans="1:25" ht="15" thickBot="1" x14ac:dyDescent="0.35">
      <c r="A98" s="176"/>
      <c r="B98" s="173"/>
      <c r="C98" s="58"/>
      <c r="D98" s="178"/>
      <c r="E98" s="178"/>
      <c r="F98" s="178" t="s">
        <v>170</v>
      </c>
      <c r="G98" s="178" t="s">
        <v>183</v>
      </c>
      <c r="H98" s="178"/>
      <c r="I98" s="8"/>
      <c r="J98" s="5"/>
      <c r="K98" s="108"/>
      <c r="S98" s="117" t="s">
        <v>8</v>
      </c>
      <c r="T98" s="170" t="s">
        <v>98</v>
      </c>
      <c r="U98" s="170">
        <v>0</v>
      </c>
      <c r="V98" s="170">
        <v>0</v>
      </c>
      <c r="W98" s="170"/>
      <c r="X98" s="126">
        <f t="shared" si="21"/>
        <v>1</v>
      </c>
      <c r="Y98" s="125">
        <f t="shared" si="22"/>
        <v>1</v>
      </c>
    </row>
    <row r="99" spans="1:25" ht="15" thickBot="1" x14ac:dyDescent="0.35">
      <c r="A99" s="176"/>
      <c r="B99" s="173"/>
      <c r="C99" s="58">
        <v>30119</v>
      </c>
      <c r="D99" s="178" t="s">
        <v>8</v>
      </c>
      <c r="E99" s="178" t="s">
        <v>98</v>
      </c>
      <c r="F99" s="178">
        <v>0</v>
      </c>
      <c r="G99" s="178">
        <v>0</v>
      </c>
      <c r="H99" s="178"/>
      <c r="I99" s="8" t="s">
        <v>202</v>
      </c>
      <c r="J99" s="5"/>
      <c r="K99" s="108"/>
      <c r="S99" s="117" t="s">
        <v>35</v>
      </c>
      <c r="T99" s="166" t="s">
        <v>8</v>
      </c>
      <c r="U99" s="166">
        <v>2</v>
      </c>
      <c r="V99" s="166">
        <v>1</v>
      </c>
      <c r="W99" s="166"/>
      <c r="X99" s="126">
        <f t="shared" si="21"/>
        <v>3</v>
      </c>
      <c r="Y99" s="125">
        <f t="shared" si="22"/>
        <v>2</v>
      </c>
    </row>
    <row r="100" spans="1:25" x14ac:dyDescent="0.3">
      <c r="A100" s="176"/>
      <c r="B100" s="173"/>
      <c r="C100" s="40">
        <v>30122</v>
      </c>
      <c r="D100" s="28" t="s">
        <v>35</v>
      </c>
      <c r="E100" s="173" t="s">
        <v>8</v>
      </c>
      <c r="F100" s="28">
        <v>2</v>
      </c>
      <c r="G100" s="173">
        <v>1</v>
      </c>
      <c r="H100" s="173"/>
      <c r="I100" s="5" t="s">
        <v>201</v>
      </c>
      <c r="J100" s="5"/>
      <c r="K100" s="108"/>
      <c r="S100" s="117" t="s">
        <v>200</v>
      </c>
      <c r="T100" s="166" t="s">
        <v>98</v>
      </c>
      <c r="U100" s="166">
        <v>1</v>
      </c>
      <c r="V100" s="166">
        <v>1</v>
      </c>
      <c r="W100" s="166"/>
      <c r="X100" s="126">
        <f t="shared" si="21"/>
        <v>1</v>
      </c>
      <c r="Y100" s="125">
        <f t="shared" si="22"/>
        <v>1</v>
      </c>
    </row>
    <row r="101" spans="1:25" ht="15" thickBot="1" x14ac:dyDescent="0.35">
      <c r="A101" s="176"/>
      <c r="B101" s="173"/>
      <c r="C101" s="58"/>
      <c r="D101" s="178"/>
      <c r="E101" s="178"/>
      <c r="F101" s="178" t="s">
        <v>172</v>
      </c>
      <c r="G101" s="178" t="s">
        <v>183</v>
      </c>
      <c r="H101" s="178"/>
      <c r="I101" s="8"/>
      <c r="J101" s="5"/>
      <c r="K101" s="108"/>
      <c r="S101" s="117" t="s">
        <v>200</v>
      </c>
      <c r="T101" s="170" t="s">
        <v>8</v>
      </c>
      <c r="U101" s="170">
        <v>0</v>
      </c>
      <c r="V101" s="170">
        <v>1</v>
      </c>
      <c r="W101" s="170"/>
      <c r="X101" s="126">
        <f t="shared" si="21"/>
        <v>2</v>
      </c>
      <c r="Y101" s="125">
        <f t="shared" si="22"/>
        <v>3</v>
      </c>
    </row>
    <row r="102" spans="1:25" x14ac:dyDescent="0.3">
      <c r="A102" s="176"/>
      <c r="B102" s="173"/>
      <c r="C102" s="40">
        <v>30123</v>
      </c>
      <c r="D102" s="173" t="s">
        <v>200</v>
      </c>
      <c r="E102" s="173" t="s">
        <v>98</v>
      </c>
      <c r="F102" s="173">
        <v>1</v>
      </c>
      <c r="G102" s="173">
        <v>1</v>
      </c>
      <c r="H102" s="173"/>
      <c r="I102" s="5" t="s">
        <v>202</v>
      </c>
      <c r="J102" s="5"/>
      <c r="K102" s="108"/>
      <c r="S102" s="117" t="s">
        <v>35</v>
      </c>
      <c r="T102" s="166" t="s">
        <v>98</v>
      </c>
      <c r="U102" s="166">
        <v>0</v>
      </c>
      <c r="V102" s="166">
        <v>1</v>
      </c>
      <c r="W102" s="166"/>
      <c r="X102" s="126">
        <f t="shared" si="21"/>
        <v>2</v>
      </c>
      <c r="Y102" s="125">
        <f t="shared" si="22"/>
        <v>3</v>
      </c>
    </row>
    <row r="103" spans="1:25" ht="15" thickBot="1" x14ac:dyDescent="0.35">
      <c r="A103" s="176"/>
      <c r="B103" s="173"/>
      <c r="C103" s="58"/>
      <c r="D103" s="178"/>
      <c r="E103" s="178"/>
      <c r="F103" s="178" t="s">
        <v>170</v>
      </c>
      <c r="G103" s="178" t="s">
        <v>183</v>
      </c>
      <c r="H103" s="178"/>
      <c r="I103" s="8"/>
      <c r="J103" s="5"/>
      <c r="K103" s="108"/>
      <c r="S103" s="117"/>
      <c r="T103" s="170"/>
      <c r="U103" s="170"/>
      <c r="V103" s="170"/>
      <c r="W103" s="170"/>
      <c r="X103" s="126"/>
      <c r="Y103" s="125"/>
    </row>
    <row r="104" spans="1:25" x14ac:dyDescent="0.3">
      <c r="A104" s="176"/>
      <c r="B104" s="173"/>
      <c r="C104" s="40">
        <v>30126</v>
      </c>
      <c r="D104" s="173" t="s">
        <v>200</v>
      </c>
      <c r="E104" s="28" t="s">
        <v>8</v>
      </c>
      <c r="F104" s="173">
        <v>0</v>
      </c>
      <c r="G104" s="28">
        <v>1</v>
      </c>
      <c r="H104" s="173"/>
      <c r="I104" s="5" t="s">
        <v>202</v>
      </c>
      <c r="J104" s="5"/>
      <c r="K104" s="108"/>
      <c r="S104" s="117"/>
      <c r="T104" s="166"/>
      <c r="U104" s="166"/>
      <c r="V104" s="166"/>
      <c r="W104" s="166"/>
      <c r="X104" s="126"/>
      <c r="Y104" s="125"/>
    </row>
    <row r="105" spans="1:25" ht="15" thickBot="1" x14ac:dyDescent="0.35">
      <c r="A105" s="176"/>
      <c r="B105" s="173"/>
      <c r="C105" s="58"/>
      <c r="D105" s="178"/>
      <c r="E105" s="178"/>
      <c r="F105" s="178" t="s">
        <v>170</v>
      </c>
      <c r="G105" s="178" t="s">
        <v>171</v>
      </c>
      <c r="H105" s="178"/>
      <c r="I105" s="8"/>
      <c r="J105" s="5"/>
      <c r="K105" s="108"/>
      <c r="S105" s="117"/>
      <c r="T105" s="170"/>
      <c r="U105" s="170"/>
      <c r="V105" s="170"/>
      <c r="W105" s="170"/>
      <c r="X105" s="126"/>
      <c r="Y105" s="125"/>
    </row>
    <row r="106" spans="1:25" x14ac:dyDescent="0.3">
      <c r="A106" s="176"/>
      <c r="B106" s="173"/>
      <c r="C106" s="40">
        <v>30127</v>
      </c>
      <c r="D106" s="17" t="s">
        <v>35</v>
      </c>
      <c r="E106" s="52" t="s">
        <v>98</v>
      </c>
      <c r="F106" s="17">
        <v>0</v>
      </c>
      <c r="G106" s="52">
        <v>1</v>
      </c>
      <c r="H106" s="173"/>
      <c r="I106" s="5" t="s">
        <v>201</v>
      </c>
      <c r="J106" s="5"/>
      <c r="K106" s="108"/>
      <c r="S106" s="117"/>
      <c r="T106" s="166"/>
      <c r="U106" s="166"/>
      <c r="V106" s="166"/>
      <c r="W106" s="166"/>
      <c r="X106" s="126"/>
      <c r="Y106" s="125"/>
    </row>
    <row r="107" spans="1:25" x14ac:dyDescent="0.3">
      <c r="A107" s="156"/>
      <c r="B107" s="17"/>
      <c r="C107" s="17"/>
      <c r="D107" s="17"/>
      <c r="E107" s="17"/>
      <c r="F107" s="173" t="s">
        <v>170</v>
      </c>
      <c r="G107" s="5" t="s">
        <v>171</v>
      </c>
      <c r="H107" s="5"/>
      <c r="I107" s="5"/>
      <c r="J107" s="5"/>
      <c r="K107" s="108"/>
      <c r="S107" s="117"/>
      <c r="T107" s="166"/>
      <c r="U107" s="166"/>
      <c r="V107" s="166"/>
      <c r="W107" s="166"/>
      <c r="X107" s="126"/>
      <c r="Y107" s="125"/>
    </row>
    <row r="108" spans="1:25" x14ac:dyDescent="0.3">
      <c r="A108" s="156"/>
      <c r="B108" s="17"/>
      <c r="C108" s="17"/>
      <c r="D108" s="17"/>
      <c r="E108" s="17"/>
      <c r="F108" s="173"/>
      <c r="G108" s="5"/>
      <c r="H108" s="5"/>
      <c r="I108" s="5"/>
      <c r="J108" s="5"/>
      <c r="K108" s="108"/>
      <c r="S108" s="117"/>
      <c r="T108" s="166"/>
      <c r="U108" s="166"/>
      <c r="V108" s="166"/>
      <c r="W108" s="166"/>
      <c r="X108" s="126"/>
      <c r="Y108" s="125"/>
    </row>
    <row r="109" spans="1:25" ht="15" thickBot="1" x14ac:dyDescent="0.35">
      <c r="A109" s="176"/>
      <c r="B109" s="173"/>
      <c r="C109" s="173" t="s">
        <v>12</v>
      </c>
      <c r="D109" s="173" t="s">
        <v>13</v>
      </c>
      <c r="E109" s="173" t="s">
        <v>14</v>
      </c>
      <c r="F109" s="173" t="s">
        <v>15</v>
      </c>
      <c r="G109" s="5" t="s">
        <v>24</v>
      </c>
      <c r="H109" s="5" t="s">
        <v>25</v>
      </c>
      <c r="I109" s="5" t="s">
        <v>26</v>
      </c>
      <c r="J109" s="5" t="s">
        <v>27</v>
      </c>
      <c r="K109" s="108"/>
      <c r="S109" s="117"/>
      <c r="T109" s="166"/>
      <c r="U109" s="166"/>
      <c r="V109" s="166"/>
      <c r="W109" s="166"/>
      <c r="X109" s="126"/>
      <c r="Y109" s="125"/>
    </row>
    <row r="110" spans="1:25" x14ac:dyDescent="0.3">
      <c r="A110" s="176"/>
      <c r="B110" s="14" t="s">
        <v>35</v>
      </c>
      <c r="C110" s="209">
        <f>COUNTIF($S$12:$T$17,"Polen")</f>
        <v>3</v>
      </c>
      <c r="D110" s="43">
        <f t="shared" ref="D110" si="23">SUMPRODUCT(($S$12:$T$17=B110)*($X$12:$Y$17=3))</f>
        <v>0</v>
      </c>
      <c r="E110" s="43">
        <f t="shared" ref="E110" si="24">SUMPRODUCT(($S$12:$T$17=B110)*($X$12:$Y$17=1))</f>
        <v>0</v>
      </c>
      <c r="F110" s="43">
        <f t="shared" ref="F110" si="25">SUMPRODUCT(($S$12:$T$17=B110)*($X$12:$Y$17=2))</f>
        <v>0</v>
      </c>
      <c r="G110" s="43">
        <f t="shared" ref="G110" si="26">SUMPRODUCT(($S$12:$S$17=B110)*($U$12:$U$17))+SUMPRODUCT(($T$12:$T$17=B110)*($V$12:$V$17))</f>
        <v>0</v>
      </c>
      <c r="H110" s="43">
        <f t="shared" ref="H110" si="27">SUMPRODUCT(($S$12:$S$17=B110)*($V$12:$V$17))+SUMPRODUCT(($T$12:$T$17=B110)*($U$12:$U$17))</f>
        <v>0</v>
      </c>
      <c r="I110" s="18">
        <f t="shared" ref="I110" si="28">(D110*2)+E110</f>
        <v>0</v>
      </c>
      <c r="J110" s="22">
        <f t="shared" ref="J110" si="29">(F110*2)+E110</f>
        <v>0</v>
      </c>
      <c r="K110" s="108"/>
      <c r="S110" s="117"/>
      <c r="T110" s="166"/>
      <c r="U110" s="166"/>
      <c r="V110" s="166"/>
      <c r="W110" s="166"/>
      <c r="X110" s="126"/>
      <c r="Y110" s="125"/>
    </row>
    <row r="111" spans="1:25" x14ac:dyDescent="0.3">
      <c r="A111" s="176"/>
      <c r="B111" s="21" t="s">
        <v>200</v>
      </c>
      <c r="C111" s="17"/>
      <c r="D111" s="17"/>
      <c r="E111" s="17"/>
      <c r="F111" s="17"/>
      <c r="G111" s="18"/>
      <c r="H111" s="18"/>
      <c r="I111" s="18"/>
      <c r="J111" s="22"/>
      <c r="K111" s="108"/>
      <c r="S111" s="117"/>
      <c r="T111" s="166"/>
      <c r="U111" s="166"/>
      <c r="V111" s="166"/>
      <c r="W111" s="166"/>
      <c r="X111" s="126"/>
      <c r="Y111" s="125"/>
    </row>
    <row r="112" spans="1:25" x14ac:dyDescent="0.3">
      <c r="A112" s="176"/>
      <c r="B112" s="3" t="s">
        <v>8</v>
      </c>
      <c r="C112" s="173"/>
      <c r="D112" s="173"/>
      <c r="E112" s="173"/>
      <c r="F112" s="173"/>
      <c r="G112" s="5"/>
      <c r="H112" s="5"/>
      <c r="I112" s="5"/>
      <c r="J112" s="6"/>
      <c r="K112" s="108"/>
      <c r="S112" s="117"/>
      <c r="T112" s="166"/>
      <c r="U112" s="166"/>
      <c r="V112" s="166"/>
      <c r="W112" s="166"/>
      <c r="X112" s="126"/>
      <c r="Y112" s="125"/>
    </row>
    <row r="113" spans="1:25" ht="15" thickBot="1" x14ac:dyDescent="0.35">
      <c r="A113" s="176"/>
      <c r="B113" s="7" t="s">
        <v>98</v>
      </c>
      <c r="C113" s="178"/>
      <c r="D113" s="178"/>
      <c r="E113" s="178"/>
      <c r="F113" s="178"/>
      <c r="G113" s="8"/>
      <c r="H113" s="8"/>
      <c r="I113" s="8"/>
      <c r="J113" s="9"/>
      <c r="K113" s="108"/>
      <c r="S113" s="117"/>
      <c r="T113" s="166"/>
      <c r="U113" s="166"/>
      <c r="V113" s="166"/>
      <c r="W113" s="166"/>
      <c r="X113" s="126"/>
      <c r="Y113" s="125"/>
    </row>
    <row r="114" spans="1:25" ht="15" thickBot="1" x14ac:dyDescent="0.35">
      <c r="A114" s="110"/>
      <c r="B114" s="36"/>
      <c r="C114" s="36"/>
      <c r="D114" s="36"/>
      <c r="E114" s="36"/>
      <c r="F114" s="36"/>
      <c r="G114" s="37"/>
      <c r="H114" s="37"/>
      <c r="I114" s="37"/>
      <c r="J114" s="37"/>
      <c r="K114" s="193"/>
      <c r="S114" s="117"/>
      <c r="T114" s="166"/>
      <c r="U114" s="166"/>
      <c r="V114" s="166"/>
      <c r="W114" s="166"/>
      <c r="X114" s="126"/>
      <c r="Y114" s="125"/>
    </row>
    <row r="115" spans="1:25" ht="15" thickTop="1" x14ac:dyDescent="0.3">
      <c r="A115" s="106"/>
      <c r="B115" s="25"/>
      <c r="C115" s="25"/>
      <c r="D115" s="25"/>
      <c r="E115" s="25"/>
      <c r="F115" s="25"/>
      <c r="G115" s="26"/>
      <c r="H115" s="26"/>
      <c r="I115" s="26"/>
      <c r="J115" s="26"/>
      <c r="K115" s="108"/>
      <c r="S115" s="117"/>
      <c r="T115" s="166"/>
      <c r="U115" s="166"/>
      <c r="V115" s="166"/>
      <c r="W115" s="166"/>
      <c r="X115" s="126"/>
      <c r="Y115" s="125"/>
    </row>
    <row r="116" spans="1:25" ht="21" x14ac:dyDescent="0.4">
      <c r="A116" s="176"/>
      <c r="B116" s="173"/>
      <c r="C116" s="173"/>
      <c r="D116" s="173"/>
      <c r="E116" s="173"/>
      <c r="F116" s="172" t="s">
        <v>187</v>
      </c>
      <c r="G116" s="5"/>
      <c r="H116" s="5"/>
      <c r="I116" s="5"/>
      <c r="J116" s="5"/>
      <c r="K116" s="108"/>
      <c r="S116" s="117"/>
      <c r="T116" s="166"/>
      <c r="U116" s="166"/>
      <c r="V116" s="166"/>
      <c r="W116" s="166"/>
      <c r="X116" s="126"/>
      <c r="Y116" s="125"/>
    </row>
    <row r="117" spans="1:25" x14ac:dyDescent="0.3">
      <c r="A117" s="176"/>
      <c r="B117" s="28"/>
      <c r="C117" s="173"/>
      <c r="D117" s="173"/>
      <c r="E117" s="173"/>
      <c r="F117" s="173"/>
      <c r="G117" s="5"/>
      <c r="H117" s="5"/>
      <c r="I117" s="5"/>
      <c r="J117" s="5"/>
      <c r="K117" s="108"/>
      <c r="S117" s="117"/>
      <c r="T117" s="170"/>
      <c r="U117" s="170"/>
      <c r="V117" s="170"/>
      <c r="W117" s="170"/>
      <c r="X117" s="126"/>
      <c r="Y117" s="125"/>
    </row>
    <row r="118" spans="1:25" x14ac:dyDescent="0.3">
      <c r="A118" s="176"/>
      <c r="B118" s="173"/>
      <c r="C118" s="40">
        <v>30116</v>
      </c>
      <c r="D118" s="28" t="s">
        <v>9</v>
      </c>
      <c r="E118" s="173" t="s">
        <v>101</v>
      </c>
      <c r="F118" s="28">
        <v>2</v>
      </c>
      <c r="G118" s="173">
        <v>1</v>
      </c>
      <c r="H118" s="173"/>
      <c r="I118" s="5" t="s">
        <v>203</v>
      </c>
      <c r="J118" s="5"/>
      <c r="K118" s="108"/>
      <c r="S118" s="117" t="s">
        <v>9</v>
      </c>
      <c r="T118" s="166" t="s">
        <v>101</v>
      </c>
      <c r="U118" s="166">
        <v>2</v>
      </c>
      <c r="V118" s="166">
        <v>1</v>
      </c>
      <c r="W118" s="166"/>
      <c r="X118" s="126">
        <f t="shared" ref="X118:X123" si="30">(IF(U118&gt;V118,3,IF(U118=V118,1,2)))</f>
        <v>3</v>
      </c>
      <c r="Y118" s="125">
        <f t="shared" ref="Y118:Y123" si="31">(IF(V118&gt;U118,3,IF(U118=V118,1,2)))</f>
        <v>2</v>
      </c>
    </row>
    <row r="119" spans="1:25" ht="15" thickBot="1" x14ac:dyDescent="0.35">
      <c r="A119" s="176"/>
      <c r="B119" s="173"/>
      <c r="C119" s="58"/>
      <c r="D119" s="178"/>
      <c r="E119" s="178"/>
      <c r="F119" s="178" t="s">
        <v>170</v>
      </c>
      <c r="G119" s="178" t="s">
        <v>183</v>
      </c>
      <c r="H119" s="178"/>
      <c r="I119" s="8"/>
      <c r="J119" s="5"/>
      <c r="K119" s="108"/>
      <c r="S119" s="117" t="s">
        <v>81</v>
      </c>
      <c r="T119" s="170" t="s">
        <v>205</v>
      </c>
      <c r="U119" s="170">
        <v>5</v>
      </c>
      <c r="V119" s="170">
        <v>2</v>
      </c>
      <c r="W119" s="170"/>
      <c r="X119" s="126">
        <f t="shared" si="30"/>
        <v>3</v>
      </c>
      <c r="Y119" s="125">
        <f t="shared" si="31"/>
        <v>2</v>
      </c>
    </row>
    <row r="120" spans="1:25" x14ac:dyDescent="0.3">
      <c r="A120" s="176"/>
      <c r="B120" s="173"/>
      <c r="C120" s="40">
        <v>30117</v>
      </c>
      <c r="D120" s="28" t="s">
        <v>81</v>
      </c>
      <c r="E120" s="173" t="s">
        <v>205</v>
      </c>
      <c r="F120" s="28">
        <v>5</v>
      </c>
      <c r="G120" s="173">
        <v>2</v>
      </c>
      <c r="H120" s="173"/>
      <c r="I120" s="5" t="s">
        <v>204</v>
      </c>
      <c r="J120" s="5"/>
      <c r="K120" s="108"/>
      <c r="S120" s="117" t="s">
        <v>9</v>
      </c>
      <c r="T120" s="166" t="s">
        <v>81</v>
      </c>
      <c r="U120" s="166">
        <v>4</v>
      </c>
      <c r="V120" s="166">
        <v>1</v>
      </c>
      <c r="W120" s="166"/>
      <c r="X120" s="126">
        <f t="shared" si="30"/>
        <v>3</v>
      </c>
      <c r="Y120" s="125">
        <f t="shared" si="31"/>
        <v>2</v>
      </c>
    </row>
    <row r="121" spans="1:25" ht="15" thickBot="1" x14ac:dyDescent="0.35">
      <c r="A121" s="176"/>
      <c r="B121" s="173"/>
      <c r="C121" s="58"/>
      <c r="D121" s="178"/>
      <c r="E121" s="178"/>
      <c r="F121" s="178" t="s">
        <v>264</v>
      </c>
      <c r="G121" s="178" t="s">
        <v>171</v>
      </c>
      <c r="H121" s="178"/>
      <c r="I121" s="8"/>
      <c r="J121" s="5"/>
      <c r="K121" s="108"/>
      <c r="S121" s="117" t="s">
        <v>101</v>
      </c>
      <c r="T121" s="170" t="s">
        <v>205</v>
      </c>
      <c r="U121" s="170">
        <v>3</v>
      </c>
      <c r="V121" s="170">
        <v>0</v>
      </c>
      <c r="W121" s="170"/>
      <c r="X121" s="126">
        <f t="shared" si="30"/>
        <v>3</v>
      </c>
      <c r="Y121" s="125">
        <f t="shared" si="31"/>
        <v>2</v>
      </c>
    </row>
    <row r="122" spans="1:25" x14ac:dyDescent="0.3">
      <c r="A122" s="176"/>
      <c r="B122" s="173"/>
      <c r="C122" s="40">
        <v>30120</v>
      </c>
      <c r="D122" s="28" t="s">
        <v>9</v>
      </c>
      <c r="E122" s="173" t="s">
        <v>81</v>
      </c>
      <c r="F122" s="28">
        <v>4</v>
      </c>
      <c r="G122" s="173">
        <v>1</v>
      </c>
      <c r="H122" s="173"/>
      <c r="I122" s="5" t="s">
        <v>203</v>
      </c>
      <c r="J122" s="5"/>
      <c r="K122" s="108"/>
      <c r="S122" s="117" t="s">
        <v>101</v>
      </c>
      <c r="T122" s="166" t="s">
        <v>81</v>
      </c>
      <c r="U122" s="166">
        <v>2</v>
      </c>
      <c r="V122" s="166">
        <v>2</v>
      </c>
      <c r="W122" s="166"/>
      <c r="X122" s="126">
        <f t="shared" si="30"/>
        <v>1</v>
      </c>
      <c r="Y122" s="125">
        <f t="shared" si="31"/>
        <v>1</v>
      </c>
    </row>
    <row r="123" spans="1:25" ht="15" thickBot="1" x14ac:dyDescent="0.35">
      <c r="A123" s="176"/>
      <c r="B123" s="173"/>
      <c r="C123" s="58"/>
      <c r="D123" s="178"/>
      <c r="E123" s="178"/>
      <c r="F123" s="178" t="s">
        <v>172</v>
      </c>
      <c r="G123" s="178" t="s">
        <v>183</v>
      </c>
      <c r="H123" s="178"/>
      <c r="I123" s="8"/>
      <c r="J123" s="5"/>
      <c r="K123" s="108"/>
      <c r="S123" s="117" t="s">
        <v>9</v>
      </c>
      <c r="T123" s="170" t="s">
        <v>205</v>
      </c>
      <c r="U123" s="170">
        <v>4</v>
      </c>
      <c r="V123" s="170">
        <v>0</v>
      </c>
      <c r="W123" s="170"/>
      <c r="X123" s="126">
        <f t="shared" si="30"/>
        <v>3</v>
      </c>
      <c r="Y123" s="125">
        <f t="shared" si="31"/>
        <v>2</v>
      </c>
    </row>
    <row r="124" spans="1:25" x14ac:dyDescent="0.3">
      <c r="A124" s="176"/>
      <c r="B124" s="173"/>
      <c r="C124" s="40">
        <v>30121</v>
      </c>
      <c r="D124" s="28" t="s">
        <v>101</v>
      </c>
      <c r="E124" s="173" t="s">
        <v>205</v>
      </c>
      <c r="F124" s="28">
        <v>3</v>
      </c>
      <c r="G124" s="173">
        <v>0</v>
      </c>
      <c r="H124" s="173"/>
      <c r="I124" s="5" t="s">
        <v>204</v>
      </c>
      <c r="J124" s="5"/>
      <c r="K124" s="108"/>
      <c r="S124" s="117"/>
      <c r="T124" s="166"/>
      <c r="U124" s="166"/>
      <c r="V124" s="166"/>
      <c r="W124" s="166"/>
      <c r="X124" s="166"/>
      <c r="Y124" s="118"/>
    </row>
    <row r="125" spans="1:25" ht="15" thickBot="1" x14ac:dyDescent="0.35">
      <c r="A125" s="176"/>
      <c r="B125" s="173"/>
      <c r="C125" s="58"/>
      <c r="D125" s="178"/>
      <c r="E125" s="178"/>
      <c r="F125" s="178" t="s">
        <v>172</v>
      </c>
      <c r="G125" s="178" t="s">
        <v>171</v>
      </c>
      <c r="H125" s="178"/>
      <c r="I125" s="8"/>
      <c r="J125" s="5"/>
      <c r="K125" s="108"/>
      <c r="S125" s="117"/>
      <c r="T125" s="170"/>
      <c r="U125" s="170"/>
      <c r="V125" s="170"/>
      <c r="W125" s="170"/>
      <c r="X125" s="170"/>
      <c r="Y125" s="118"/>
    </row>
    <row r="126" spans="1:25" x14ac:dyDescent="0.3">
      <c r="A126" s="176"/>
      <c r="B126" s="173"/>
      <c r="C126" s="40">
        <v>30124</v>
      </c>
      <c r="D126" s="173" t="s">
        <v>101</v>
      </c>
      <c r="E126" s="173" t="s">
        <v>81</v>
      </c>
      <c r="F126" s="173">
        <v>2</v>
      </c>
      <c r="G126" s="173">
        <v>2</v>
      </c>
      <c r="H126" s="173"/>
      <c r="I126" s="5" t="s">
        <v>204</v>
      </c>
      <c r="J126" s="5"/>
      <c r="K126" s="108"/>
      <c r="S126" s="117"/>
      <c r="T126" s="166"/>
      <c r="U126" s="166"/>
      <c r="V126" s="166"/>
      <c r="W126" s="166"/>
      <c r="X126" s="126"/>
      <c r="Y126" s="125"/>
    </row>
    <row r="127" spans="1:25" ht="15" thickBot="1" x14ac:dyDescent="0.35">
      <c r="A127" s="176"/>
      <c r="B127" s="173"/>
      <c r="C127" s="58"/>
      <c r="D127" s="178"/>
      <c r="E127" s="178"/>
      <c r="F127" s="178" t="s">
        <v>170</v>
      </c>
      <c r="G127" s="178" t="s">
        <v>183</v>
      </c>
      <c r="H127" s="178"/>
      <c r="I127" s="8"/>
      <c r="J127" s="5"/>
      <c r="K127" s="108"/>
      <c r="S127" s="117"/>
      <c r="T127" s="170"/>
      <c r="U127" s="170"/>
      <c r="V127" s="170"/>
      <c r="W127" s="170"/>
      <c r="X127" s="126"/>
      <c r="Y127" s="125"/>
    </row>
    <row r="128" spans="1:25" x14ac:dyDescent="0.3">
      <c r="A128" s="176"/>
      <c r="B128" s="173"/>
      <c r="C128" s="40">
        <v>30125</v>
      </c>
      <c r="D128" s="52" t="s">
        <v>9</v>
      </c>
      <c r="E128" s="17" t="s">
        <v>205</v>
      </c>
      <c r="F128" s="52">
        <v>4</v>
      </c>
      <c r="G128" s="17">
        <v>0</v>
      </c>
      <c r="H128" s="173"/>
      <c r="I128" s="5" t="s">
        <v>203</v>
      </c>
      <c r="J128" s="5"/>
      <c r="K128" s="108"/>
      <c r="S128" s="117"/>
      <c r="T128" s="166"/>
      <c r="U128" s="166"/>
      <c r="V128" s="166"/>
      <c r="W128" s="166"/>
      <c r="X128" s="126"/>
      <c r="Y128" s="125"/>
    </row>
    <row r="129" spans="1:25" x14ac:dyDescent="0.3">
      <c r="A129" s="156"/>
      <c r="B129" s="17"/>
      <c r="C129" s="17"/>
      <c r="D129" s="17"/>
      <c r="E129" s="17"/>
      <c r="F129" s="173" t="s">
        <v>215</v>
      </c>
      <c r="G129" s="5" t="s">
        <v>171</v>
      </c>
      <c r="H129" s="5"/>
      <c r="I129" s="5"/>
      <c r="J129" s="5"/>
      <c r="K129" s="108"/>
      <c r="S129" s="117"/>
      <c r="T129" s="166"/>
      <c r="U129" s="166"/>
      <c r="V129" s="166"/>
      <c r="W129" s="166"/>
      <c r="X129" s="126"/>
      <c r="Y129" s="125"/>
    </row>
    <row r="130" spans="1:25" x14ac:dyDescent="0.3">
      <c r="A130" s="156"/>
      <c r="B130" s="17"/>
      <c r="C130" s="17"/>
      <c r="D130" s="17"/>
      <c r="E130" s="17"/>
      <c r="F130" s="173"/>
      <c r="G130" s="5"/>
      <c r="H130" s="5"/>
      <c r="I130" s="5"/>
      <c r="J130" s="5"/>
      <c r="K130" s="108"/>
      <c r="S130" s="117"/>
      <c r="T130" s="170"/>
      <c r="U130" s="170"/>
      <c r="V130" s="170"/>
      <c r="W130" s="170"/>
      <c r="X130" s="126"/>
      <c r="Y130" s="125"/>
    </row>
    <row r="131" spans="1:25" ht="15" thickBot="1" x14ac:dyDescent="0.35">
      <c r="A131" s="176"/>
      <c r="B131" s="173"/>
      <c r="C131" s="173" t="s">
        <v>12</v>
      </c>
      <c r="D131" s="173" t="s">
        <v>13</v>
      </c>
      <c r="E131" s="173" t="s">
        <v>14</v>
      </c>
      <c r="F131" s="173" t="s">
        <v>15</v>
      </c>
      <c r="G131" s="5" t="s">
        <v>24</v>
      </c>
      <c r="H131" s="5" t="s">
        <v>25</v>
      </c>
      <c r="I131" s="5" t="s">
        <v>26</v>
      </c>
      <c r="J131" s="5" t="s">
        <v>27</v>
      </c>
      <c r="K131" s="108"/>
      <c r="S131" s="117"/>
      <c r="T131" s="166"/>
      <c r="U131" s="166"/>
      <c r="V131" s="166"/>
      <c r="W131" s="166"/>
      <c r="X131" s="126"/>
      <c r="Y131" s="125"/>
    </row>
    <row r="132" spans="1:25" s="13" customFormat="1" x14ac:dyDescent="0.3">
      <c r="A132" s="24"/>
      <c r="B132" s="14" t="s">
        <v>9</v>
      </c>
      <c r="C132" s="209">
        <f>COUNTIF($S$12:$T$17,"Polen")</f>
        <v>3</v>
      </c>
      <c r="D132" s="43">
        <f t="shared" ref="D132" si="32">SUMPRODUCT(($S$12:$T$17=B132)*($X$12:$Y$17=3))</f>
        <v>0</v>
      </c>
      <c r="E132" s="43">
        <f t="shared" ref="E132" si="33">SUMPRODUCT(($S$12:$T$17=B132)*($X$12:$Y$17=1))</f>
        <v>0</v>
      </c>
      <c r="F132" s="43">
        <f t="shared" ref="F132" si="34">SUMPRODUCT(($S$12:$T$17=B132)*($X$12:$Y$17=2))</f>
        <v>0</v>
      </c>
      <c r="G132" s="43">
        <f t="shared" ref="G132" si="35">SUMPRODUCT(($S$12:$S$17=B132)*($U$12:$U$17))+SUMPRODUCT(($T$12:$T$17=B132)*($V$12:$V$17))</f>
        <v>0</v>
      </c>
      <c r="H132" s="43">
        <f t="shared" ref="H132" si="36">SUMPRODUCT(($S$12:$S$17=B132)*($V$12:$V$17))+SUMPRODUCT(($T$12:$T$17=B132)*($U$12:$U$17))</f>
        <v>0</v>
      </c>
      <c r="I132" s="18">
        <f t="shared" ref="I132" si="37">(D132*2)+E132</f>
        <v>0</v>
      </c>
      <c r="J132" s="22">
        <f t="shared" ref="J132" si="38">(F132*2)+E132</f>
        <v>0</v>
      </c>
      <c r="K132" s="109"/>
      <c r="S132" s="117"/>
      <c r="T132" s="166"/>
      <c r="U132" s="166"/>
      <c r="V132" s="166"/>
      <c r="W132" s="166"/>
      <c r="X132" s="126"/>
      <c r="Y132" s="125"/>
    </row>
    <row r="133" spans="1:25" x14ac:dyDescent="0.3">
      <c r="A133" s="176"/>
      <c r="B133" s="21" t="s">
        <v>101</v>
      </c>
      <c r="C133" s="17"/>
      <c r="D133" s="17"/>
      <c r="E133" s="17"/>
      <c r="F133" s="17"/>
      <c r="G133" s="18"/>
      <c r="H133" s="18"/>
      <c r="I133" s="18"/>
      <c r="J133" s="22"/>
      <c r="K133" s="108"/>
      <c r="S133" s="117"/>
      <c r="T133" s="166"/>
      <c r="U133" s="166"/>
      <c r="V133" s="166"/>
      <c r="W133" s="166"/>
      <c r="X133" s="166"/>
      <c r="Y133" s="118"/>
    </row>
    <row r="134" spans="1:25" x14ac:dyDescent="0.3">
      <c r="A134" s="176"/>
      <c r="B134" s="3" t="s">
        <v>81</v>
      </c>
      <c r="C134" s="173"/>
      <c r="D134" s="173"/>
      <c r="E134" s="173"/>
      <c r="F134" s="173"/>
      <c r="G134" s="5"/>
      <c r="H134" s="5"/>
      <c r="I134" s="5"/>
      <c r="J134" s="6"/>
      <c r="K134" s="108"/>
      <c r="S134" s="117"/>
      <c r="T134" s="166"/>
      <c r="U134" s="166"/>
      <c r="V134" s="166"/>
      <c r="W134" s="166"/>
      <c r="X134" s="166"/>
      <c r="Y134" s="118"/>
    </row>
    <row r="135" spans="1:25" ht="15" thickBot="1" x14ac:dyDescent="0.35">
      <c r="A135" s="176"/>
      <c r="B135" s="7" t="s">
        <v>205</v>
      </c>
      <c r="C135" s="178"/>
      <c r="D135" s="178"/>
      <c r="E135" s="178"/>
      <c r="F135" s="178"/>
      <c r="G135" s="8"/>
      <c r="H135" s="8"/>
      <c r="I135" s="8"/>
      <c r="J135" s="9"/>
      <c r="K135" s="108"/>
      <c r="S135" s="117"/>
      <c r="T135" s="166"/>
      <c r="U135" s="166"/>
      <c r="V135" s="166"/>
      <c r="W135" s="166"/>
      <c r="X135" s="166"/>
      <c r="Y135" s="118"/>
    </row>
    <row r="136" spans="1:25" ht="15" thickBot="1" x14ac:dyDescent="0.35">
      <c r="A136" s="110"/>
      <c r="B136" s="36"/>
      <c r="C136" s="36"/>
      <c r="D136" s="36"/>
      <c r="E136" s="36"/>
      <c r="F136" s="36"/>
      <c r="G136" s="37"/>
      <c r="H136" s="37"/>
      <c r="I136" s="37"/>
      <c r="J136" s="37"/>
      <c r="K136" s="193"/>
      <c r="S136" s="117"/>
      <c r="T136" s="166"/>
      <c r="U136" s="166"/>
      <c r="V136" s="166"/>
      <c r="W136" s="166"/>
      <c r="X136" s="126"/>
      <c r="Y136" s="125"/>
    </row>
    <row r="137" spans="1:25" ht="15" thickTop="1" x14ac:dyDescent="0.3">
      <c r="A137" s="176"/>
      <c r="B137" s="173"/>
      <c r="C137" s="173"/>
      <c r="D137" s="173"/>
      <c r="E137" s="173"/>
      <c r="F137" s="173"/>
      <c r="G137" s="5"/>
      <c r="H137" s="5"/>
      <c r="I137" s="5"/>
      <c r="J137" s="5"/>
      <c r="K137" s="108"/>
      <c r="S137" s="117"/>
      <c r="T137" s="166"/>
      <c r="U137" s="166"/>
      <c r="V137" s="166"/>
      <c r="W137" s="166"/>
      <c r="X137" s="126"/>
      <c r="Y137" s="125"/>
    </row>
    <row r="138" spans="1:25" ht="21" x14ac:dyDescent="0.4">
      <c r="A138" s="176"/>
      <c r="B138" s="173"/>
      <c r="C138" s="173"/>
      <c r="D138" s="173"/>
      <c r="E138" s="173"/>
      <c r="F138" s="172" t="s">
        <v>163</v>
      </c>
      <c r="G138" s="5"/>
      <c r="H138" s="5"/>
      <c r="I138" s="5"/>
      <c r="J138" s="5"/>
      <c r="K138" s="108"/>
      <c r="S138" s="117"/>
      <c r="T138" s="166"/>
      <c r="U138" s="166"/>
      <c r="V138" s="166"/>
      <c r="W138" s="166"/>
      <c r="X138" s="126"/>
      <c r="Y138" s="125"/>
    </row>
    <row r="139" spans="1:25" x14ac:dyDescent="0.3">
      <c r="A139" s="176"/>
      <c r="B139" s="28"/>
      <c r="C139" s="173"/>
      <c r="D139" s="173"/>
      <c r="E139" s="173"/>
      <c r="F139" s="173"/>
      <c r="G139" s="5"/>
      <c r="H139" s="5"/>
      <c r="I139" s="5"/>
      <c r="J139" s="5"/>
      <c r="K139" s="108"/>
      <c r="S139" s="117"/>
      <c r="T139" s="170"/>
      <c r="U139" s="170"/>
      <c r="V139" s="170"/>
      <c r="W139" s="170"/>
      <c r="X139" s="126"/>
      <c r="Y139" s="125"/>
    </row>
    <row r="140" spans="1:25" x14ac:dyDescent="0.3">
      <c r="A140" s="176"/>
      <c r="B140" s="173"/>
      <c r="C140" s="40">
        <v>30130</v>
      </c>
      <c r="D140" s="28" t="s">
        <v>61</v>
      </c>
      <c r="E140" s="173" t="s">
        <v>21</v>
      </c>
      <c r="F140" s="28">
        <v>3</v>
      </c>
      <c r="G140" s="173">
        <v>0</v>
      </c>
      <c r="H140" s="173"/>
      <c r="I140" s="5" t="s">
        <v>194</v>
      </c>
      <c r="J140" s="5"/>
      <c r="K140" s="108"/>
      <c r="S140" s="117" t="s">
        <v>61</v>
      </c>
      <c r="T140" s="166" t="s">
        <v>21</v>
      </c>
      <c r="U140" s="166">
        <v>3</v>
      </c>
      <c r="V140" s="166">
        <v>0</v>
      </c>
      <c r="W140" s="166"/>
      <c r="X140" s="126">
        <f t="shared" ref="X140:X142" si="39">(IF(U140&gt;V140,3,IF(U140=V140,1,2)))</f>
        <v>3</v>
      </c>
      <c r="Y140" s="125">
        <f t="shared" ref="Y140:Y142" si="40">(IF(V140&gt;U140,3,IF(U140=V140,1,2)))</f>
        <v>2</v>
      </c>
    </row>
    <row r="141" spans="1:25" ht="15" thickBot="1" x14ac:dyDescent="0.35">
      <c r="A141" s="176"/>
      <c r="B141" s="173"/>
      <c r="C141" s="58"/>
      <c r="D141" s="178"/>
      <c r="E141" s="178"/>
      <c r="F141" s="178" t="s">
        <v>215</v>
      </c>
      <c r="G141" s="178" t="s">
        <v>171</v>
      </c>
      <c r="H141" s="178"/>
      <c r="I141" s="8"/>
      <c r="J141" s="5"/>
      <c r="K141" s="108"/>
      <c r="S141" s="117" t="s">
        <v>21</v>
      </c>
      <c r="T141" s="170" t="s">
        <v>101</v>
      </c>
      <c r="U141" s="170">
        <v>0</v>
      </c>
      <c r="V141" s="170">
        <v>1</v>
      </c>
      <c r="W141" s="170"/>
      <c r="X141" s="126">
        <f t="shared" ref="X141" si="41">(IF(U141&gt;V141,3,IF(U141=V141,1,2)))</f>
        <v>2</v>
      </c>
      <c r="Y141" s="125">
        <f t="shared" ref="Y141" si="42">(IF(V141&gt;U141,3,IF(U141=V141,1,2)))</f>
        <v>3</v>
      </c>
    </row>
    <row r="142" spans="1:25" x14ac:dyDescent="0.3">
      <c r="A142" s="176"/>
      <c r="B142" s="173"/>
      <c r="C142" s="40">
        <v>30133</v>
      </c>
      <c r="D142" s="173" t="s">
        <v>21</v>
      </c>
      <c r="E142" s="28" t="s">
        <v>101</v>
      </c>
      <c r="F142" s="173">
        <v>0</v>
      </c>
      <c r="G142" s="28">
        <v>1</v>
      </c>
      <c r="H142" s="173"/>
      <c r="I142" s="5" t="s">
        <v>194</v>
      </c>
      <c r="J142" s="5"/>
      <c r="K142" s="108"/>
      <c r="S142" s="117" t="s">
        <v>61</v>
      </c>
      <c r="T142" s="166" t="s">
        <v>101</v>
      </c>
      <c r="U142" s="166">
        <v>0</v>
      </c>
      <c r="V142" s="166">
        <v>0</v>
      </c>
      <c r="W142" s="166"/>
      <c r="X142" s="126">
        <f t="shared" si="39"/>
        <v>1</v>
      </c>
      <c r="Y142" s="125">
        <f t="shared" si="40"/>
        <v>1</v>
      </c>
    </row>
    <row r="143" spans="1:25" ht="15" thickBot="1" x14ac:dyDescent="0.35">
      <c r="A143" s="176"/>
      <c r="B143" s="173"/>
      <c r="C143" s="58"/>
      <c r="D143" s="178"/>
      <c r="E143" s="178"/>
      <c r="F143" s="178" t="s">
        <v>170</v>
      </c>
      <c r="G143" s="178" t="s">
        <v>171</v>
      </c>
      <c r="H143" s="178"/>
      <c r="I143" s="8"/>
      <c r="J143" s="5"/>
      <c r="K143" s="108"/>
      <c r="S143" s="117"/>
      <c r="T143" s="170"/>
      <c r="U143" s="170"/>
      <c r="V143" s="170"/>
      <c r="W143" s="170"/>
      <c r="X143" s="126"/>
      <c r="Y143" s="125"/>
    </row>
    <row r="144" spans="1:25" x14ac:dyDescent="0.3">
      <c r="A144" s="176"/>
      <c r="B144" s="173"/>
      <c r="C144" s="40">
        <v>30136</v>
      </c>
      <c r="D144" s="173" t="s">
        <v>61</v>
      </c>
      <c r="E144" s="173" t="s">
        <v>101</v>
      </c>
      <c r="F144" s="173">
        <v>0</v>
      </c>
      <c r="G144" s="173">
        <v>0</v>
      </c>
      <c r="H144" s="173"/>
      <c r="I144" s="5" t="s">
        <v>194</v>
      </c>
      <c r="J144" s="5"/>
      <c r="K144" s="108"/>
      <c r="S144" s="117"/>
      <c r="T144" s="166"/>
      <c r="U144" s="166"/>
      <c r="V144" s="166"/>
      <c r="W144" s="166"/>
      <c r="X144" s="126"/>
      <c r="Y144" s="125"/>
    </row>
    <row r="145" spans="1:25" x14ac:dyDescent="0.3">
      <c r="A145" s="156"/>
      <c r="B145" s="173"/>
      <c r="C145" s="173"/>
      <c r="D145" s="173"/>
      <c r="E145" s="173"/>
      <c r="F145" s="173"/>
      <c r="G145" s="5"/>
      <c r="H145" s="5"/>
      <c r="I145" s="5"/>
      <c r="J145" s="5"/>
      <c r="K145" s="108"/>
      <c r="S145" s="117"/>
      <c r="T145" s="166"/>
      <c r="U145" s="166"/>
      <c r="V145" s="166"/>
      <c r="W145" s="166"/>
      <c r="X145" s="126"/>
      <c r="Y145" s="125"/>
    </row>
    <row r="146" spans="1:25" x14ac:dyDescent="0.3">
      <c r="A146" s="156"/>
      <c r="B146" s="173"/>
      <c r="C146" s="173"/>
      <c r="D146" s="173"/>
      <c r="E146" s="173"/>
      <c r="F146" s="173"/>
      <c r="G146" s="5"/>
      <c r="H146" s="5"/>
      <c r="I146" s="5"/>
      <c r="J146" s="5"/>
      <c r="K146" s="108"/>
      <c r="S146" s="117"/>
      <c r="T146" s="170"/>
      <c r="U146" s="170"/>
      <c r="V146" s="170"/>
      <c r="W146" s="170"/>
      <c r="X146" s="126"/>
      <c r="Y146" s="125"/>
    </row>
    <row r="147" spans="1:25" ht="15" thickBot="1" x14ac:dyDescent="0.35">
      <c r="A147" s="176"/>
      <c r="B147" s="173"/>
      <c r="C147" s="173" t="s">
        <v>12</v>
      </c>
      <c r="D147" s="173" t="s">
        <v>13</v>
      </c>
      <c r="E147" s="173" t="s">
        <v>14</v>
      </c>
      <c r="F147" s="173" t="s">
        <v>15</v>
      </c>
      <c r="G147" s="5" t="s">
        <v>24</v>
      </c>
      <c r="H147" s="5" t="s">
        <v>25</v>
      </c>
      <c r="I147" s="5" t="s">
        <v>26</v>
      </c>
      <c r="J147" s="5" t="s">
        <v>27</v>
      </c>
      <c r="K147" s="108"/>
      <c r="S147" s="117"/>
      <c r="T147" s="166"/>
      <c r="U147" s="166"/>
      <c r="V147" s="166"/>
      <c r="W147" s="166"/>
      <c r="X147" s="126"/>
      <c r="Y147" s="125"/>
    </row>
    <row r="148" spans="1:25" s="13" customFormat="1" x14ac:dyDescent="0.3">
      <c r="A148" s="24"/>
      <c r="B148" s="14" t="s">
        <v>61</v>
      </c>
      <c r="C148" s="209">
        <f>COUNTIF($S$12:$T$17,"Polen")</f>
        <v>3</v>
      </c>
      <c r="D148" s="43">
        <f t="shared" ref="D148" si="43">SUMPRODUCT(($S$12:$T$17=B148)*($X$12:$Y$17=3))</f>
        <v>1</v>
      </c>
      <c r="E148" s="43">
        <f t="shared" ref="E148" si="44">SUMPRODUCT(($S$12:$T$17=B148)*($X$12:$Y$17=1))</f>
        <v>2</v>
      </c>
      <c r="F148" s="43">
        <f t="shared" ref="F148" si="45">SUMPRODUCT(($S$12:$T$17=B148)*($X$12:$Y$17=2))</f>
        <v>0</v>
      </c>
      <c r="G148" s="43">
        <f t="shared" ref="G148" si="46">SUMPRODUCT(($S$12:$S$17=B148)*($U$12:$U$17))+SUMPRODUCT(($T$12:$T$17=B148)*($V$12:$V$17))</f>
        <v>5</v>
      </c>
      <c r="H148" s="43">
        <f t="shared" ref="H148" si="47">SUMPRODUCT(($S$12:$S$17=B148)*($V$12:$V$17))+SUMPRODUCT(($T$12:$T$17=B148)*($U$12:$U$17))</f>
        <v>1</v>
      </c>
      <c r="I148" s="18">
        <f t="shared" ref="I148" si="48">(D148*2)+E148</f>
        <v>4</v>
      </c>
      <c r="J148" s="22">
        <f t="shared" ref="J148" si="49">(F148*2)+E148</f>
        <v>2</v>
      </c>
      <c r="K148" s="109"/>
      <c r="S148" s="117"/>
      <c r="T148" s="166"/>
      <c r="U148" s="166"/>
      <c r="V148" s="166"/>
      <c r="W148" s="166"/>
      <c r="X148" s="126"/>
      <c r="Y148" s="125"/>
    </row>
    <row r="149" spans="1:25" s="13" customFormat="1" x14ac:dyDescent="0.3">
      <c r="A149" s="24"/>
      <c r="B149" s="21" t="s">
        <v>21</v>
      </c>
      <c r="C149" s="17"/>
      <c r="D149" s="17"/>
      <c r="E149" s="17"/>
      <c r="F149" s="17"/>
      <c r="G149" s="18"/>
      <c r="H149" s="18"/>
      <c r="I149" s="18"/>
      <c r="J149" s="22"/>
      <c r="K149" s="109"/>
      <c r="S149" s="117"/>
      <c r="T149" s="166"/>
      <c r="U149" s="166"/>
      <c r="V149" s="166"/>
      <c r="W149" s="166"/>
      <c r="X149" s="126"/>
      <c r="Y149" s="125"/>
    </row>
    <row r="150" spans="1:25" s="13" customFormat="1" ht="15" thickBot="1" x14ac:dyDescent="0.35">
      <c r="A150" s="24"/>
      <c r="B150" s="29" t="s">
        <v>101</v>
      </c>
      <c r="C150" s="30"/>
      <c r="D150" s="30"/>
      <c r="E150" s="30"/>
      <c r="F150" s="30"/>
      <c r="G150" s="31"/>
      <c r="H150" s="31"/>
      <c r="I150" s="31"/>
      <c r="J150" s="32"/>
      <c r="K150" s="109"/>
      <c r="S150" s="117"/>
      <c r="T150" s="166"/>
      <c r="U150" s="166"/>
      <c r="V150" s="166"/>
      <c r="W150" s="166"/>
      <c r="X150" s="126"/>
      <c r="Y150" s="125"/>
    </row>
    <row r="151" spans="1:25" x14ac:dyDescent="0.3">
      <c r="A151" s="156"/>
      <c r="B151" s="173"/>
      <c r="C151" s="173"/>
      <c r="D151" s="173"/>
      <c r="E151" s="173"/>
      <c r="F151" s="173"/>
      <c r="G151" s="5"/>
      <c r="H151" s="5"/>
      <c r="I151" s="5"/>
      <c r="J151" s="5"/>
      <c r="K151" s="108"/>
      <c r="S151" s="117"/>
      <c r="T151" s="166"/>
      <c r="U151" s="166"/>
      <c r="V151" s="166"/>
      <c r="W151" s="166"/>
      <c r="X151" s="126"/>
      <c r="Y151" s="125"/>
    </row>
    <row r="152" spans="1:25" x14ac:dyDescent="0.3">
      <c r="A152" s="156"/>
      <c r="B152" s="173"/>
      <c r="C152" s="173"/>
      <c r="D152" s="173"/>
      <c r="E152" s="173"/>
      <c r="F152" s="173"/>
      <c r="G152" s="5"/>
      <c r="H152" s="5"/>
      <c r="I152" s="5"/>
      <c r="J152" s="5"/>
      <c r="K152" s="108"/>
      <c r="S152" s="117"/>
      <c r="T152" s="166"/>
      <c r="U152" s="166"/>
      <c r="V152" s="166"/>
      <c r="W152" s="166"/>
      <c r="X152" s="126"/>
      <c r="Y152" s="125"/>
    </row>
    <row r="153" spans="1:25" ht="21" x14ac:dyDescent="0.4">
      <c r="A153" s="156"/>
      <c r="B153" s="173"/>
      <c r="C153" s="173"/>
      <c r="D153" s="173"/>
      <c r="E153" s="173"/>
      <c r="F153" s="172" t="s">
        <v>164</v>
      </c>
      <c r="G153" s="5"/>
      <c r="H153" s="5"/>
      <c r="I153" s="5"/>
      <c r="J153" s="5"/>
      <c r="K153" s="108"/>
      <c r="S153" s="117"/>
      <c r="T153" s="166"/>
      <c r="U153" s="166"/>
      <c r="V153" s="166"/>
      <c r="W153" s="166"/>
      <c r="X153" s="126"/>
      <c r="Y153" s="125"/>
    </row>
    <row r="154" spans="1:25" x14ac:dyDescent="0.3">
      <c r="A154" s="156"/>
      <c r="B154" s="28"/>
      <c r="C154" s="173"/>
      <c r="D154" s="173"/>
      <c r="E154" s="173"/>
      <c r="F154" s="173"/>
      <c r="G154" s="5"/>
      <c r="H154" s="5"/>
      <c r="I154" s="5"/>
      <c r="J154" s="5"/>
      <c r="K154" s="108"/>
      <c r="S154" s="117"/>
      <c r="T154" s="170"/>
      <c r="U154" s="170"/>
      <c r="V154" s="170"/>
      <c r="W154" s="170"/>
      <c r="X154" s="126"/>
      <c r="Y154" s="125"/>
    </row>
    <row r="155" spans="1:25" ht="15" thickBot="1" x14ac:dyDescent="0.35">
      <c r="A155" s="176"/>
      <c r="B155" s="173"/>
      <c r="C155" s="58">
        <v>30131</v>
      </c>
      <c r="D155" s="178" t="s">
        <v>88</v>
      </c>
      <c r="E155" s="178" t="s">
        <v>74</v>
      </c>
      <c r="F155" s="178">
        <v>0</v>
      </c>
      <c r="G155" s="178">
        <v>0</v>
      </c>
      <c r="H155" s="178"/>
      <c r="I155" s="8" t="s">
        <v>208</v>
      </c>
      <c r="J155" s="5"/>
      <c r="K155" s="108"/>
      <c r="S155" s="117" t="s">
        <v>88</v>
      </c>
      <c r="T155" s="166" t="s">
        <v>74</v>
      </c>
      <c r="U155" s="166">
        <v>0</v>
      </c>
      <c r="V155" s="166">
        <v>0</v>
      </c>
      <c r="W155" s="166"/>
      <c r="X155" s="126">
        <f t="shared" ref="X155:X157" si="50">(IF(U155&gt;V155,3,IF(U155=V155,1,2)))</f>
        <v>1</v>
      </c>
      <c r="Y155" s="125">
        <f t="shared" ref="Y155:Y157" si="51">(IF(V155&gt;U155,3,IF(U155=V155,1,2)))</f>
        <v>1</v>
      </c>
    </row>
    <row r="156" spans="1:25" x14ac:dyDescent="0.3">
      <c r="A156" s="176"/>
      <c r="B156" s="173"/>
      <c r="C156" s="40">
        <v>30134</v>
      </c>
      <c r="D156" s="28" t="s">
        <v>88</v>
      </c>
      <c r="E156" s="173" t="s">
        <v>35</v>
      </c>
      <c r="F156" s="28">
        <v>2</v>
      </c>
      <c r="G156" s="173">
        <v>1</v>
      </c>
      <c r="H156" s="173"/>
      <c r="I156" s="5" t="s">
        <v>208</v>
      </c>
      <c r="J156" s="5"/>
      <c r="K156" s="108"/>
      <c r="S156" s="117" t="s">
        <v>88</v>
      </c>
      <c r="T156" s="166" t="s">
        <v>35</v>
      </c>
      <c r="U156" s="166">
        <v>2</v>
      </c>
      <c r="V156" s="166">
        <v>1</v>
      </c>
      <c r="W156" s="166"/>
      <c r="X156" s="126">
        <f t="shared" si="50"/>
        <v>3</v>
      </c>
      <c r="Y156" s="125">
        <f t="shared" si="51"/>
        <v>2</v>
      </c>
    </row>
    <row r="157" spans="1:25" ht="15" thickBot="1" x14ac:dyDescent="0.35">
      <c r="A157" s="176"/>
      <c r="B157" s="173"/>
      <c r="C157" s="58"/>
      <c r="D157" s="178"/>
      <c r="E157" s="178"/>
      <c r="F157" s="178" t="s">
        <v>170</v>
      </c>
      <c r="G157" s="178" t="s">
        <v>171</v>
      </c>
      <c r="H157" s="178"/>
      <c r="I157" s="8"/>
      <c r="J157" s="5"/>
      <c r="K157" s="108"/>
      <c r="S157" s="117" t="s">
        <v>35</v>
      </c>
      <c r="T157" s="170" t="s">
        <v>74</v>
      </c>
      <c r="U157" s="170">
        <v>0</v>
      </c>
      <c r="V157" s="170">
        <v>0</v>
      </c>
      <c r="W157" s="170"/>
      <c r="X157" s="126">
        <f t="shared" si="50"/>
        <v>1</v>
      </c>
      <c r="Y157" s="125">
        <f t="shared" si="51"/>
        <v>1</v>
      </c>
    </row>
    <row r="158" spans="1:25" x14ac:dyDescent="0.3">
      <c r="A158" s="176"/>
      <c r="B158" s="173"/>
      <c r="C158" s="40">
        <v>30137</v>
      </c>
      <c r="D158" s="173" t="s">
        <v>35</v>
      </c>
      <c r="E158" s="173" t="s">
        <v>74</v>
      </c>
      <c r="F158" s="173">
        <v>0</v>
      </c>
      <c r="G158" s="173">
        <v>0</v>
      </c>
      <c r="H158" s="173"/>
      <c r="I158" s="5" t="s">
        <v>208</v>
      </c>
      <c r="J158" s="5"/>
      <c r="K158" s="108"/>
      <c r="S158" s="117"/>
      <c r="T158" s="166"/>
      <c r="U158" s="166"/>
      <c r="V158" s="166"/>
      <c r="W158" s="166"/>
      <c r="X158" s="126"/>
      <c r="Y158" s="125"/>
    </row>
    <row r="159" spans="1:25" x14ac:dyDescent="0.3">
      <c r="A159" s="156"/>
      <c r="B159" s="173"/>
      <c r="C159" s="173"/>
      <c r="D159" s="173"/>
      <c r="E159" s="173"/>
      <c r="F159" s="173"/>
      <c r="G159" s="5"/>
      <c r="H159" s="5"/>
      <c r="I159" s="5"/>
      <c r="J159" s="5"/>
      <c r="K159" s="108"/>
      <c r="S159" s="117"/>
      <c r="T159" s="166"/>
      <c r="U159" s="166"/>
      <c r="V159" s="166"/>
      <c r="W159" s="166"/>
      <c r="X159" s="126"/>
      <c r="Y159" s="125"/>
    </row>
    <row r="160" spans="1:25" x14ac:dyDescent="0.3">
      <c r="A160" s="156"/>
      <c r="B160" s="173"/>
      <c r="C160" s="173"/>
      <c r="D160" s="173"/>
      <c r="E160" s="173"/>
      <c r="F160" s="173"/>
      <c r="G160" s="5"/>
      <c r="H160" s="5"/>
      <c r="I160" s="5"/>
      <c r="J160" s="5"/>
      <c r="K160" s="108"/>
      <c r="S160" s="117"/>
      <c r="T160" s="170"/>
      <c r="U160" s="170"/>
      <c r="V160" s="170"/>
      <c r="W160" s="170"/>
      <c r="X160" s="126"/>
      <c r="Y160" s="125"/>
    </row>
    <row r="161" spans="1:25" ht="15" thickBot="1" x14ac:dyDescent="0.35">
      <c r="A161" s="176"/>
      <c r="B161" s="173"/>
      <c r="C161" s="173" t="s">
        <v>12</v>
      </c>
      <c r="D161" s="173" t="s">
        <v>13</v>
      </c>
      <c r="E161" s="173" t="s">
        <v>14</v>
      </c>
      <c r="F161" s="173" t="s">
        <v>15</v>
      </c>
      <c r="G161" s="5" t="s">
        <v>24</v>
      </c>
      <c r="H161" s="5" t="s">
        <v>25</v>
      </c>
      <c r="I161" s="5" t="s">
        <v>26</v>
      </c>
      <c r="J161" s="5" t="s">
        <v>27</v>
      </c>
      <c r="K161" s="108"/>
      <c r="S161" s="117"/>
      <c r="T161" s="166"/>
      <c r="U161" s="166"/>
      <c r="V161" s="166"/>
      <c r="W161" s="166"/>
      <c r="X161" s="126"/>
      <c r="Y161" s="125"/>
    </row>
    <row r="162" spans="1:25" s="13" customFormat="1" x14ac:dyDescent="0.3">
      <c r="A162" s="24"/>
      <c r="B162" s="14" t="s">
        <v>88</v>
      </c>
      <c r="C162" s="209">
        <f>COUNTIF($S$12:$T$17,"Polen")</f>
        <v>3</v>
      </c>
      <c r="D162" s="43">
        <f t="shared" ref="D162" si="52">SUMPRODUCT(($S$12:$T$17=B162)*($X$12:$Y$17=3))</f>
        <v>0</v>
      </c>
      <c r="E162" s="43">
        <f t="shared" ref="E162" si="53">SUMPRODUCT(($S$12:$T$17=B162)*($X$12:$Y$17=1))</f>
        <v>0</v>
      </c>
      <c r="F162" s="43">
        <f t="shared" ref="F162" si="54">SUMPRODUCT(($S$12:$T$17=B162)*($X$12:$Y$17=2))</f>
        <v>0</v>
      </c>
      <c r="G162" s="43">
        <f t="shared" ref="G162" si="55">SUMPRODUCT(($S$12:$S$17=B162)*($U$12:$U$17))+SUMPRODUCT(($T$12:$T$17=B162)*($V$12:$V$17))</f>
        <v>0</v>
      </c>
      <c r="H162" s="43">
        <f t="shared" ref="H162" si="56">SUMPRODUCT(($S$12:$S$17=B162)*($V$12:$V$17))+SUMPRODUCT(($T$12:$T$17=B162)*($U$12:$U$17))</f>
        <v>0</v>
      </c>
      <c r="I162" s="18">
        <f t="shared" ref="I162" si="57">(D162*2)+E162</f>
        <v>0</v>
      </c>
      <c r="J162" s="22">
        <f t="shared" ref="J162" si="58">(F162*2)+E162</f>
        <v>0</v>
      </c>
      <c r="K162" s="109"/>
      <c r="S162" s="117"/>
      <c r="T162" s="166"/>
      <c r="U162" s="166"/>
      <c r="V162" s="166"/>
      <c r="W162" s="166"/>
      <c r="X162" s="166"/>
      <c r="Y162" s="118"/>
    </row>
    <row r="163" spans="1:25" s="13" customFormat="1" x14ac:dyDescent="0.3">
      <c r="A163" s="24"/>
      <c r="B163" s="21" t="s">
        <v>74</v>
      </c>
      <c r="C163" s="17"/>
      <c r="D163" s="17"/>
      <c r="E163" s="17"/>
      <c r="F163" s="17"/>
      <c r="G163" s="18"/>
      <c r="H163" s="18"/>
      <c r="I163" s="18"/>
      <c r="J163" s="22"/>
      <c r="K163" s="109"/>
      <c r="S163" s="117"/>
      <c r="T163" s="166"/>
      <c r="U163" s="166"/>
      <c r="V163" s="166"/>
      <c r="W163" s="166"/>
      <c r="X163" s="166"/>
      <c r="Y163" s="118"/>
    </row>
    <row r="164" spans="1:25" s="13" customFormat="1" ht="15" thickBot="1" x14ac:dyDescent="0.35">
      <c r="A164" s="24"/>
      <c r="B164" s="29" t="s">
        <v>35</v>
      </c>
      <c r="C164" s="30"/>
      <c r="D164" s="30"/>
      <c r="E164" s="30"/>
      <c r="F164" s="30"/>
      <c r="G164" s="31"/>
      <c r="H164" s="31"/>
      <c r="I164" s="31"/>
      <c r="J164" s="32"/>
      <c r="K164" s="109"/>
      <c r="S164" s="117"/>
      <c r="T164" s="166"/>
      <c r="U164" s="166"/>
      <c r="V164" s="166"/>
      <c r="W164" s="166"/>
      <c r="X164" s="126"/>
      <c r="Y164" s="125"/>
    </row>
    <row r="165" spans="1:25" x14ac:dyDescent="0.3">
      <c r="A165" s="156"/>
      <c r="B165" s="173"/>
      <c r="C165" s="173"/>
      <c r="D165" s="173"/>
      <c r="E165" s="173"/>
      <c r="F165" s="173"/>
      <c r="G165" s="5"/>
      <c r="H165" s="5"/>
      <c r="I165" s="5"/>
      <c r="J165" s="5"/>
      <c r="K165" s="108"/>
      <c r="S165" s="117"/>
      <c r="T165" s="166"/>
      <c r="U165" s="166"/>
      <c r="V165" s="166"/>
      <c r="W165" s="166"/>
      <c r="X165" s="126"/>
      <c r="Y165" s="125"/>
    </row>
    <row r="166" spans="1:25" x14ac:dyDescent="0.3">
      <c r="A166" s="156"/>
      <c r="B166" s="173"/>
      <c r="C166" s="173"/>
      <c r="D166" s="173"/>
      <c r="E166" s="173"/>
      <c r="F166" s="173"/>
      <c r="G166" s="5"/>
      <c r="H166" s="5"/>
      <c r="I166" s="5"/>
      <c r="J166" s="5"/>
      <c r="K166" s="108"/>
      <c r="S166" s="117"/>
      <c r="T166" s="166"/>
      <c r="U166" s="166"/>
      <c r="V166" s="166"/>
      <c r="W166" s="166"/>
      <c r="X166" s="126"/>
      <c r="Y166" s="125"/>
    </row>
    <row r="167" spans="1:25" ht="21" x14ac:dyDescent="0.4">
      <c r="A167" s="156"/>
      <c r="B167" s="173"/>
      <c r="C167" s="173"/>
      <c r="D167" s="173"/>
      <c r="E167" s="173"/>
      <c r="F167" s="172" t="s">
        <v>206</v>
      </c>
      <c r="G167" s="5"/>
      <c r="H167" s="5"/>
      <c r="I167" s="5"/>
      <c r="J167" s="5"/>
      <c r="K167" s="108"/>
      <c r="S167" s="117"/>
      <c r="T167" s="166"/>
      <c r="U167" s="166"/>
      <c r="V167" s="166"/>
      <c r="W167" s="166"/>
      <c r="X167" s="126"/>
      <c r="Y167" s="125"/>
    </row>
    <row r="168" spans="1:25" x14ac:dyDescent="0.3">
      <c r="A168" s="156"/>
      <c r="B168" s="28"/>
      <c r="C168" s="173"/>
      <c r="D168" s="173"/>
      <c r="E168" s="173"/>
      <c r="F168" s="173"/>
      <c r="G168" s="5"/>
      <c r="H168" s="5"/>
      <c r="I168" s="5"/>
      <c r="J168" s="5"/>
      <c r="K168" s="108"/>
      <c r="S168" s="117"/>
      <c r="T168" s="170"/>
      <c r="U168" s="170"/>
      <c r="V168" s="170"/>
      <c r="W168" s="170"/>
      <c r="X168" s="126"/>
      <c r="Y168" s="125"/>
    </row>
    <row r="169" spans="1:25" x14ac:dyDescent="0.3">
      <c r="A169" s="176"/>
      <c r="B169" s="173"/>
      <c r="C169" s="40">
        <v>30131</v>
      </c>
      <c r="D169" s="28" t="s">
        <v>37</v>
      </c>
      <c r="E169" s="173" t="s">
        <v>5</v>
      </c>
      <c r="F169" s="28">
        <v>2</v>
      </c>
      <c r="G169" s="173">
        <v>1</v>
      </c>
      <c r="H169" s="173"/>
      <c r="I169" s="5" t="s">
        <v>209</v>
      </c>
      <c r="J169" s="5"/>
      <c r="K169" s="108"/>
      <c r="S169" s="117" t="s">
        <v>37</v>
      </c>
      <c r="T169" s="166" t="s">
        <v>5</v>
      </c>
      <c r="U169" s="166">
        <v>2</v>
      </c>
      <c r="V169" s="166">
        <v>1</v>
      </c>
      <c r="W169" s="166"/>
      <c r="X169" s="126">
        <f t="shared" ref="X169:X171" si="59">(IF(U169&gt;V169,3,IF(U169=V169,1,2)))</f>
        <v>3</v>
      </c>
      <c r="Y169" s="125">
        <f t="shared" ref="Y169:Y171" si="60">(IF(V169&gt;U169,3,IF(U169=V169,1,2)))</f>
        <v>2</v>
      </c>
    </row>
    <row r="170" spans="1:25" ht="15" thickBot="1" x14ac:dyDescent="0.35">
      <c r="A170" s="176"/>
      <c r="B170" s="173"/>
      <c r="C170" s="58"/>
      <c r="D170" s="178"/>
      <c r="E170" s="178"/>
      <c r="F170" s="178" t="s">
        <v>170</v>
      </c>
      <c r="G170" s="178" t="s">
        <v>171</v>
      </c>
      <c r="H170" s="178"/>
      <c r="I170" s="8"/>
      <c r="J170" s="5"/>
      <c r="K170" s="108"/>
      <c r="S170" s="117" t="s">
        <v>9</v>
      </c>
      <c r="T170" s="170" t="s">
        <v>5</v>
      </c>
      <c r="U170" s="170">
        <v>3</v>
      </c>
      <c r="V170" s="170">
        <v>1</v>
      </c>
      <c r="W170" s="170"/>
      <c r="X170" s="126">
        <f t="shared" ref="X170" si="61">(IF(U170&gt;V170,3,IF(U170=V170,1,2)))</f>
        <v>3</v>
      </c>
      <c r="Y170" s="125">
        <f t="shared" ref="Y170" si="62">(IF(V170&gt;U170,3,IF(U170=V170,1,2)))</f>
        <v>2</v>
      </c>
    </row>
    <row r="171" spans="1:25" x14ac:dyDescent="0.3">
      <c r="A171" s="176"/>
      <c r="B171" s="173"/>
      <c r="C171" s="40">
        <v>30134</v>
      </c>
      <c r="D171" s="28" t="s">
        <v>9</v>
      </c>
      <c r="E171" s="173" t="s">
        <v>5</v>
      </c>
      <c r="F171" s="28">
        <v>3</v>
      </c>
      <c r="G171" s="173">
        <v>1</v>
      </c>
      <c r="H171" s="173"/>
      <c r="I171" s="5" t="s">
        <v>209</v>
      </c>
      <c r="J171" s="5"/>
      <c r="K171" s="108"/>
      <c r="S171" s="117" t="s">
        <v>9</v>
      </c>
      <c r="T171" s="166" t="s">
        <v>37</v>
      </c>
      <c r="U171" s="166">
        <v>2</v>
      </c>
      <c r="V171" s="166">
        <v>3</v>
      </c>
      <c r="W171" s="166"/>
      <c r="X171" s="126">
        <f t="shared" si="59"/>
        <v>2</v>
      </c>
      <c r="Y171" s="125">
        <f t="shared" si="60"/>
        <v>3</v>
      </c>
    </row>
    <row r="172" spans="1:25" ht="15" thickBot="1" x14ac:dyDescent="0.35">
      <c r="A172" s="176"/>
      <c r="B172" s="173"/>
      <c r="C172" s="58"/>
      <c r="D172" s="178"/>
      <c r="E172" s="178"/>
      <c r="F172" s="178" t="s">
        <v>172</v>
      </c>
      <c r="G172" s="178" t="s">
        <v>171</v>
      </c>
      <c r="H172" s="178"/>
      <c r="I172" s="8"/>
      <c r="J172" s="5"/>
      <c r="K172" s="108"/>
      <c r="S172" s="117"/>
      <c r="T172" s="170"/>
      <c r="U172" s="170"/>
      <c r="V172" s="170"/>
      <c r="W172" s="170"/>
      <c r="X172" s="126"/>
      <c r="Y172" s="125"/>
    </row>
    <row r="173" spans="1:25" x14ac:dyDescent="0.3">
      <c r="A173" s="176"/>
      <c r="B173" s="173"/>
      <c r="C173" s="40">
        <v>30137</v>
      </c>
      <c r="D173" s="173" t="s">
        <v>9</v>
      </c>
      <c r="E173" s="28" t="s">
        <v>37</v>
      </c>
      <c r="F173" s="173">
        <v>2</v>
      </c>
      <c r="G173" s="28">
        <v>3</v>
      </c>
      <c r="H173" s="173"/>
      <c r="I173" s="5" t="s">
        <v>209</v>
      </c>
      <c r="J173" s="5"/>
      <c r="K173" s="108"/>
      <c r="S173" s="117"/>
      <c r="T173" s="166"/>
      <c r="U173" s="166"/>
      <c r="V173" s="166"/>
      <c r="W173" s="166"/>
      <c r="X173" s="166"/>
      <c r="Y173" s="118"/>
    </row>
    <row r="174" spans="1:25" x14ac:dyDescent="0.3">
      <c r="A174" s="156"/>
      <c r="B174" s="173"/>
      <c r="C174" s="173"/>
      <c r="D174" s="173"/>
      <c r="E174" s="173"/>
      <c r="F174" s="173" t="s">
        <v>172</v>
      </c>
      <c r="G174" s="5" t="s">
        <v>173</v>
      </c>
      <c r="H174" s="5"/>
      <c r="I174" s="5"/>
      <c r="J174" s="5"/>
      <c r="K174" s="108"/>
      <c r="S174" s="117"/>
      <c r="T174" s="166"/>
      <c r="U174" s="166"/>
      <c r="V174" s="166"/>
      <c r="W174" s="166"/>
      <c r="X174" s="166"/>
      <c r="Y174" s="118"/>
    </row>
    <row r="175" spans="1:25" x14ac:dyDescent="0.3">
      <c r="A175" s="156"/>
      <c r="B175" s="173"/>
      <c r="C175" s="173"/>
      <c r="D175" s="173"/>
      <c r="E175" s="173"/>
      <c r="F175" s="173"/>
      <c r="G175" s="5"/>
      <c r="H175" s="5"/>
      <c r="I175" s="5"/>
      <c r="J175" s="5"/>
      <c r="K175" s="108"/>
      <c r="S175" s="117"/>
      <c r="T175" s="170"/>
      <c r="U175" s="170"/>
      <c r="V175" s="170"/>
      <c r="W175" s="170"/>
      <c r="X175" s="170"/>
      <c r="Y175" s="118"/>
    </row>
    <row r="176" spans="1:25" ht="15" thickBot="1" x14ac:dyDescent="0.35">
      <c r="A176" s="176"/>
      <c r="B176" s="173"/>
      <c r="C176" s="173" t="s">
        <v>12</v>
      </c>
      <c r="D176" s="173" t="s">
        <v>13</v>
      </c>
      <c r="E176" s="173" t="s">
        <v>14</v>
      </c>
      <c r="F176" s="173" t="s">
        <v>15</v>
      </c>
      <c r="G176" s="5" t="s">
        <v>24</v>
      </c>
      <c r="H176" s="5" t="s">
        <v>25</v>
      </c>
      <c r="I176" s="5" t="s">
        <v>26</v>
      </c>
      <c r="J176" s="5" t="s">
        <v>27</v>
      </c>
      <c r="K176" s="108"/>
      <c r="S176" s="117"/>
      <c r="T176" s="166"/>
      <c r="U176" s="166"/>
      <c r="V176" s="166"/>
      <c r="W176" s="166"/>
      <c r="X176" s="166"/>
      <c r="Y176" s="118"/>
    </row>
    <row r="177" spans="1:25" s="13" customFormat="1" x14ac:dyDescent="0.3">
      <c r="A177" s="24"/>
      <c r="B177" s="14" t="s">
        <v>37</v>
      </c>
      <c r="C177" s="209">
        <f>COUNTIF($S$12:$T$17,"Polen")</f>
        <v>3</v>
      </c>
      <c r="D177" s="43">
        <f t="shared" ref="D177" si="63">SUMPRODUCT(($S$12:$T$17=B177)*($X$12:$Y$17=3))</f>
        <v>0</v>
      </c>
      <c r="E177" s="43">
        <f t="shared" ref="E177" si="64">SUMPRODUCT(($S$12:$T$17=B177)*($X$12:$Y$17=1))</f>
        <v>3</v>
      </c>
      <c r="F177" s="43">
        <f t="shared" ref="F177" si="65">SUMPRODUCT(($S$12:$T$17=B177)*($X$12:$Y$17=2))</f>
        <v>0</v>
      </c>
      <c r="G177" s="43">
        <f t="shared" ref="G177" si="66">SUMPRODUCT(($S$12:$S$17=B177)*($U$12:$U$17))+SUMPRODUCT(($T$12:$T$17=B177)*($V$12:$V$17))</f>
        <v>2</v>
      </c>
      <c r="H177" s="43">
        <f t="shared" ref="H177" si="67">SUMPRODUCT(($S$12:$S$17=B177)*($V$12:$V$17))+SUMPRODUCT(($T$12:$T$17=B177)*($U$12:$U$17))</f>
        <v>2</v>
      </c>
      <c r="I177" s="18">
        <f t="shared" ref="I177" si="68">(D177*2)+E177</f>
        <v>3</v>
      </c>
      <c r="J177" s="22">
        <f t="shared" ref="J177" si="69">(F177*2)+E177</f>
        <v>3</v>
      </c>
      <c r="K177" s="109"/>
      <c r="S177" s="117"/>
      <c r="T177" s="166"/>
      <c r="U177" s="166"/>
      <c r="V177" s="166"/>
      <c r="W177" s="166"/>
      <c r="X177" s="126"/>
      <c r="Y177" s="125"/>
    </row>
    <row r="178" spans="1:25" s="13" customFormat="1" x14ac:dyDescent="0.3">
      <c r="A178" s="24"/>
      <c r="B178" s="21" t="s">
        <v>5</v>
      </c>
      <c r="C178" s="17"/>
      <c r="D178" s="17"/>
      <c r="E178" s="17"/>
      <c r="F178" s="17"/>
      <c r="G178" s="18"/>
      <c r="H178" s="18"/>
      <c r="I178" s="18"/>
      <c r="J178" s="22"/>
      <c r="K178" s="109"/>
      <c r="S178" s="117"/>
      <c r="T178" s="166"/>
      <c r="U178" s="166"/>
      <c r="V178" s="166"/>
      <c r="W178" s="166"/>
      <c r="X178" s="126"/>
      <c r="Y178" s="125"/>
    </row>
    <row r="179" spans="1:25" s="13" customFormat="1" ht="15" thickBot="1" x14ac:dyDescent="0.35">
      <c r="A179" s="24"/>
      <c r="B179" s="29" t="s">
        <v>9</v>
      </c>
      <c r="C179" s="30"/>
      <c r="D179" s="30"/>
      <c r="E179" s="30"/>
      <c r="F179" s="30"/>
      <c r="G179" s="31"/>
      <c r="H179" s="31"/>
      <c r="I179" s="31"/>
      <c r="J179" s="32"/>
      <c r="K179" s="109"/>
      <c r="S179" s="117"/>
      <c r="T179" s="166"/>
      <c r="U179" s="166"/>
      <c r="V179" s="166"/>
      <c r="W179" s="166"/>
      <c r="X179" s="126"/>
      <c r="Y179" s="125"/>
    </row>
    <row r="180" spans="1:25" x14ac:dyDescent="0.3">
      <c r="A180" s="156"/>
      <c r="B180" s="173"/>
      <c r="C180" s="173"/>
      <c r="D180" s="173"/>
      <c r="E180" s="173"/>
      <c r="F180" s="173"/>
      <c r="G180" s="5"/>
      <c r="H180" s="5"/>
      <c r="I180" s="5"/>
      <c r="J180" s="5"/>
      <c r="K180" s="108"/>
      <c r="S180" s="117"/>
      <c r="T180" s="166"/>
      <c r="U180" s="166"/>
      <c r="V180" s="166"/>
      <c r="W180" s="166"/>
      <c r="X180" s="126"/>
      <c r="Y180" s="125"/>
    </row>
    <row r="181" spans="1:25" x14ac:dyDescent="0.3">
      <c r="A181" s="156"/>
      <c r="B181" s="173"/>
      <c r="C181" s="173"/>
      <c r="D181" s="173"/>
      <c r="E181" s="173"/>
      <c r="F181" s="173"/>
      <c r="G181" s="5"/>
      <c r="H181" s="5"/>
      <c r="I181" s="5"/>
      <c r="J181" s="5"/>
      <c r="K181" s="108"/>
      <c r="S181" s="117"/>
      <c r="T181" s="166"/>
      <c r="U181" s="166"/>
      <c r="V181" s="166"/>
      <c r="W181" s="166"/>
      <c r="X181" s="126"/>
      <c r="Y181" s="125"/>
    </row>
    <row r="182" spans="1:25" ht="21" x14ac:dyDescent="0.4">
      <c r="A182" s="156"/>
      <c r="B182" s="173"/>
      <c r="C182" s="173"/>
      <c r="D182" s="173"/>
      <c r="E182" s="173"/>
      <c r="F182" s="172" t="s">
        <v>207</v>
      </c>
      <c r="G182" s="5"/>
      <c r="H182" s="5"/>
      <c r="I182" s="5"/>
      <c r="J182" s="5"/>
      <c r="K182" s="108"/>
      <c r="S182" s="117"/>
      <c r="T182" s="166"/>
      <c r="U182" s="166"/>
      <c r="V182" s="166"/>
      <c r="W182" s="166"/>
      <c r="X182" s="126"/>
      <c r="Y182" s="125"/>
    </row>
    <row r="183" spans="1:25" x14ac:dyDescent="0.3">
      <c r="A183" s="156"/>
      <c r="B183" s="28"/>
      <c r="C183" s="173"/>
      <c r="D183" s="173"/>
      <c r="E183" s="173"/>
      <c r="F183" s="173"/>
      <c r="G183" s="5"/>
      <c r="H183" s="5"/>
      <c r="I183" s="5"/>
      <c r="J183" s="5"/>
      <c r="K183" s="108"/>
      <c r="S183" s="117"/>
      <c r="T183" s="170"/>
      <c r="U183" s="170"/>
      <c r="V183" s="170"/>
      <c r="W183" s="170"/>
      <c r="X183" s="126"/>
      <c r="Y183" s="125"/>
    </row>
    <row r="184" spans="1:25" x14ac:dyDescent="0.3">
      <c r="A184" s="176"/>
      <c r="B184" s="173"/>
      <c r="C184" s="40">
        <v>30130</v>
      </c>
      <c r="D184" s="173" t="s">
        <v>29</v>
      </c>
      <c r="E184" s="28" t="s">
        <v>3</v>
      </c>
      <c r="F184" s="173">
        <v>0</v>
      </c>
      <c r="G184" s="28">
        <v>1</v>
      </c>
      <c r="H184" s="173"/>
      <c r="I184" s="5" t="s">
        <v>210</v>
      </c>
      <c r="J184" s="5"/>
      <c r="K184" s="108"/>
      <c r="S184" s="117" t="s">
        <v>29</v>
      </c>
      <c r="T184" s="166" t="s">
        <v>3</v>
      </c>
      <c r="U184" s="166">
        <v>0</v>
      </c>
      <c r="V184" s="166">
        <v>1</v>
      </c>
      <c r="W184" s="166"/>
      <c r="X184" s="126">
        <f t="shared" ref="X184:X186" si="70">(IF(U184&gt;V184,3,IF(U184=V184,1,2)))</f>
        <v>2</v>
      </c>
      <c r="Y184" s="125">
        <f t="shared" ref="Y184:Y186" si="71">(IF(V184&gt;U184,3,IF(U184=V184,1,2)))</f>
        <v>3</v>
      </c>
    </row>
    <row r="185" spans="1:25" ht="15" thickBot="1" x14ac:dyDescent="0.35">
      <c r="A185" s="176"/>
      <c r="B185" s="173"/>
      <c r="C185" s="58"/>
      <c r="D185" s="178"/>
      <c r="E185" s="178"/>
      <c r="F185" s="178" t="s">
        <v>170</v>
      </c>
      <c r="G185" s="178" t="s">
        <v>183</v>
      </c>
      <c r="H185" s="178"/>
      <c r="I185" s="8"/>
      <c r="J185" s="5"/>
      <c r="K185" s="108"/>
      <c r="S185" s="117" t="s">
        <v>29</v>
      </c>
      <c r="T185" s="170" t="s">
        <v>98</v>
      </c>
      <c r="U185" s="170">
        <v>2</v>
      </c>
      <c r="V185" s="170">
        <v>2</v>
      </c>
      <c r="W185" s="170"/>
      <c r="X185" s="126">
        <f t="shared" si="70"/>
        <v>1</v>
      </c>
      <c r="Y185" s="125">
        <f t="shared" si="71"/>
        <v>1</v>
      </c>
    </row>
    <row r="186" spans="1:25" x14ac:dyDescent="0.3">
      <c r="A186" s="176"/>
      <c r="B186" s="173"/>
      <c r="C186" s="40">
        <v>30133</v>
      </c>
      <c r="D186" s="173" t="s">
        <v>29</v>
      </c>
      <c r="E186" s="173" t="s">
        <v>98</v>
      </c>
      <c r="F186" s="173">
        <v>2</v>
      </c>
      <c r="G186" s="173">
        <v>2</v>
      </c>
      <c r="H186" s="173"/>
      <c r="I186" s="5" t="s">
        <v>210</v>
      </c>
      <c r="J186" s="5"/>
      <c r="K186" s="108"/>
      <c r="S186" s="117" t="s">
        <v>98</v>
      </c>
      <c r="T186" s="166" t="s">
        <v>3</v>
      </c>
      <c r="U186" s="166">
        <v>1</v>
      </c>
      <c r="V186" s="166">
        <v>4</v>
      </c>
      <c r="W186" s="166"/>
      <c r="X186" s="126">
        <f t="shared" si="70"/>
        <v>2</v>
      </c>
      <c r="Y186" s="125">
        <f t="shared" si="71"/>
        <v>3</v>
      </c>
    </row>
    <row r="187" spans="1:25" ht="15" thickBot="1" x14ac:dyDescent="0.35">
      <c r="A187" s="176"/>
      <c r="B187" s="173"/>
      <c r="C187" s="58"/>
      <c r="D187" s="178"/>
      <c r="E187" s="178"/>
      <c r="F187" s="178" t="s">
        <v>170</v>
      </c>
      <c r="G187" s="178" t="s">
        <v>183</v>
      </c>
      <c r="H187" s="178"/>
      <c r="I187" s="8"/>
      <c r="J187" s="5"/>
      <c r="K187" s="108"/>
      <c r="S187" s="117"/>
      <c r="T187" s="170"/>
      <c r="U187" s="170"/>
      <c r="V187" s="170"/>
      <c r="W187" s="170"/>
      <c r="X187" s="126"/>
      <c r="Y187" s="125"/>
    </row>
    <row r="188" spans="1:25" x14ac:dyDescent="0.3">
      <c r="A188" s="176"/>
      <c r="B188" s="173"/>
      <c r="C188" s="40">
        <v>30136</v>
      </c>
      <c r="D188" s="173" t="s">
        <v>98</v>
      </c>
      <c r="E188" s="28" t="s">
        <v>3</v>
      </c>
      <c r="F188" s="173">
        <v>1</v>
      </c>
      <c r="G188" s="28">
        <v>4</v>
      </c>
      <c r="H188" s="173"/>
      <c r="I188" s="5" t="s">
        <v>210</v>
      </c>
      <c r="J188" s="5"/>
      <c r="K188" s="108"/>
      <c r="S188" s="117"/>
      <c r="T188" s="166"/>
      <c r="U188" s="166"/>
      <c r="V188" s="166"/>
      <c r="W188" s="166"/>
      <c r="X188" s="126"/>
      <c r="Y188" s="125"/>
    </row>
    <row r="189" spans="1:25" x14ac:dyDescent="0.3">
      <c r="A189" s="156"/>
      <c r="B189" s="173"/>
      <c r="C189" s="173"/>
      <c r="D189" s="173"/>
      <c r="E189" s="173"/>
      <c r="F189" s="173" t="s">
        <v>170</v>
      </c>
      <c r="G189" s="5" t="s">
        <v>183</v>
      </c>
      <c r="H189" s="5"/>
      <c r="I189" s="5"/>
      <c r="J189" s="5"/>
      <c r="K189" s="108"/>
      <c r="S189" s="117"/>
      <c r="T189" s="166"/>
      <c r="U189" s="166"/>
      <c r="V189" s="166"/>
      <c r="W189" s="166"/>
      <c r="X189" s="126"/>
      <c r="Y189" s="125"/>
    </row>
    <row r="190" spans="1:25" x14ac:dyDescent="0.3">
      <c r="A190" s="156"/>
      <c r="B190" s="173"/>
      <c r="C190" s="173"/>
      <c r="D190" s="173"/>
      <c r="E190" s="173"/>
      <c r="F190" s="173"/>
      <c r="G190" s="5"/>
      <c r="H190" s="5"/>
      <c r="I190" s="5"/>
      <c r="J190" s="5"/>
      <c r="K190" s="108"/>
      <c r="S190" s="117"/>
      <c r="T190" s="170"/>
      <c r="U190" s="170"/>
      <c r="V190" s="170"/>
      <c r="W190" s="170"/>
      <c r="X190" s="126"/>
      <c r="Y190" s="125"/>
    </row>
    <row r="191" spans="1:25" ht="15" thickBot="1" x14ac:dyDescent="0.35">
      <c r="A191" s="176"/>
      <c r="B191" s="173"/>
      <c r="C191" s="173" t="s">
        <v>12</v>
      </c>
      <c r="D191" s="173" t="s">
        <v>13</v>
      </c>
      <c r="E191" s="173" t="s">
        <v>14</v>
      </c>
      <c r="F191" s="173" t="s">
        <v>15</v>
      </c>
      <c r="G191" s="5" t="s">
        <v>24</v>
      </c>
      <c r="H191" s="5" t="s">
        <v>25</v>
      </c>
      <c r="I191" s="5" t="s">
        <v>26</v>
      </c>
      <c r="J191" s="5" t="s">
        <v>27</v>
      </c>
      <c r="K191" s="108"/>
      <c r="S191" s="117"/>
      <c r="T191" s="166"/>
      <c r="U191" s="166"/>
      <c r="V191" s="166"/>
      <c r="W191" s="166"/>
      <c r="X191" s="126"/>
      <c r="Y191" s="125"/>
    </row>
    <row r="192" spans="1:25" s="13" customFormat="1" x14ac:dyDescent="0.3">
      <c r="A192" s="24"/>
      <c r="B192" s="14" t="s">
        <v>29</v>
      </c>
      <c r="C192" s="209">
        <f>COUNTIF($S$12:$T$17,"Polen")</f>
        <v>3</v>
      </c>
      <c r="D192" s="43">
        <f t="shared" ref="D192" si="72">SUMPRODUCT(($S$12:$T$17=B192)*($X$12:$Y$17=3))</f>
        <v>0</v>
      </c>
      <c r="E192" s="43">
        <f t="shared" ref="E192" si="73">SUMPRODUCT(($S$12:$T$17=B192)*($X$12:$Y$17=1))</f>
        <v>0</v>
      </c>
      <c r="F192" s="43">
        <f t="shared" ref="F192" si="74">SUMPRODUCT(($S$12:$T$17=B192)*($X$12:$Y$17=2))</f>
        <v>0</v>
      </c>
      <c r="G192" s="43">
        <f t="shared" ref="G192" si="75">SUMPRODUCT(($S$12:$S$17=B192)*($U$12:$U$17))+SUMPRODUCT(($T$12:$T$17=B192)*($V$12:$V$17))</f>
        <v>0</v>
      </c>
      <c r="H192" s="43">
        <f t="shared" ref="H192" si="76">SUMPRODUCT(($S$12:$S$17=B192)*($V$12:$V$17))+SUMPRODUCT(($T$12:$T$17=B192)*($U$12:$U$17))</f>
        <v>0</v>
      </c>
      <c r="I192" s="18">
        <f t="shared" ref="I192" si="77">(D192*2)+E192</f>
        <v>0</v>
      </c>
      <c r="J192" s="22">
        <f t="shared" ref="J192" si="78">(F192*2)+E192</f>
        <v>0</v>
      </c>
      <c r="K192" s="109"/>
      <c r="S192" s="117"/>
      <c r="T192" s="166"/>
      <c r="U192" s="166"/>
      <c r="V192" s="166"/>
      <c r="W192" s="166"/>
      <c r="X192" s="126"/>
      <c r="Y192" s="125"/>
    </row>
    <row r="193" spans="1:25" s="13" customFormat="1" x14ac:dyDescent="0.3">
      <c r="A193" s="24"/>
      <c r="B193" s="21" t="s">
        <v>3</v>
      </c>
      <c r="C193" s="17"/>
      <c r="D193" s="17"/>
      <c r="E193" s="17"/>
      <c r="F193" s="17"/>
      <c r="G193" s="18"/>
      <c r="H193" s="18"/>
      <c r="I193" s="18"/>
      <c r="J193" s="22"/>
      <c r="K193" s="109"/>
      <c r="S193" s="117"/>
      <c r="T193" s="166"/>
      <c r="U193" s="166"/>
      <c r="V193" s="166"/>
      <c r="W193" s="166"/>
      <c r="X193" s="126"/>
      <c r="Y193" s="125"/>
    </row>
    <row r="194" spans="1:25" s="13" customFormat="1" ht="15" thickBot="1" x14ac:dyDescent="0.35">
      <c r="A194" s="24"/>
      <c r="B194" s="29" t="s">
        <v>98</v>
      </c>
      <c r="C194" s="30"/>
      <c r="D194" s="30"/>
      <c r="E194" s="30"/>
      <c r="F194" s="30"/>
      <c r="G194" s="31"/>
      <c r="H194" s="31"/>
      <c r="I194" s="31"/>
      <c r="J194" s="32"/>
      <c r="K194" s="109"/>
      <c r="S194" s="168"/>
      <c r="T194" s="95"/>
      <c r="U194" s="95"/>
      <c r="V194" s="95"/>
      <c r="W194" s="95"/>
      <c r="X194" s="95"/>
      <c r="Y194" s="169"/>
    </row>
    <row r="195" spans="1:25" ht="15" thickBot="1" x14ac:dyDescent="0.35">
      <c r="A195" s="156"/>
      <c r="B195" s="173"/>
      <c r="C195" s="173"/>
      <c r="D195" s="173"/>
      <c r="E195" s="173"/>
      <c r="F195" s="173"/>
      <c r="G195" s="5"/>
      <c r="H195" s="5"/>
      <c r="I195" s="5"/>
      <c r="J195" s="5"/>
      <c r="K195" s="193"/>
      <c r="S195" s="117"/>
      <c r="T195" s="166"/>
      <c r="U195" s="166"/>
      <c r="V195" s="166"/>
      <c r="W195" s="166"/>
      <c r="X195" s="126"/>
      <c r="Y195" s="125"/>
    </row>
    <row r="196" spans="1:25" ht="15" thickTop="1" x14ac:dyDescent="0.3">
      <c r="A196" s="199"/>
      <c r="B196" s="25"/>
      <c r="C196" s="25"/>
      <c r="D196" s="25"/>
      <c r="E196" s="25"/>
      <c r="F196" s="25"/>
      <c r="G196" s="26"/>
      <c r="H196" s="26"/>
      <c r="I196" s="26"/>
      <c r="J196" s="26"/>
      <c r="K196" s="108"/>
      <c r="S196" s="117"/>
      <c r="T196" s="166"/>
      <c r="U196" s="166"/>
      <c r="V196" s="166"/>
      <c r="W196" s="166"/>
      <c r="X196" s="126"/>
      <c r="Y196" s="125"/>
    </row>
    <row r="197" spans="1:25" ht="21" x14ac:dyDescent="0.4">
      <c r="A197" s="156"/>
      <c r="B197" s="173"/>
      <c r="C197" s="173"/>
      <c r="D197" s="173"/>
      <c r="E197" s="173"/>
      <c r="F197" s="172" t="s">
        <v>48</v>
      </c>
      <c r="G197" s="5"/>
      <c r="H197" s="5"/>
      <c r="I197" s="5"/>
      <c r="J197" s="5"/>
      <c r="K197" s="108"/>
      <c r="S197" s="117"/>
      <c r="T197" s="166"/>
      <c r="U197" s="166"/>
      <c r="V197" s="166"/>
      <c r="W197" s="166"/>
      <c r="X197" s="126"/>
      <c r="Y197" s="125"/>
    </row>
    <row r="198" spans="1:25" x14ac:dyDescent="0.3">
      <c r="A198" s="156"/>
      <c r="B198" s="28"/>
      <c r="C198" s="173"/>
      <c r="D198" s="173"/>
      <c r="E198" s="173"/>
      <c r="F198" s="173"/>
      <c r="G198" s="5"/>
      <c r="H198" s="5"/>
      <c r="I198" s="5"/>
      <c r="J198" s="5"/>
      <c r="K198" s="108"/>
      <c r="S198" s="117"/>
      <c r="T198" s="170"/>
      <c r="U198" s="170"/>
      <c r="V198" s="170"/>
      <c r="W198" s="170"/>
      <c r="X198" s="126"/>
      <c r="Y198" s="125"/>
    </row>
    <row r="199" spans="1:25" s="13" customFormat="1" x14ac:dyDescent="0.3">
      <c r="A199" s="186"/>
      <c r="B199" s="95"/>
      <c r="C199" s="165">
        <v>25736</v>
      </c>
      <c r="D199" s="17" t="s">
        <v>61</v>
      </c>
      <c r="E199" s="52" t="s">
        <v>37</v>
      </c>
      <c r="F199" s="17">
        <v>0</v>
      </c>
      <c r="G199" s="52">
        <v>2</v>
      </c>
      <c r="H199" s="17"/>
      <c r="I199" s="18" t="s">
        <v>194</v>
      </c>
      <c r="J199" s="18"/>
      <c r="K199" s="109"/>
      <c r="S199" s="117" t="s">
        <v>61</v>
      </c>
      <c r="T199" s="166" t="s">
        <v>37</v>
      </c>
      <c r="U199" s="166">
        <v>0</v>
      </c>
      <c r="V199" s="166">
        <v>2</v>
      </c>
      <c r="W199" s="166"/>
      <c r="X199" s="126">
        <f t="shared" ref="X199:X200" si="79">(IF(U199&gt;V199,3,IF(U199=V199,1,2)))</f>
        <v>2</v>
      </c>
      <c r="Y199" s="125">
        <f t="shared" ref="Y199:Y200" si="80">(IF(V199&gt;U199,3,IF(U199=V199,1,2)))</f>
        <v>3</v>
      </c>
    </row>
    <row r="200" spans="1:25" s="13" customFormat="1" ht="15" thickBot="1" x14ac:dyDescent="0.35">
      <c r="A200" s="186"/>
      <c r="B200" s="95"/>
      <c r="C200" s="62"/>
      <c r="D200" s="30"/>
      <c r="E200" s="30"/>
      <c r="F200" s="30" t="s">
        <v>170</v>
      </c>
      <c r="G200" s="30" t="s">
        <v>183</v>
      </c>
      <c r="H200" s="30"/>
      <c r="I200" s="31"/>
      <c r="J200" s="18"/>
      <c r="K200" s="109"/>
      <c r="S200" s="117" t="s">
        <v>88</v>
      </c>
      <c r="T200" s="170" t="s">
        <v>3</v>
      </c>
      <c r="U200" s="17">
        <v>8</v>
      </c>
      <c r="V200" s="17">
        <v>7</v>
      </c>
      <c r="W200" s="170"/>
      <c r="X200" s="126">
        <f t="shared" si="79"/>
        <v>3</v>
      </c>
      <c r="Y200" s="125">
        <f t="shared" si="80"/>
        <v>2</v>
      </c>
    </row>
    <row r="201" spans="1:25" s="13" customFormat="1" x14ac:dyDescent="0.3">
      <c r="A201" s="186"/>
      <c r="B201" s="95"/>
      <c r="C201" s="165">
        <v>25736</v>
      </c>
      <c r="D201" s="52" t="s">
        <v>88</v>
      </c>
      <c r="E201" s="17" t="s">
        <v>3</v>
      </c>
      <c r="F201" s="52">
        <v>5</v>
      </c>
      <c r="G201" s="17">
        <v>4</v>
      </c>
      <c r="H201" s="17" t="s">
        <v>214</v>
      </c>
      <c r="I201" s="18" t="s">
        <v>211</v>
      </c>
      <c r="J201" s="18"/>
      <c r="K201" s="109"/>
      <c r="S201" s="117"/>
      <c r="T201" s="166"/>
      <c r="U201" s="17"/>
      <c r="V201" s="17"/>
      <c r="W201" s="17"/>
      <c r="X201" s="126"/>
      <c r="Y201" s="125"/>
    </row>
    <row r="202" spans="1:25" s="13" customFormat="1" x14ac:dyDescent="0.3">
      <c r="A202" s="186"/>
      <c r="B202" s="95"/>
      <c r="C202" s="165"/>
      <c r="D202" s="17"/>
      <c r="E202" s="17"/>
      <c r="F202" s="52" t="s">
        <v>264</v>
      </c>
      <c r="G202" s="17" t="s">
        <v>274</v>
      </c>
      <c r="H202" s="17" t="s">
        <v>30</v>
      </c>
      <c r="I202" s="18"/>
      <c r="J202" s="18"/>
      <c r="K202" s="109"/>
      <c r="S202" s="117"/>
      <c r="T202" s="166"/>
      <c r="U202" s="17"/>
      <c r="V202" s="17"/>
      <c r="W202" s="17"/>
      <c r="X202" s="126"/>
      <c r="Y202" s="125"/>
    </row>
    <row r="203" spans="1:25" x14ac:dyDescent="0.3">
      <c r="A203" s="156"/>
      <c r="B203" s="173"/>
      <c r="C203" s="173"/>
      <c r="D203" s="173"/>
      <c r="E203" s="173"/>
      <c r="F203" s="173">
        <v>1</v>
      </c>
      <c r="G203" s="5">
        <v>1</v>
      </c>
      <c r="H203" s="5"/>
      <c r="I203" s="5"/>
      <c r="J203" s="5"/>
      <c r="K203" s="108"/>
      <c r="S203" s="117"/>
      <c r="T203" s="166"/>
      <c r="U203" s="166"/>
      <c r="V203" s="166"/>
      <c r="W203" s="166"/>
      <c r="X203" s="166"/>
      <c r="Y203" s="118"/>
    </row>
    <row r="204" spans="1:25" x14ac:dyDescent="0.3">
      <c r="A204" s="156"/>
      <c r="B204" s="173"/>
      <c r="C204" s="173"/>
      <c r="D204" s="173"/>
      <c r="E204" s="173"/>
      <c r="F204" s="173" t="s">
        <v>172</v>
      </c>
      <c r="G204" s="5" t="s">
        <v>183</v>
      </c>
      <c r="H204" s="5"/>
      <c r="I204" s="5"/>
      <c r="J204" s="5"/>
      <c r="K204" s="108"/>
      <c r="S204" s="168"/>
      <c r="T204" s="95"/>
      <c r="U204" s="95"/>
      <c r="V204" s="95"/>
      <c r="W204" s="95"/>
      <c r="X204" s="95"/>
      <c r="Y204" s="169"/>
    </row>
    <row r="205" spans="1:25" x14ac:dyDescent="0.3">
      <c r="A205" s="156"/>
      <c r="B205" s="173"/>
      <c r="C205" s="173"/>
      <c r="D205" s="173"/>
      <c r="E205" s="173"/>
      <c r="F205" s="173"/>
      <c r="G205" s="5"/>
      <c r="H205" s="5"/>
      <c r="I205" s="5"/>
      <c r="J205" s="5"/>
      <c r="K205" s="108"/>
      <c r="S205" s="117"/>
      <c r="T205" s="170"/>
      <c r="U205" s="170"/>
      <c r="V205" s="170"/>
      <c r="W205" s="170"/>
      <c r="X205" s="126"/>
      <c r="Y205" s="125"/>
    </row>
    <row r="206" spans="1:25" ht="15" thickBot="1" x14ac:dyDescent="0.35">
      <c r="A206" s="156"/>
      <c r="B206" s="173"/>
      <c r="C206" s="173"/>
      <c r="D206" s="173"/>
      <c r="E206" s="173"/>
      <c r="F206" s="173"/>
      <c r="G206" s="5"/>
      <c r="H206" s="5"/>
      <c r="I206" s="5"/>
      <c r="J206" s="5"/>
      <c r="K206" s="108"/>
      <c r="S206" s="117"/>
      <c r="T206" s="170"/>
      <c r="U206" s="170"/>
      <c r="V206" s="170"/>
      <c r="W206" s="170"/>
      <c r="X206" s="126"/>
      <c r="Y206" s="125"/>
    </row>
    <row r="207" spans="1:25" ht="21" x14ac:dyDescent="0.4">
      <c r="A207" s="156"/>
      <c r="B207" s="173"/>
      <c r="C207" s="420" t="s">
        <v>339</v>
      </c>
      <c r="D207" s="444"/>
      <c r="E207" s="444"/>
      <c r="F207" s="444"/>
      <c r="G207" s="444"/>
      <c r="H207" s="444"/>
      <c r="I207" s="445"/>
      <c r="J207" s="5"/>
      <c r="K207" s="93"/>
      <c r="L207" s="1"/>
      <c r="S207" s="117"/>
      <c r="T207" s="170"/>
      <c r="U207" s="170"/>
      <c r="V207" s="170"/>
      <c r="W207" s="170"/>
      <c r="X207" s="126"/>
      <c r="Y207" s="125"/>
    </row>
    <row r="208" spans="1:25" s="13" customFormat="1" x14ac:dyDescent="0.3">
      <c r="A208" s="194"/>
      <c r="B208" s="17"/>
      <c r="C208" s="21"/>
      <c r="D208" s="17"/>
      <c r="E208" s="52" t="s">
        <v>61</v>
      </c>
      <c r="F208" s="64" t="s">
        <v>267</v>
      </c>
      <c r="G208" s="17" t="s">
        <v>3</v>
      </c>
      <c r="H208" s="18"/>
      <c r="I208" s="22"/>
      <c r="J208" s="18"/>
      <c r="K208" s="35"/>
      <c r="L208" s="10"/>
      <c r="S208" s="117" t="s">
        <v>61</v>
      </c>
      <c r="T208" s="170" t="s">
        <v>3</v>
      </c>
      <c r="U208" s="170">
        <v>3</v>
      </c>
      <c r="V208" s="170">
        <v>2</v>
      </c>
      <c r="W208" s="170"/>
      <c r="X208" s="126">
        <f t="shared" ref="X208" si="81">(IF(U208&gt;V208,3,IF(U208=V208,1,2)))</f>
        <v>3</v>
      </c>
      <c r="Y208" s="125">
        <f t="shared" ref="Y208" si="82">(IF(V208&gt;U208,3,IF(U208=V208,1,2)))</f>
        <v>2</v>
      </c>
    </row>
    <row r="209" spans="1:25" x14ac:dyDescent="0.3">
      <c r="A209" s="156"/>
      <c r="B209" s="173"/>
      <c r="C209" s="3"/>
      <c r="D209" s="173"/>
      <c r="E209" s="28">
        <v>3</v>
      </c>
      <c r="F209" s="173"/>
      <c r="G209" s="33">
        <v>2</v>
      </c>
      <c r="H209" s="5"/>
      <c r="I209" s="6"/>
      <c r="J209" s="5"/>
      <c r="K209" s="93"/>
      <c r="L209" s="1"/>
      <c r="S209" s="117"/>
      <c r="T209" s="170"/>
      <c r="U209" s="170"/>
      <c r="V209" s="170"/>
      <c r="W209" s="170"/>
      <c r="X209" s="126"/>
      <c r="Y209" s="125"/>
    </row>
    <row r="210" spans="1:25" ht="15" thickBot="1" x14ac:dyDescent="0.35">
      <c r="A210" s="156"/>
      <c r="B210" s="173"/>
      <c r="C210" s="7"/>
      <c r="D210" s="178"/>
      <c r="E210" s="178" t="s">
        <v>215</v>
      </c>
      <c r="F210" s="178"/>
      <c r="G210" s="178" t="s">
        <v>183</v>
      </c>
      <c r="H210" s="8"/>
      <c r="I210" s="9"/>
      <c r="J210" s="5"/>
      <c r="K210" s="93"/>
      <c r="L210" s="1"/>
      <c r="S210" s="117"/>
      <c r="T210" s="170"/>
      <c r="U210" s="170"/>
      <c r="V210" s="170"/>
      <c r="W210" s="170"/>
      <c r="X210" s="126"/>
      <c r="Y210" s="125"/>
    </row>
    <row r="211" spans="1:25" x14ac:dyDescent="0.3">
      <c r="A211" s="156"/>
      <c r="B211" s="173"/>
      <c r="C211" s="173"/>
      <c r="D211" s="173"/>
      <c r="E211" s="173"/>
      <c r="F211" s="173"/>
      <c r="G211" s="5"/>
      <c r="H211" s="5"/>
      <c r="I211" s="5"/>
      <c r="J211" s="5"/>
      <c r="K211" s="93"/>
      <c r="L211" s="1"/>
      <c r="S211" s="122"/>
      <c r="T211" s="17"/>
      <c r="U211" s="17"/>
      <c r="V211" s="17"/>
      <c r="W211" s="17"/>
      <c r="X211" s="126"/>
      <c r="Y211" s="125"/>
    </row>
    <row r="212" spans="1:25" x14ac:dyDescent="0.3">
      <c r="A212" s="156"/>
      <c r="B212" s="173"/>
      <c r="C212" s="173"/>
      <c r="D212" s="173"/>
      <c r="E212" s="173"/>
      <c r="F212" s="173"/>
      <c r="G212" s="5"/>
      <c r="H212" s="5"/>
      <c r="I212" s="5"/>
      <c r="J212" s="5"/>
      <c r="K212" s="93"/>
      <c r="L212" s="171"/>
      <c r="S212" s="122"/>
      <c r="T212" s="17"/>
      <c r="U212" s="17"/>
      <c r="V212" s="17"/>
      <c r="W212" s="17"/>
      <c r="X212" s="126"/>
      <c r="Y212" s="125"/>
    </row>
    <row r="213" spans="1:25" x14ac:dyDescent="0.3">
      <c r="A213" s="156"/>
      <c r="B213" s="173"/>
      <c r="C213" s="173"/>
      <c r="D213" s="173"/>
      <c r="E213" s="173"/>
      <c r="F213" s="173"/>
      <c r="G213" s="5"/>
      <c r="H213" s="5"/>
      <c r="I213" s="5"/>
      <c r="J213" s="5"/>
      <c r="K213" s="93"/>
      <c r="L213" s="1"/>
      <c r="S213" s="122"/>
      <c r="T213" s="17"/>
      <c r="U213" s="17"/>
      <c r="V213" s="17"/>
      <c r="W213" s="17"/>
      <c r="X213" s="126"/>
      <c r="Y213" s="125"/>
    </row>
    <row r="214" spans="1:25" ht="15" thickBot="1" x14ac:dyDescent="0.35">
      <c r="A214" s="156"/>
      <c r="B214" s="173"/>
      <c r="C214" s="173"/>
      <c r="D214" s="173"/>
      <c r="E214" s="173"/>
      <c r="F214" s="173"/>
      <c r="G214" s="5"/>
      <c r="H214" s="5"/>
      <c r="I214" s="5"/>
      <c r="J214" s="5"/>
      <c r="K214" s="93"/>
      <c r="L214" s="1"/>
      <c r="S214" s="117"/>
      <c r="T214" s="170"/>
      <c r="U214" s="170"/>
      <c r="V214" s="170"/>
      <c r="W214" s="170"/>
      <c r="X214" s="170"/>
      <c r="Y214" s="118"/>
    </row>
    <row r="215" spans="1:25" ht="21" x14ac:dyDescent="0.4">
      <c r="A215" s="156"/>
      <c r="B215" s="173"/>
      <c r="C215" s="420" t="s">
        <v>216</v>
      </c>
      <c r="D215" s="444"/>
      <c r="E215" s="444"/>
      <c r="F215" s="444"/>
      <c r="G215" s="444"/>
      <c r="H215" s="444"/>
      <c r="I215" s="445"/>
      <c r="J215" s="5"/>
      <c r="K215" s="93"/>
      <c r="L215" s="1"/>
      <c r="S215" s="122"/>
      <c r="T215" s="17"/>
      <c r="U215" s="17"/>
      <c r="V215" s="17"/>
      <c r="W215" s="17"/>
      <c r="X215" s="126"/>
      <c r="Y215" s="125"/>
    </row>
    <row r="216" spans="1:25" s="13" customFormat="1" x14ac:dyDescent="0.3">
      <c r="A216" s="194"/>
      <c r="B216" s="17"/>
      <c r="C216" s="21"/>
      <c r="D216" s="17"/>
      <c r="E216" s="52" t="s">
        <v>37</v>
      </c>
      <c r="F216" s="64" t="s">
        <v>267</v>
      </c>
      <c r="G216" s="17" t="s">
        <v>88</v>
      </c>
      <c r="H216" s="18"/>
      <c r="I216" s="22"/>
      <c r="J216" s="18"/>
      <c r="K216" s="35"/>
      <c r="L216" s="10"/>
      <c r="S216" s="117" t="s">
        <v>37</v>
      </c>
      <c r="T216" s="170" t="s">
        <v>88</v>
      </c>
      <c r="U216" s="170">
        <v>3</v>
      </c>
      <c r="V216" s="170">
        <v>1</v>
      </c>
      <c r="W216" s="170"/>
      <c r="X216" s="126">
        <f t="shared" ref="X216" si="83">(IF(U216&gt;V216,3,IF(U216=V216,1,2)))</f>
        <v>3</v>
      </c>
      <c r="Y216" s="125">
        <f t="shared" ref="Y216" si="84">(IF(V216&gt;U216,3,IF(U216=V216,1,2)))</f>
        <v>2</v>
      </c>
    </row>
    <row r="217" spans="1:25" x14ac:dyDescent="0.3">
      <c r="A217" s="156"/>
      <c r="B217" s="173"/>
      <c r="C217" s="3"/>
      <c r="D217" s="173"/>
      <c r="E217" s="28">
        <v>3</v>
      </c>
      <c r="F217" s="173"/>
      <c r="G217" s="33">
        <v>1</v>
      </c>
      <c r="H217" s="5"/>
      <c r="I217" s="6"/>
      <c r="J217" s="5"/>
      <c r="K217" s="93"/>
      <c r="L217" s="1"/>
      <c r="S217" s="117"/>
      <c r="T217" s="170"/>
      <c r="U217" s="170"/>
      <c r="V217" s="170"/>
      <c r="W217" s="170"/>
      <c r="X217" s="126"/>
      <c r="Y217" s="125"/>
    </row>
    <row r="218" spans="1:25" ht="15" thickBot="1" x14ac:dyDescent="0.35">
      <c r="A218" s="156"/>
      <c r="B218" s="173"/>
      <c r="C218" s="7"/>
      <c r="D218" s="178"/>
      <c r="E218" s="178" t="s">
        <v>170</v>
      </c>
      <c r="F218" s="178"/>
      <c r="G218" s="178" t="s">
        <v>171</v>
      </c>
      <c r="H218" s="8"/>
      <c r="I218" s="9"/>
      <c r="J218" s="5"/>
      <c r="K218" s="93"/>
      <c r="L218" s="1"/>
      <c r="S218" s="180"/>
      <c r="T218" s="181"/>
      <c r="U218" s="181"/>
      <c r="V218" s="181"/>
      <c r="W218" s="181"/>
      <c r="X218" s="182"/>
      <c r="Y218" s="183"/>
    </row>
    <row r="219" spans="1:25" x14ac:dyDescent="0.3">
      <c r="A219" s="156"/>
      <c r="B219" s="173"/>
      <c r="C219" s="173"/>
      <c r="D219" s="173"/>
      <c r="E219" s="173"/>
      <c r="F219" s="173"/>
      <c r="G219" s="5"/>
      <c r="H219" s="5"/>
      <c r="I219" s="5"/>
      <c r="J219" s="5"/>
      <c r="K219" s="93"/>
      <c r="L219" s="1"/>
      <c r="S219" s="166"/>
      <c r="T219" s="166"/>
      <c r="U219" s="166"/>
      <c r="V219" s="166"/>
      <c r="W219" s="166"/>
      <c r="X219" s="166"/>
      <c r="Y219" s="166"/>
    </row>
    <row r="220" spans="1:25" x14ac:dyDescent="0.3">
      <c r="A220" s="156"/>
      <c r="B220" s="173"/>
      <c r="C220" s="173"/>
      <c r="D220" s="173"/>
      <c r="E220" s="173"/>
      <c r="F220" s="173"/>
      <c r="G220" s="5"/>
      <c r="H220" s="5"/>
      <c r="I220" s="5"/>
      <c r="J220" s="5"/>
      <c r="K220" s="93"/>
      <c r="L220" s="171"/>
      <c r="S220" s="170"/>
      <c r="T220" s="170"/>
      <c r="U220" s="170"/>
      <c r="V220" s="170"/>
      <c r="W220" s="170"/>
      <c r="X220" s="170"/>
      <c r="Y220" s="170"/>
    </row>
    <row r="221" spans="1:25" s="13" customFormat="1" x14ac:dyDescent="0.3">
      <c r="A221" s="24"/>
      <c r="B221" s="17"/>
      <c r="C221" s="17"/>
      <c r="D221" s="17"/>
      <c r="E221" s="17"/>
      <c r="F221" s="17"/>
      <c r="G221" s="18"/>
      <c r="H221" s="18"/>
      <c r="I221" s="18"/>
      <c r="J221" s="18"/>
      <c r="K221" s="109"/>
      <c r="S221" s="166"/>
      <c r="T221" s="166"/>
      <c r="U221" s="166"/>
      <c r="V221" s="166"/>
      <c r="W221" s="166"/>
      <c r="X221" s="126"/>
      <c r="Y221" s="126"/>
    </row>
    <row r="222" spans="1:25" s="13" customFormat="1" x14ac:dyDescent="0.3">
      <c r="A222" s="24"/>
      <c r="B222" s="17"/>
      <c r="C222" s="17"/>
      <c r="D222" s="17"/>
      <c r="E222" s="17"/>
      <c r="F222" s="17"/>
      <c r="G222" s="18"/>
      <c r="H222" s="18"/>
      <c r="I222" s="18"/>
      <c r="J222" s="18"/>
      <c r="K222" s="109"/>
      <c r="S222" s="17"/>
      <c r="T222" s="17"/>
      <c r="U222" s="17"/>
      <c r="V222" s="17"/>
      <c r="W222" s="17"/>
      <c r="X222" s="126"/>
      <c r="Y222" s="126"/>
    </row>
    <row r="223" spans="1:25" ht="15" thickBot="1" x14ac:dyDescent="0.35">
      <c r="A223" s="176"/>
      <c r="B223" s="173" t="s">
        <v>298</v>
      </c>
      <c r="C223" s="173" t="s">
        <v>12</v>
      </c>
      <c r="D223" s="173" t="s">
        <v>13</v>
      </c>
      <c r="E223" s="173" t="s">
        <v>14</v>
      </c>
      <c r="F223" s="173" t="s">
        <v>15</v>
      </c>
      <c r="G223" s="5" t="s">
        <v>24</v>
      </c>
      <c r="H223" s="5" t="s">
        <v>25</v>
      </c>
      <c r="I223" s="5" t="s">
        <v>26</v>
      </c>
      <c r="J223" s="5" t="s">
        <v>27</v>
      </c>
      <c r="K223" s="93"/>
      <c r="L223" s="1"/>
      <c r="S223" s="166"/>
      <c r="T223" s="166"/>
      <c r="U223" s="166"/>
      <c r="V223" s="166"/>
      <c r="W223" s="166"/>
      <c r="X223" s="166"/>
      <c r="Y223" s="166"/>
    </row>
    <row r="224" spans="1:25" s="13" customFormat="1" x14ac:dyDescent="0.3">
      <c r="A224" s="24"/>
      <c r="B224" s="14" t="s">
        <v>37</v>
      </c>
      <c r="C224" s="179">
        <f>COUNTIF($S$12:$T$216,"Italien")</f>
        <v>7</v>
      </c>
      <c r="D224" s="124">
        <f t="shared" ref="D224:D247" si="85">SUMPRODUCT(($S$12:$T$216=B224)*($X$12:$Y$216=3))</f>
        <v>4</v>
      </c>
      <c r="E224" s="124">
        <f t="shared" ref="E224:E247" si="86">SUMPRODUCT(($S$12:$T$216=B224)*($X$12:$Y$216=1))</f>
        <v>3</v>
      </c>
      <c r="F224" s="124">
        <f t="shared" ref="F224:F247" si="87">SUMPRODUCT(($S$12:$T$216=B224)*($X$12:$Y$216=2))</f>
        <v>0</v>
      </c>
      <c r="G224" s="124">
        <f t="shared" ref="G224:G247" si="88">SUMPRODUCT(($S$12:$S$216=B224)*($U$12:$U$216))+SUMPRODUCT(($T$12:$T$216=B224)*($V$12:$V$216))</f>
        <v>12</v>
      </c>
      <c r="H224" s="124">
        <f t="shared" ref="H224:H247" si="89">SUMPRODUCT(($S$12:$S$216=B224)*($V$12:$V$216))+SUMPRODUCT(($T$12:$T$216=B224)*($U$12:$U$216))</f>
        <v>6</v>
      </c>
      <c r="I224" s="15">
        <f t="shared" ref="I224:I247" si="90">(D224*2)+E224</f>
        <v>11</v>
      </c>
      <c r="J224" s="16">
        <f t="shared" ref="J224:J247" si="91">(F224*2)+E224</f>
        <v>3</v>
      </c>
      <c r="K224" s="35"/>
      <c r="L224" s="10"/>
      <c r="S224" s="166"/>
      <c r="T224" s="166"/>
      <c r="U224" s="166"/>
      <c r="V224" s="166"/>
      <c r="W224" s="166"/>
      <c r="X224" s="126"/>
      <c r="Y224" s="126"/>
    </row>
    <row r="225" spans="1:25" s="13" customFormat="1" x14ac:dyDescent="0.3">
      <c r="A225" s="24"/>
      <c r="B225" s="21" t="s">
        <v>88</v>
      </c>
      <c r="C225" s="17">
        <f>COUNTIF($S$12:$T$216,"BRD")</f>
        <v>7</v>
      </c>
      <c r="D225" s="43">
        <f t="shared" si="85"/>
        <v>4</v>
      </c>
      <c r="E225" s="43">
        <f t="shared" si="86"/>
        <v>1</v>
      </c>
      <c r="F225" s="43">
        <f t="shared" si="87"/>
        <v>2</v>
      </c>
      <c r="G225" s="43">
        <f t="shared" si="88"/>
        <v>17</v>
      </c>
      <c r="H225" s="43">
        <f t="shared" si="89"/>
        <v>14</v>
      </c>
      <c r="I225" s="18">
        <f t="shared" si="90"/>
        <v>9</v>
      </c>
      <c r="J225" s="22">
        <f t="shared" si="91"/>
        <v>5</v>
      </c>
      <c r="K225" s="35"/>
      <c r="L225" s="10"/>
      <c r="S225" s="17"/>
      <c r="T225" s="17"/>
      <c r="U225" s="17"/>
      <c r="V225" s="17"/>
      <c r="W225" s="17"/>
      <c r="X225" s="17"/>
      <c r="Y225" s="17"/>
    </row>
    <row r="226" spans="1:25" s="13" customFormat="1" x14ac:dyDescent="0.3">
      <c r="A226" s="24"/>
      <c r="B226" s="21" t="s">
        <v>61</v>
      </c>
      <c r="C226" s="17">
        <f>COUNTIF($S$12:$T$216,"Polen")</f>
        <v>7</v>
      </c>
      <c r="D226" s="43">
        <f t="shared" si="85"/>
        <v>3</v>
      </c>
      <c r="E226" s="43">
        <f t="shared" si="86"/>
        <v>3</v>
      </c>
      <c r="F226" s="43">
        <f t="shared" si="87"/>
        <v>1</v>
      </c>
      <c r="G226" s="43">
        <f t="shared" si="88"/>
        <v>11</v>
      </c>
      <c r="H226" s="43">
        <f t="shared" si="89"/>
        <v>5</v>
      </c>
      <c r="I226" s="18">
        <f t="shared" si="90"/>
        <v>9</v>
      </c>
      <c r="J226" s="22">
        <f t="shared" si="91"/>
        <v>5</v>
      </c>
      <c r="K226" s="35"/>
      <c r="L226" s="10"/>
      <c r="S226" s="17"/>
      <c r="T226" s="17"/>
      <c r="U226" s="17"/>
      <c r="V226" s="17"/>
      <c r="W226" s="17"/>
      <c r="X226" s="17"/>
      <c r="Y226" s="17"/>
    </row>
    <row r="227" spans="1:25" s="13" customFormat="1" x14ac:dyDescent="0.3">
      <c r="A227" s="24"/>
      <c r="B227" s="21" t="s">
        <v>9</v>
      </c>
      <c r="C227" s="17">
        <f>COUNTIF($S$12:$T$216,"Brasilien")</f>
        <v>5</v>
      </c>
      <c r="D227" s="43">
        <f t="shared" si="85"/>
        <v>4</v>
      </c>
      <c r="E227" s="43">
        <f t="shared" si="86"/>
        <v>0</v>
      </c>
      <c r="F227" s="43">
        <f t="shared" si="87"/>
        <v>1</v>
      </c>
      <c r="G227" s="43">
        <f t="shared" si="88"/>
        <v>15</v>
      </c>
      <c r="H227" s="43">
        <f t="shared" si="89"/>
        <v>6</v>
      </c>
      <c r="I227" s="18">
        <f t="shared" si="90"/>
        <v>8</v>
      </c>
      <c r="J227" s="22">
        <f t="shared" si="91"/>
        <v>2</v>
      </c>
      <c r="K227" s="35"/>
      <c r="L227" s="10"/>
      <c r="S227" s="10"/>
      <c r="T227" s="10"/>
      <c r="U227" s="10"/>
      <c r="V227" s="10"/>
      <c r="W227" s="10"/>
      <c r="X227" s="10"/>
      <c r="Y227" s="10"/>
    </row>
    <row r="228" spans="1:25" s="13" customFormat="1" x14ac:dyDescent="0.3">
      <c r="A228" s="24"/>
      <c r="B228" s="21" t="s">
        <v>74</v>
      </c>
      <c r="C228" s="17">
        <f>COUNTIF($S$12:$T$216,"England")</f>
        <v>5</v>
      </c>
      <c r="D228" s="43">
        <f t="shared" si="85"/>
        <v>3</v>
      </c>
      <c r="E228" s="43">
        <f t="shared" si="86"/>
        <v>2</v>
      </c>
      <c r="F228" s="43">
        <f t="shared" si="87"/>
        <v>0</v>
      </c>
      <c r="G228" s="43">
        <f t="shared" si="88"/>
        <v>6</v>
      </c>
      <c r="H228" s="43">
        <f t="shared" si="89"/>
        <v>1</v>
      </c>
      <c r="I228" s="18">
        <f t="shared" si="90"/>
        <v>8</v>
      </c>
      <c r="J228" s="22">
        <f t="shared" si="91"/>
        <v>2</v>
      </c>
      <c r="K228" s="109"/>
      <c r="S228" s="166"/>
      <c r="T228" s="166"/>
      <c r="U228" s="166"/>
      <c r="V228" s="166"/>
      <c r="W228" s="166"/>
      <c r="X228" s="166"/>
      <c r="Y228" s="166"/>
    </row>
    <row r="229" spans="1:25" s="13" customFormat="1" x14ac:dyDescent="0.3">
      <c r="A229" s="24"/>
      <c r="B229" s="21" t="s">
        <v>3</v>
      </c>
      <c r="C229" s="17">
        <f>COUNTIF($S$12:$T$216,"Frankreich")</f>
        <v>7</v>
      </c>
      <c r="D229" s="43">
        <f t="shared" si="85"/>
        <v>3</v>
      </c>
      <c r="E229" s="43">
        <f t="shared" si="86"/>
        <v>1</v>
      </c>
      <c r="F229" s="43">
        <f t="shared" si="87"/>
        <v>3</v>
      </c>
      <c r="G229" s="43">
        <f t="shared" si="88"/>
        <v>20</v>
      </c>
      <c r="H229" s="43">
        <f t="shared" si="89"/>
        <v>17</v>
      </c>
      <c r="I229" s="18">
        <f t="shared" si="90"/>
        <v>7</v>
      </c>
      <c r="J229" s="22">
        <f t="shared" si="91"/>
        <v>7</v>
      </c>
      <c r="K229" s="35"/>
      <c r="L229" s="10"/>
      <c r="S229" s="166"/>
      <c r="T229" s="166"/>
      <c r="U229" s="166"/>
      <c r="V229" s="166"/>
      <c r="W229" s="166"/>
      <c r="X229" s="126"/>
      <c r="Y229" s="126"/>
    </row>
    <row r="230" spans="1:25" s="13" customFormat="1" x14ac:dyDescent="0.3">
      <c r="A230" s="24"/>
      <c r="B230" s="21" t="s">
        <v>101</v>
      </c>
      <c r="C230" s="17">
        <f>COUNTIF($S$12:$T$216,"UdSSR")</f>
        <v>5</v>
      </c>
      <c r="D230" s="43">
        <f t="shared" si="85"/>
        <v>2</v>
      </c>
      <c r="E230" s="43">
        <f t="shared" si="86"/>
        <v>2</v>
      </c>
      <c r="F230" s="43">
        <f t="shared" si="87"/>
        <v>1</v>
      </c>
      <c r="G230" s="43">
        <f t="shared" si="88"/>
        <v>7</v>
      </c>
      <c r="H230" s="43">
        <f t="shared" si="89"/>
        <v>4</v>
      </c>
      <c r="I230" s="18">
        <f t="shared" si="90"/>
        <v>6</v>
      </c>
      <c r="J230" s="22">
        <f t="shared" si="91"/>
        <v>4</v>
      </c>
      <c r="K230" s="35"/>
      <c r="L230" s="10"/>
      <c r="S230" s="166"/>
      <c r="T230" s="166"/>
      <c r="U230" s="166"/>
      <c r="V230" s="166"/>
      <c r="W230" s="166"/>
      <c r="X230" s="166"/>
      <c r="Y230" s="166"/>
    </row>
    <row r="231" spans="1:25" s="13" customFormat="1" x14ac:dyDescent="0.3">
      <c r="A231" s="24"/>
      <c r="B231" s="21" t="s">
        <v>29</v>
      </c>
      <c r="C231" s="17">
        <f>COUNTIF($S$12:$T$216,"Österreich")</f>
        <v>5</v>
      </c>
      <c r="D231" s="43">
        <f t="shared" si="85"/>
        <v>2</v>
      </c>
      <c r="E231" s="43">
        <f t="shared" si="86"/>
        <v>1</v>
      </c>
      <c r="F231" s="43">
        <f t="shared" si="87"/>
        <v>2</v>
      </c>
      <c r="G231" s="43">
        <f t="shared" si="88"/>
        <v>5</v>
      </c>
      <c r="H231" s="43">
        <f t="shared" si="89"/>
        <v>4</v>
      </c>
      <c r="I231" s="18">
        <f t="shared" si="90"/>
        <v>5</v>
      </c>
      <c r="J231" s="22">
        <f t="shared" si="91"/>
        <v>5</v>
      </c>
      <c r="K231" s="35"/>
      <c r="L231" s="10"/>
      <c r="S231" s="166"/>
      <c r="T231" s="166"/>
      <c r="U231" s="166"/>
      <c r="V231" s="166"/>
      <c r="W231" s="166"/>
      <c r="X231" s="126"/>
      <c r="Y231" s="126"/>
    </row>
    <row r="232" spans="1:25" s="13" customFormat="1" x14ac:dyDescent="0.3">
      <c r="A232" s="24"/>
      <c r="B232" s="21" t="s">
        <v>98</v>
      </c>
      <c r="C232" s="17">
        <f>COUNTIF($S$12:$T$216,"Nordirland")</f>
        <v>5</v>
      </c>
      <c r="D232" s="43">
        <f t="shared" si="85"/>
        <v>1</v>
      </c>
      <c r="E232" s="43">
        <f t="shared" si="86"/>
        <v>3</v>
      </c>
      <c r="F232" s="43">
        <f t="shared" si="87"/>
        <v>1</v>
      </c>
      <c r="G232" s="43">
        <f t="shared" si="88"/>
        <v>5</v>
      </c>
      <c r="H232" s="43">
        <f t="shared" si="89"/>
        <v>7</v>
      </c>
      <c r="I232" s="18">
        <f t="shared" si="90"/>
        <v>5</v>
      </c>
      <c r="J232" s="22">
        <f t="shared" si="91"/>
        <v>5</v>
      </c>
      <c r="K232" s="35"/>
      <c r="L232" s="10"/>
      <c r="S232" s="166"/>
      <c r="T232" s="166"/>
      <c r="U232" s="166"/>
      <c r="V232" s="166"/>
      <c r="W232" s="166"/>
      <c r="X232" s="126"/>
      <c r="Y232" s="126"/>
    </row>
    <row r="233" spans="1:25" s="13" customFormat="1" x14ac:dyDescent="0.3">
      <c r="A233" s="24"/>
      <c r="B233" s="21" t="s">
        <v>21</v>
      </c>
      <c r="C233" s="17">
        <f>COUNTIF($S$12:$T$216,"Belgien")</f>
        <v>5</v>
      </c>
      <c r="D233" s="43">
        <f t="shared" si="85"/>
        <v>2</v>
      </c>
      <c r="E233" s="43">
        <f t="shared" si="86"/>
        <v>1</v>
      </c>
      <c r="F233" s="43">
        <f t="shared" si="87"/>
        <v>2</v>
      </c>
      <c r="G233" s="43">
        <f t="shared" si="88"/>
        <v>3</v>
      </c>
      <c r="H233" s="43">
        <f t="shared" si="89"/>
        <v>5</v>
      </c>
      <c r="I233" s="18">
        <f t="shared" si="90"/>
        <v>5</v>
      </c>
      <c r="J233" s="22">
        <f t="shared" si="91"/>
        <v>5</v>
      </c>
      <c r="K233" s="35"/>
      <c r="L233" s="10"/>
      <c r="S233" s="166"/>
      <c r="T233" s="166"/>
      <c r="U233" s="166"/>
      <c r="V233" s="166"/>
      <c r="W233" s="166"/>
      <c r="X233" s="166"/>
      <c r="Y233" s="166"/>
    </row>
    <row r="234" spans="1:25" s="13" customFormat="1" x14ac:dyDescent="0.3">
      <c r="A234" s="24"/>
      <c r="B234" s="21" t="s">
        <v>192</v>
      </c>
      <c r="C234" s="17">
        <f>COUNTIF($S$12:$T$216,"Algerien")</f>
        <v>3</v>
      </c>
      <c r="D234" s="43">
        <f t="shared" si="85"/>
        <v>2</v>
      </c>
      <c r="E234" s="43">
        <f t="shared" si="86"/>
        <v>0</v>
      </c>
      <c r="F234" s="43">
        <f t="shared" si="87"/>
        <v>1</v>
      </c>
      <c r="G234" s="43">
        <f t="shared" si="88"/>
        <v>5</v>
      </c>
      <c r="H234" s="43">
        <f t="shared" si="89"/>
        <v>5</v>
      </c>
      <c r="I234" s="18">
        <f t="shared" si="90"/>
        <v>4</v>
      </c>
      <c r="J234" s="22">
        <f t="shared" si="91"/>
        <v>2</v>
      </c>
      <c r="K234" s="35"/>
      <c r="L234" s="10"/>
      <c r="S234" s="166"/>
      <c r="T234" s="166"/>
      <c r="U234" s="166"/>
      <c r="V234" s="166"/>
      <c r="W234" s="166"/>
      <c r="X234" s="166"/>
      <c r="Y234" s="166"/>
    </row>
    <row r="235" spans="1:25" s="13" customFormat="1" x14ac:dyDescent="0.3">
      <c r="A235" s="24"/>
      <c r="B235" s="21" t="s">
        <v>5</v>
      </c>
      <c r="C235" s="17">
        <f>COUNTIF($S$12:$T$216,"Argentinien")</f>
        <v>5</v>
      </c>
      <c r="D235" s="43">
        <f t="shared" si="85"/>
        <v>2</v>
      </c>
      <c r="E235" s="43">
        <f t="shared" si="86"/>
        <v>0</v>
      </c>
      <c r="F235" s="43">
        <f t="shared" si="87"/>
        <v>3</v>
      </c>
      <c r="G235" s="43">
        <f t="shared" si="88"/>
        <v>8</v>
      </c>
      <c r="H235" s="43">
        <f t="shared" si="89"/>
        <v>7</v>
      </c>
      <c r="I235" s="18">
        <f t="shared" si="90"/>
        <v>4</v>
      </c>
      <c r="J235" s="22">
        <f t="shared" si="91"/>
        <v>6</v>
      </c>
      <c r="K235" s="109"/>
      <c r="S235" s="166"/>
      <c r="T235" s="166"/>
      <c r="U235" s="166"/>
      <c r="V235" s="166"/>
      <c r="W235" s="166"/>
      <c r="X235" s="126"/>
      <c r="Y235" s="126"/>
    </row>
    <row r="236" spans="1:25" s="13" customFormat="1" x14ac:dyDescent="0.3">
      <c r="A236" s="24"/>
      <c r="B236" s="21" t="s">
        <v>35</v>
      </c>
      <c r="C236" s="17">
        <f>COUNTIF($S$12:$T$216,"Spanien")</f>
        <v>5</v>
      </c>
      <c r="D236" s="43">
        <f t="shared" si="85"/>
        <v>1</v>
      </c>
      <c r="E236" s="43">
        <f t="shared" si="86"/>
        <v>2</v>
      </c>
      <c r="F236" s="43">
        <f t="shared" si="87"/>
        <v>2</v>
      </c>
      <c r="G236" s="43">
        <f t="shared" si="88"/>
        <v>4</v>
      </c>
      <c r="H236" s="43">
        <f t="shared" si="89"/>
        <v>5</v>
      </c>
      <c r="I236" s="18">
        <f t="shared" si="90"/>
        <v>4</v>
      </c>
      <c r="J236" s="22">
        <f t="shared" si="91"/>
        <v>6</v>
      </c>
      <c r="K236" s="35"/>
      <c r="L236" s="10"/>
      <c r="S236" s="171"/>
      <c r="T236" s="171"/>
      <c r="U236" s="171"/>
      <c r="V236" s="171"/>
      <c r="W236" s="171"/>
      <c r="X236" s="171"/>
      <c r="Y236" s="171"/>
    </row>
    <row r="237" spans="1:25" s="13" customFormat="1" x14ac:dyDescent="0.3">
      <c r="A237" s="24"/>
      <c r="B237" s="21" t="s">
        <v>32</v>
      </c>
      <c r="C237" s="17">
        <f>COUNTIF($S$12:$T$216,"Ungarn")</f>
        <v>3</v>
      </c>
      <c r="D237" s="43">
        <f t="shared" si="85"/>
        <v>1</v>
      </c>
      <c r="E237" s="43">
        <f t="shared" si="86"/>
        <v>1</v>
      </c>
      <c r="F237" s="43">
        <f t="shared" si="87"/>
        <v>1</v>
      </c>
      <c r="G237" s="43">
        <f t="shared" si="88"/>
        <v>12</v>
      </c>
      <c r="H237" s="43">
        <f t="shared" si="89"/>
        <v>6</v>
      </c>
      <c r="I237" s="18">
        <f t="shared" si="90"/>
        <v>3</v>
      </c>
      <c r="J237" s="22">
        <f t="shared" si="91"/>
        <v>3</v>
      </c>
      <c r="K237" s="35"/>
      <c r="L237" s="10"/>
      <c r="S237" s="166"/>
      <c r="T237" s="166"/>
      <c r="U237" s="166"/>
      <c r="V237" s="166"/>
      <c r="W237" s="166"/>
      <c r="X237" s="170"/>
      <c r="Y237" s="170"/>
    </row>
    <row r="238" spans="1:25" s="13" customFormat="1" x14ac:dyDescent="0.3">
      <c r="A238" s="24"/>
      <c r="B238" s="21" t="s">
        <v>81</v>
      </c>
      <c r="C238" s="17">
        <f>COUNTIF($S$12:$T$216,"Schottland")</f>
        <v>3</v>
      </c>
      <c r="D238" s="43">
        <f t="shared" si="85"/>
        <v>1</v>
      </c>
      <c r="E238" s="43">
        <f t="shared" si="86"/>
        <v>1</v>
      </c>
      <c r="F238" s="43">
        <f t="shared" si="87"/>
        <v>1</v>
      </c>
      <c r="G238" s="43">
        <f t="shared" si="88"/>
        <v>8</v>
      </c>
      <c r="H238" s="43">
        <f t="shared" si="89"/>
        <v>8</v>
      </c>
      <c r="I238" s="18">
        <f t="shared" si="90"/>
        <v>3</v>
      </c>
      <c r="J238" s="22">
        <f t="shared" si="91"/>
        <v>3</v>
      </c>
      <c r="K238" s="109"/>
      <c r="S238" s="170"/>
      <c r="T238" s="170"/>
      <c r="U238" s="170"/>
      <c r="V238" s="170"/>
      <c r="W238" s="170"/>
      <c r="X238" s="170"/>
      <c r="Y238" s="170"/>
    </row>
    <row r="239" spans="1:25" s="13" customFormat="1" x14ac:dyDescent="0.3">
      <c r="A239" s="24"/>
      <c r="B239" s="21" t="s">
        <v>8</v>
      </c>
      <c r="C239" s="17">
        <f>COUNTIF($S$12:$T$216,"Jugoslawien")</f>
        <v>3</v>
      </c>
      <c r="D239" s="43">
        <f t="shared" si="85"/>
        <v>1</v>
      </c>
      <c r="E239" s="43">
        <f t="shared" si="86"/>
        <v>1</v>
      </c>
      <c r="F239" s="43">
        <f t="shared" si="87"/>
        <v>1</v>
      </c>
      <c r="G239" s="43">
        <f t="shared" si="88"/>
        <v>2</v>
      </c>
      <c r="H239" s="43">
        <f t="shared" si="89"/>
        <v>2</v>
      </c>
      <c r="I239" s="18">
        <f t="shared" si="90"/>
        <v>3</v>
      </c>
      <c r="J239" s="22">
        <f t="shared" si="91"/>
        <v>3</v>
      </c>
      <c r="K239" s="35"/>
      <c r="L239" s="10"/>
      <c r="S239" s="171"/>
      <c r="T239" s="171"/>
      <c r="U239" s="171"/>
      <c r="V239" s="171"/>
      <c r="W239" s="171"/>
      <c r="X239" s="171"/>
      <c r="Y239" s="171"/>
    </row>
    <row r="240" spans="1:25" s="13" customFormat="1" x14ac:dyDescent="0.3">
      <c r="A240" s="24"/>
      <c r="B240" s="21" t="s">
        <v>190</v>
      </c>
      <c r="C240" s="17">
        <f>COUNTIF($S$12:$T$216,"Kamerun")</f>
        <v>3</v>
      </c>
      <c r="D240" s="43">
        <f t="shared" si="85"/>
        <v>0</v>
      </c>
      <c r="E240" s="43">
        <f t="shared" si="86"/>
        <v>3</v>
      </c>
      <c r="F240" s="43">
        <f t="shared" si="87"/>
        <v>0</v>
      </c>
      <c r="G240" s="43">
        <f t="shared" si="88"/>
        <v>1</v>
      </c>
      <c r="H240" s="43">
        <f t="shared" si="89"/>
        <v>1</v>
      </c>
      <c r="I240" s="18">
        <f t="shared" si="90"/>
        <v>3</v>
      </c>
      <c r="J240" s="22">
        <f t="shared" si="91"/>
        <v>3</v>
      </c>
      <c r="K240" s="109"/>
      <c r="S240" s="170"/>
      <c r="T240" s="170"/>
      <c r="U240" s="170"/>
      <c r="V240" s="170"/>
      <c r="W240" s="170"/>
      <c r="X240" s="170"/>
      <c r="Y240" s="170"/>
    </row>
    <row r="241" spans="1:25" s="13" customFormat="1" x14ac:dyDescent="0.3">
      <c r="A241" s="24"/>
      <c r="B241" s="21" t="s">
        <v>200</v>
      </c>
      <c r="C241" s="17">
        <f>COUNTIF($S$12:$T$216,"Honduras")</f>
        <v>3</v>
      </c>
      <c r="D241" s="43">
        <f t="shared" si="85"/>
        <v>0</v>
      </c>
      <c r="E241" s="43">
        <f t="shared" si="86"/>
        <v>2</v>
      </c>
      <c r="F241" s="43">
        <f t="shared" si="87"/>
        <v>1</v>
      </c>
      <c r="G241" s="43">
        <f t="shared" si="88"/>
        <v>2</v>
      </c>
      <c r="H241" s="43">
        <f t="shared" si="89"/>
        <v>3</v>
      </c>
      <c r="I241" s="18">
        <f t="shared" si="90"/>
        <v>2</v>
      </c>
      <c r="J241" s="22">
        <f t="shared" si="91"/>
        <v>4</v>
      </c>
      <c r="K241" s="109"/>
      <c r="S241" s="166"/>
      <c r="T241" s="166"/>
      <c r="U241" s="166"/>
      <c r="V241" s="166"/>
      <c r="W241" s="166"/>
      <c r="X241" s="166"/>
      <c r="Y241" s="166"/>
    </row>
    <row r="242" spans="1:25" s="13" customFormat="1" x14ac:dyDescent="0.3">
      <c r="A242" s="24"/>
      <c r="B242" s="21" t="s">
        <v>45</v>
      </c>
      <c r="C242" s="17">
        <f>COUNTIF($S$12:$T$216,"CSSR")</f>
        <v>3</v>
      </c>
      <c r="D242" s="43">
        <f t="shared" si="85"/>
        <v>0</v>
      </c>
      <c r="E242" s="43">
        <f t="shared" si="86"/>
        <v>2</v>
      </c>
      <c r="F242" s="43">
        <f t="shared" si="87"/>
        <v>1</v>
      </c>
      <c r="G242" s="43">
        <f t="shared" si="88"/>
        <v>2</v>
      </c>
      <c r="H242" s="43">
        <f t="shared" si="89"/>
        <v>4</v>
      </c>
      <c r="I242" s="18">
        <f t="shared" si="90"/>
        <v>2</v>
      </c>
      <c r="J242" s="22">
        <f t="shared" si="91"/>
        <v>4</v>
      </c>
      <c r="K242" s="109"/>
      <c r="S242" s="17"/>
      <c r="T242" s="17"/>
      <c r="U242" s="17"/>
      <c r="V242" s="17"/>
      <c r="W242" s="17"/>
      <c r="X242" s="17"/>
      <c r="Y242" s="17"/>
    </row>
    <row r="243" spans="1:25" s="13" customFormat="1" x14ac:dyDescent="0.3">
      <c r="A243" s="24"/>
      <c r="B243" s="21" t="s">
        <v>17</v>
      </c>
      <c r="C243" s="17">
        <f>COUNTIF($S$12:$T$216,"Peru")</f>
        <v>3</v>
      </c>
      <c r="D243" s="43">
        <f t="shared" si="85"/>
        <v>0</v>
      </c>
      <c r="E243" s="43">
        <f t="shared" si="86"/>
        <v>2</v>
      </c>
      <c r="F243" s="43">
        <f t="shared" si="87"/>
        <v>1</v>
      </c>
      <c r="G243" s="43">
        <f t="shared" si="88"/>
        <v>2</v>
      </c>
      <c r="H243" s="43">
        <f t="shared" si="89"/>
        <v>6</v>
      </c>
      <c r="I243" s="18">
        <f t="shared" si="90"/>
        <v>2</v>
      </c>
      <c r="J243" s="22">
        <f t="shared" si="91"/>
        <v>4</v>
      </c>
      <c r="K243" s="35"/>
      <c r="L243" s="10"/>
      <c r="S243" s="166"/>
      <c r="T243" s="166"/>
      <c r="U243" s="166"/>
      <c r="V243" s="166"/>
      <c r="W243" s="166"/>
      <c r="X243" s="170"/>
      <c r="Y243" s="170"/>
    </row>
    <row r="244" spans="1:25" s="13" customFormat="1" x14ac:dyDescent="0.3">
      <c r="A244" s="24"/>
      <c r="B244" s="21" t="s">
        <v>199</v>
      </c>
      <c r="C244" s="17">
        <f>COUNTIF($S$12:$T$216,"Kuwait")</f>
        <v>3</v>
      </c>
      <c r="D244" s="43">
        <f t="shared" si="85"/>
        <v>0</v>
      </c>
      <c r="E244" s="43">
        <f t="shared" si="86"/>
        <v>1</v>
      </c>
      <c r="F244" s="43">
        <f t="shared" si="87"/>
        <v>2</v>
      </c>
      <c r="G244" s="43">
        <f t="shared" si="88"/>
        <v>2</v>
      </c>
      <c r="H244" s="43">
        <f t="shared" si="89"/>
        <v>6</v>
      </c>
      <c r="I244" s="18">
        <f t="shared" si="90"/>
        <v>1</v>
      </c>
      <c r="J244" s="22">
        <f t="shared" si="91"/>
        <v>5</v>
      </c>
      <c r="K244" s="109"/>
      <c r="S244" s="170"/>
      <c r="T244" s="170"/>
      <c r="U244" s="170"/>
      <c r="V244" s="170"/>
      <c r="W244" s="170"/>
      <c r="X244" s="170"/>
      <c r="Y244" s="170"/>
    </row>
    <row r="245" spans="1:25" s="13" customFormat="1" x14ac:dyDescent="0.3">
      <c r="A245" s="24"/>
      <c r="B245" s="21" t="s">
        <v>6</v>
      </c>
      <c r="C245" s="17">
        <f>COUNTIF($S$12:$T$216,"Chile")</f>
        <v>3</v>
      </c>
      <c r="D245" s="43">
        <f t="shared" si="85"/>
        <v>0</v>
      </c>
      <c r="E245" s="43">
        <f t="shared" si="86"/>
        <v>0</v>
      </c>
      <c r="F245" s="43">
        <f t="shared" si="87"/>
        <v>3</v>
      </c>
      <c r="G245" s="43">
        <f t="shared" si="88"/>
        <v>3</v>
      </c>
      <c r="H245" s="43">
        <f t="shared" si="89"/>
        <v>8</v>
      </c>
      <c r="I245" s="18">
        <f t="shared" si="90"/>
        <v>0</v>
      </c>
      <c r="J245" s="22">
        <f t="shared" si="91"/>
        <v>6</v>
      </c>
      <c r="K245" s="109"/>
      <c r="S245" s="166"/>
      <c r="T245" s="166"/>
      <c r="U245" s="166"/>
      <c r="V245" s="166"/>
      <c r="W245" s="166"/>
      <c r="X245" s="166"/>
      <c r="Y245" s="166"/>
    </row>
    <row r="246" spans="1:25" s="13" customFormat="1" x14ac:dyDescent="0.3">
      <c r="A246" s="24"/>
      <c r="B246" s="21" t="s">
        <v>205</v>
      </c>
      <c r="C246" s="17">
        <f>COUNTIF($S$12:$T$216,"Neuseeland")</f>
        <v>3</v>
      </c>
      <c r="D246" s="43">
        <f t="shared" si="85"/>
        <v>0</v>
      </c>
      <c r="E246" s="43">
        <f t="shared" si="86"/>
        <v>0</v>
      </c>
      <c r="F246" s="43">
        <f t="shared" si="87"/>
        <v>3</v>
      </c>
      <c r="G246" s="43">
        <f t="shared" si="88"/>
        <v>2</v>
      </c>
      <c r="H246" s="43">
        <f t="shared" si="89"/>
        <v>12</v>
      </c>
      <c r="I246" s="18">
        <f t="shared" si="90"/>
        <v>0</v>
      </c>
      <c r="J246" s="22">
        <f t="shared" si="91"/>
        <v>6</v>
      </c>
      <c r="K246" s="35"/>
      <c r="L246" s="10"/>
      <c r="S246" s="166"/>
      <c r="T246" s="166"/>
      <c r="U246" s="166"/>
      <c r="V246" s="166"/>
      <c r="W246" s="166"/>
      <c r="X246" s="166"/>
      <c r="Y246" s="166"/>
    </row>
    <row r="247" spans="1:25" s="13" customFormat="1" ht="15" thickBot="1" x14ac:dyDescent="0.35">
      <c r="A247" s="24"/>
      <c r="B247" s="29" t="s">
        <v>141</v>
      </c>
      <c r="C247" s="30">
        <f>COUNTIF($S$12:$T$216,"El Salvador")</f>
        <v>3</v>
      </c>
      <c r="D247" s="80">
        <f t="shared" si="85"/>
        <v>0</v>
      </c>
      <c r="E247" s="80">
        <f t="shared" si="86"/>
        <v>0</v>
      </c>
      <c r="F247" s="80">
        <f t="shared" si="87"/>
        <v>3</v>
      </c>
      <c r="G247" s="80">
        <f t="shared" si="88"/>
        <v>1</v>
      </c>
      <c r="H247" s="80">
        <f t="shared" si="89"/>
        <v>13</v>
      </c>
      <c r="I247" s="31">
        <f t="shared" si="90"/>
        <v>0</v>
      </c>
      <c r="J247" s="32">
        <f t="shared" si="91"/>
        <v>6</v>
      </c>
      <c r="K247" s="35"/>
      <c r="L247" s="10"/>
      <c r="S247" s="166"/>
      <c r="T247" s="166"/>
      <c r="U247" s="166"/>
      <c r="V247" s="166"/>
      <c r="W247" s="166"/>
      <c r="X247" s="166"/>
      <c r="Y247" s="166"/>
    </row>
    <row r="248" spans="1:25" x14ac:dyDescent="0.3">
      <c r="A248" s="176"/>
      <c r="B248" s="173"/>
      <c r="C248" s="173"/>
      <c r="D248" s="173"/>
      <c r="E248" s="173"/>
      <c r="F248" s="173"/>
      <c r="G248" s="5"/>
      <c r="H248" s="5"/>
      <c r="I248" s="5"/>
      <c r="J248" s="5"/>
      <c r="K248" s="108"/>
    </row>
    <row r="249" spans="1:25" ht="15" thickBot="1" x14ac:dyDescent="0.35">
      <c r="A249" s="110"/>
      <c r="B249" s="36"/>
      <c r="C249" s="36"/>
      <c r="D249" s="36"/>
      <c r="E249" s="36"/>
      <c r="F249" s="36"/>
      <c r="G249" s="37"/>
      <c r="H249" s="37"/>
      <c r="I249" s="37"/>
      <c r="J249" s="37"/>
      <c r="K249" s="193"/>
    </row>
    <row r="250" spans="1:25" s="13" customFormat="1" ht="15" thickTop="1" x14ac:dyDescent="0.3">
      <c r="A250" s="10"/>
      <c r="B250" s="10"/>
      <c r="C250" s="10"/>
      <c r="D250" s="10"/>
      <c r="E250" s="10"/>
      <c r="F250" s="10"/>
      <c r="G250" s="12"/>
      <c r="H250" s="12"/>
      <c r="I250" s="12"/>
      <c r="J250" s="12"/>
      <c r="S250" s="10"/>
      <c r="T250" s="10"/>
      <c r="U250" s="10"/>
      <c r="V250" s="10"/>
      <c r="W250" s="10"/>
      <c r="X250" s="10"/>
      <c r="Y250" s="10"/>
    </row>
    <row r="251" spans="1:25" s="13" customFormat="1" x14ac:dyDescent="0.3">
      <c r="A251" s="10"/>
      <c r="B251" s="10"/>
      <c r="C251" s="10"/>
      <c r="D251" s="10"/>
      <c r="E251" s="10"/>
      <c r="F251" s="10"/>
      <c r="G251" s="12"/>
      <c r="H251" s="12"/>
      <c r="I251" s="12"/>
      <c r="J251" s="12"/>
      <c r="S251" s="17"/>
      <c r="T251" s="17"/>
      <c r="U251" s="17"/>
      <c r="V251" s="17"/>
      <c r="W251" s="17"/>
      <c r="X251" s="17"/>
      <c r="Y251" s="17"/>
    </row>
    <row r="252" spans="1:25" s="13" customFormat="1" x14ac:dyDescent="0.3">
      <c r="A252" s="10"/>
      <c r="B252" s="10"/>
      <c r="C252" s="10"/>
      <c r="D252" s="10"/>
      <c r="E252" s="10"/>
      <c r="F252" s="10"/>
      <c r="G252" s="12"/>
      <c r="H252" s="12"/>
      <c r="I252" s="12"/>
      <c r="J252" s="12"/>
      <c r="S252" s="10"/>
      <c r="T252" s="10"/>
      <c r="U252" s="10"/>
      <c r="V252" s="10"/>
      <c r="W252" s="10"/>
      <c r="X252" s="10"/>
      <c r="Y252" s="10"/>
    </row>
    <row r="253" spans="1:25" s="13" customFormat="1" x14ac:dyDescent="0.3">
      <c r="A253" s="10"/>
      <c r="B253" s="10"/>
      <c r="C253" s="10"/>
      <c r="D253" s="10"/>
      <c r="E253" s="10"/>
      <c r="F253" s="10"/>
      <c r="G253" s="12"/>
      <c r="H253" s="12"/>
      <c r="I253" s="12"/>
      <c r="J253" s="12"/>
      <c r="S253" s="17"/>
      <c r="T253" s="17"/>
      <c r="U253" s="17"/>
      <c r="V253" s="17"/>
      <c r="W253" s="17"/>
      <c r="X253" s="17"/>
      <c r="Y253" s="17"/>
    </row>
    <row r="254" spans="1:25" s="13" customFormat="1" x14ac:dyDescent="0.3">
      <c r="A254" s="10"/>
      <c r="B254" s="10"/>
      <c r="C254" s="10"/>
      <c r="D254" s="10"/>
      <c r="E254" s="10"/>
      <c r="F254" s="10"/>
      <c r="G254" s="12"/>
      <c r="H254" s="12"/>
      <c r="I254" s="12"/>
      <c r="J254" s="12"/>
      <c r="S254" s="10"/>
      <c r="T254" s="10"/>
      <c r="U254" s="10"/>
      <c r="V254" s="10"/>
      <c r="W254" s="10"/>
      <c r="X254" s="10"/>
      <c r="Y254" s="10"/>
    </row>
    <row r="255" spans="1:25" s="13" customFormat="1" x14ac:dyDescent="0.3">
      <c r="A255" s="10"/>
      <c r="B255" s="10"/>
      <c r="C255" s="10"/>
      <c r="D255" s="10"/>
      <c r="E255" s="10"/>
      <c r="F255" s="10"/>
      <c r="G255" s="12"/>
      <c r="H255" s="12"/>
      <c r="I255" s="12"/>
      <c r="J255" s="12"/>
      <c r="S255" s="17"/>
      <c r="T255" s="17"/>
      <c r="U255" s="17"/>
      <c r="V255" s="17"/>
      <c r="W255" s="17"/>
      <c r="X255" s="17"/>
      <c r="Y255" s="17"/>
    </row>
    <row r="256" spans="1:25" s="13" customFormat="1" x14ac:dyDescent="0.3">
      <c r="A256" s="10"/>
      <c r="B256" s="10"/>
      <c r="C256" s="10"/>
      <c r="D256" s="10"/>
      <c r="E256" s="10"/>
      <c r="F256" s="10"/>
      <c r="G256" s="12"/>
      <c r="H256" s="12"/>
      <c r="I256" s="12"/>
      <c r="J256" s="12"/>
      <c r="S256" s="10"/>
      <c r="T256" s="10"/>
      <c r="U256" s="10"/>
      <c r="V256" s="10"/>
      <c r="W256" s="10"/>
      <c r="X256" s="10"/>
      <c r="Y256" s="10"/>
    </row>
    <row r="257" spans="1:25" s="13" customFormat="1" x14ac:dyDescent="0.3">
      <c r="A257" s="10"/>
      <c r="B257" s="10"/>
      <c r="C257" s="10"/>
      <c r="D257" s="10"/>
      <c r="E257" s="10"/>
      <c r="F257" s="10"/>
      <c r="G257" s="12"/>
      <c r="H257" s="12"/>
      <c r="I257" s="12"/>
      <c r="J257" s="12"/>
      <c r="S257" s="10"/>
      <c r="T257" s="10"/>
      <c r="U257" s="10"/>
      <c r="V257" s="10"/>
      <c r="W257" s="10"/>
      <c r="X257" s="10"/>
      <c r="Y257" s="10"/>
    </row>
    <row r="258" spans="1:25" s="13" customFormat="1" x14ac:dyDescent="0.3">
      <c r="A258" s="10"/>
      <c r="B258" s="10"/>
      <c r="C258" s="10"/>
      <c r="D258" s="10"/>
      <c r="E258" s="10"/>
      <c r="F258" s="10"/>
      <c r="G258" s="12"/>
      <c r="H258" s="12"/>
      <c r="I258" s="12"/>
      <c r="J258" s="12"/>
      <c r="S258" s="10"/>
      <c r="T258" s="10"/>
      <c r="U258" s="10"/>
      <c r="V258" s="10"/>
      <c r="W258" s="10"/>
      <c r="X258" s="10"/>
      <c r="Y258" s="10"/>
    </row>
    <row r="259" spans="1:25" s="13" customFormat="1" x14ac:dyDescent="0.3">
      <c r="A259" s="10"/>
      <c r="B259" s="10"/>
      <c r="C259" s="10"/>
      <c r="D259" s="10"/>
      <c r="E259" s="10"/>
      <c r="F259" s="10"/>
      <c r="G259" s="12"/>
      <c r="H259" s="12"/>
      <c r="I259" s="12"/>
      <c r="J259" s="12"/>
      <c r="S259" s="10"/>
      <c r="T259" s="10"/>
      <c r="U259" s="10"/>
      <c r="V259" s="10"/>
      <c r="W259" s="10"/>
      <c r="X259" s="10"/>
      <c r="Y259" s="10"/>
    </row>
    <row r="260" spans="1:25" s="13" customFormat="1" x14ac:dyDescent="0.3">
      <c r="A260" s="10"/>
      <c r="B260" s="10"/>
      <c r="C260" s="10"/>
      <c r="D260" s="10"/>
      <c r="E260" s="10"/>
      <c r="F260" s="10"/>
      <c r="G260" s="12"/>
      <c r="H260" s="12"/>
      <c r="I260" s="12"/>
      <c r="J260" s="12"/>
      <c r="S260" s="10"/>
      <c r="T260" s="10"/>
      <c r="U260" s="10"/>
      <c r="V260" s="10"/>
      <c r="W260" s="10"/>
      <c r="X260" s="10"/>
      <c r="Y260" s="10"/>
    </row>
    <row r="261" spans="1:25" s="13" customFormat="1" x14ac:dyDescent="0.3">
      <c r="A261" s="10"/>
      <c r="B261" s="10"/>
      <c r="C261" s="10"/>
      <c r="D261" s="10"/>
      <c r="E261" s="10"/>
      <c r="F261" s="10"/>
      <c r="G261" s="12"/>
      <c r="H261" s="12"/>
      <c r="I261" s="12"/>
      <c r="J261" s="12"/>
      <c r="S261" s="10"/>
      <c r="T261" s="10"/>
      <c r="U261" s="10"/>
      <c r="V261" s="10"/>
      <c r="W261" s="10"/>
      <c r="X261" s="10"/>
      <c r="Y261" s="10"/>
    </row>
    <row r="262" spans="1:25" s="13" customFormat="1" x14ac:dyDescent="0.3">
      <c r="A262" s="10"/>
      <c r="B262" s="10"/>
      <c r="C262" s="10"/>
      <c r="D262" s="10"/>
      <c r="E262" s="10"/>
      <c r="F262" s="10"/>
      <c r="G262" s="12"/>
      <c r="H262" s="12"/>
      <c r="I262" s="12"/>
      <c r="J262" s="12"/>
      <c r="S262" s="10"/>
      <c r="T262" s="10"/>
      <c r="U262" s="10"/>
      <c r="V262" s="10"/>
      <c r="W262" s="10"/>
      <c r="X262" s="10"/>
      <c r="Y262" s="10"/>
    </row>
    <row r="263" spans="1:25" s="13" customFormat="1" x14ac:dyDescent="0.3">
      <c r="A263" s="10"/>
      <c r="B263" s="10"/>
      <c r="C263" s="10"/>
      <c r="D263" s="10"/>
      <c r="E263" s="10"/>
      <c r="F263" s="10"/>
      <c r="G263" s="12"/>
      <c r="H263" s="12"/>
      <c r="I263" s="12"/>
      <c r="J263" s="12"/>
      <c r="S263" s="10"/>
      <c r="T263" s="10"/>
      <c r="U263" s="10"/>
      <c r="V263" s="10"/>
      <c r="W263" s="10"/>
      <c r="X263" s="10"/>
      <c r="Y263" s="10"/>
    </row>
    <row r="264" spans="1:25" s="13" customFormat="1" x14ac:dyDescent="0.3">
      <c r="A264" s="10"/>
      <c r="B264" s="10"/>
      <c r="C264" s="10"/>
      <c r="D264" s="10"/>
      <c r="E264" s="10"/>
      <c r="F264" s="10"/>
      <c r="G264" s="12"/>
      <c r="H264" s="12"/>
      <c r="I264" s="12"/>
      <c r="J264" s="12"/>
      <c r="S264" s="10"/>
      <c r="T264" s="10"/>
      <c r="U264" s="10"/>
      <c r="V264" s="10"/>
      <c r="W264" s="10"/>
      <c r="X264" s="10"/>
      <c r="Y264" s="10"/>
    </row>
    <row r="265" spans="1:25" s="13" customFormat="1" x14ac:dyDescent="0.3">
      <c r="A265" s="10"/>
      <c r="B265" s="10"/>
      <c r="C265" s="10"/>
      <c r="D265" s="10"/>
      <c r="E265" s="10"/>
      <c r="F265" s="10"/>
      <c r="G265" s="12"/>
      <c r="H265" s="12"/>
      <c r="I265" s="12"/>
      <c r="J265" s="12"/>
      <c r="S265" s="10"/>
      <c r="T265" s="10"/>
      <c r="U265" s="10"/>
      <c r="V265" s="10"/>
      <c r="W265" s="10"/>
      <c r="X265" s="10"/>
      <c r="Y265" s="10"/>
    </row>
    <row r="266" spans="1:25" s="13" customFormat="1" x14ac:dyDescent="0.3">
      <c r="A266" s="10"/>
      <c r="B266" s="10"/>
      <c r="C266" s="10"/>
      <c r="D266" s="10"/>
      <c r="E266" s="10"/>
      <c r="F266" s="10"/>
      <c r="G266" s="12"/>
      <c r="H266" s="12"/>
      <c r="I266" s="12"/>
      <c r="J266" s="12"/>
      <c r="S266" s="10"/>
      <c r="T266" s="10"/>
      <c r="U266" s="10"/>
      <c r="V266" s="10"/>
      <c r="W266" s="10"/>
      <c r="X266" s="10"/>
      <c r="Y266" s="10"/>
    </row>
    <row r="267" spans="1:25" s="13" customFormat="1" x14ac:dyDescent="0.3">
      <c r="A267" s="10"/>
      <c r="B267" s="10"/>
      <c r="C267" s="10"/>
      <c r="D267" s="10"/>
      <c r="E267" s="10"/>
      <c r="F267" s="10"/>
      <c r="G267" s="12"/>
      <c r="H267" s="12"/>
      <c r="I267" s="12"/>
      <c r="J267" s="12"/>
      <c r="S267" s="10"/>
      <c r="T267" s="10"/>
      <c r="U267" s="10"/>
      <c r="V267" s="10"/>
      <c r="W267" s="10"/>
      <c r="X267" s="10"/>
      <c r="Y267" s="10"/>
    </row>
    <row r="268" spans="1:25" s="13" customFormat="1" x14ac:dyDescent="0.3">
      <c r="A268" s="10"/>
      <c r="B268" s="10"/>
      <c r="C268" s="10"/>
      <c r="D268" s="10"/>
      <c r="E268" s="10"/>
      <c r="F268" s="10"/>
      <c r="G268" s="12"/>
      <c r="H268" s="12"/>
      <c r="I268" s="12"/>
      <c r="J268" s="12"/>
      <c r="S268" s="10"/>
      <c r="T268" s="10"/>
      <c r="U268" s="10"/>
      <c r="V268" s="10"/>
      <c r="W268" s="10"/>
      <c r="X268" s="10"/>
      <c r="Y268" s="10"/>
    </row>
    <row r="269" spans="1:25" s="13" customFormat="1" x14ac:dyDescent="0.3">
      <c r="A269" s="10"/>
      <c r="B269" s="10"/>
      <c r="C269" s="10"/>
      <c r="D269" s="10"/>
      <c r="E269" s="10"/>
      <c r="F269" s="10"/>
      <c r="G269" s="12"/>
      <c r="H269" s="12"/>
      <c r="I269" s="12"/>
      <c r="J269" s="12"/>
      <c r="S269" s="10"/>
      <c r="T269" s="10"/>
      <c r="U269" s="10"/>
      <c r="V269" s="10"/>
      <c r="W269" s="10"/>
      <c r="X269" s="10"/>
      <c r="Y269" s="10"/>
    </row>
    <row r="270" spans="1:25" s="13" customFormat="1" x14ac:dyDescent="0.3">
      <c r="A270" s="10"/>
      <c r="B270" s="10"/>
      <c r="C270" s="10"/>
      <c r="D270" s="10"/>
      <c r="E270" s="10"/>
      <c r="F270" s="10"/>
      <c r="G270" s="12"/>
      <c r="H270" s="12"/>
      <c r="I270" s="12"/>
      <c r="J270" s="12"/>
      <c r="S270" s="10"/>
      <c r="T270" s="10"/>
      <c r="U270" s="10"/>
      <c r="V270" s="10"/>
      <c r="W270" s="10"/>
      <c r="X270" s="10"/>
      <c r="Y270" s="10"/>
    </row>
    <row r="271" spans="1:25" s="13" customFormat="1" x14ac:dyDescent="0.3">
      <c r="A271" s="10"/>
      <c r="B271" s="10"/>
      <c r="C271" s="10"/>
      <c r="D271" s="10"/>
      <c r="E271" s="10"/>
      <c r="F271" s="10"/>
      <c r="G271" s="12"/>
      <c r="H271" s="12"/>
      <c r="I271" s="12"/>
      <c r="J271" s="12"/>
      <c r="S271" s="10"/>
      <c r="T271" s="10"/>
      <c r="U271" s="10"/>
      <c r="V271" s="10"/>
      <c r="W271" s="10"/>
      <c r="X271" s="10"/>
      <c r="Y271" s="10"/>
    </row>
    <row r="272" spans="1:25" s="13" customFormat="1" x14ac:dyDescent="0.3">
      <c r="A272" s="10"/>
      <c r="B272" s="10"/>
      <c r="C272" s="10"/>
      <c r="D272" s="10"/>
      <c r="E272" s="10"/>
      <c r="F272" s="10"/>
      <c r="G272" s="12"/>
      <c r="H272" s="12"/>
      <c r="I272" s="12"/>
      <c r="J272" s="12"/>
      <c r="S272" s="10"/>
      <c r="T272" s="10"/>
      <c r="U272" s="10"/>
      <c r="V272" s="10"/>
      <c r="W272" s="10"/>
      <c r="X272" s="10"/>
      <c r="Y272" s="10"/>
    </row>
    <row r="273" spans="1:25" s="13" customFormat="1" x14ac:dyDescent="0.3">
      <c r="A273" s="10"/>
      <c r="B273" s="10"/>
      <c r="C273" s="10"/>
      <c r="D273" s="10"/>
      <c r="E273" s="10"/>
      <c r="F273" s="10"/>
      <c r="G273" s="12"/>
      <c r="H273" s="12"/>
      <c r="I273" s="12"/>
      <c r="J273" s="12"/>
      <c r="S273" s="10"/>
      <c r="T273" s="10"/>
      <c r="U273" s="10"/>
      <c r="V273" s="10"/>
      <c r="W273" s="10"/>
      <c r="X273" s="10"/>
      <c r="Y273" s="10"/>
    </row>
  </sheetData>
  <sortState ref="A44:Y48">
    <sortCondition descending="1" ref="I44:I48"/>
    <sortCondition ref="J44:J48"/>
    <sortCondition descending="1" ref="G44:G48"/>
    <sortCondition ref="H44:H48"/>
  </sortState>
  <mergeCells count="5">
    <mergeCell ref="A2:K2"/>
    <mergeCell ref="A4:K4"/>
    <mergeCell ref="A5:K5"/>
    <mergeCell ref="C207:I207"/>
    <mergeCell ref="C215:I215"/>
  </mergeCells>
  <pageMargins left="0.7" right="0.7" top="0.78740157499999996" bottom="0.78740157499999996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A242"/>
  <sheetViews>
    <sheetView topLeftCell="A212" workbookViewId="0">
      <selection activeCell="M233" sqref="M233"/>
    </sheetView>
  </sheetViews>
  <sheetFormatPr baseColWidth="10" defaultRowHeight="14.4" x14ac:dyDescent="0.3"/>
  <cols>
    <col min="1" max="1" width="11.77734375" style="10" customWidth="1"/>
    <col min="2" max="6" width="11.77734375" style="1" customWidth="1"/>
    <col min="7" max="10" width="11.77734375" style="2" customWidth="1"/>
    <col min="11" max="18" width="11.77734375" customWidth="1"/>
    <col min="19" max="22" width="11.77734375" style="214" customWidth="1"/>
    <col min="23" max="25" width="11.77734375" style="167" customWidth="1"/>
  </cols>
  <sheetData>
    <row r="1" spans="1:27" ht="15" thickTop="1" x14ac:dyDescent="0.3">
      <c r="A1" s="236"/>
      <c r="B1" s="25"/>
      <c r="C1" s="25"/>
      <c r="D1" s="25"/>
      <c r="E1" s="25"/>
      <c r="F1" s="25"/>
      <c r="G1" s="26"/>
      <c r="H1" s="26"/>
      <c r="I1" s="26"/>
      <c r="J1" s="26"/>
      <c r="K1" s="107"/>
      <c r="S1" s="114">
        <v>1</v>
      </c>
      <c r="T1" s="115">
        <v>2</v>
      </c>
      <c r="U1" s="115">
        <v>3</v>
      </c>
      <c r="V1" s="115">
        <v>4</v>
      </c>
      <c r="W1" s="115">
        <v>5</v>
      </c>
      <c r="X1" s="115">
        <v>6</v>
      </c>
      <c r="Y1" s="116">
        <v>7</v>
      </c>
    </row>
    <row r="2" spans="1:27" ht="46.2" x14ac:dyDescent="0.85">
      <c r="A2" s="425" t="s">
        <v>230</v>
      </c>
      <c r="B2" s="426"/>
      <c r="C2" s="426"/>
      <c r="D2" s="426"/>
      <c r="E2" s="426"/>
      <c r="F2" s="426"/>
      <c r="G2" s="426"/>
      <c r="H2" s="426"/>
      <c r="I2" s="426"/>
      <c r="J2" s="426"/>
      <c r="K2" s="427"/>
      <c r="S2" s="117"/>
      <c r="T2" s="213"/>
      <c r="U2" s="213"/>
      <c r="V2" s="213"/>
      <c r="W2" s="166"/>
      <c r="X2" s="166"/>
      <c r="Y2" s="118"/>
    </row>
    <row r="3" spans="1:27" x14ac:dyDescent="0.3">
      <c r="A3" s="24"/>
      <c r="B3" s="220"/>
      <c r="C3" s="220"/>
      <c r="D3" s="220"/>
      <c r="E3" s="220"/>
      <c r="F3" s="220"/>
      <c r="G3" s="5"/>
      <c r="H3" s="5"/>
      <c r="I3" s="5"/>
      <c r="J3" s="5"/>
      <c r="K3" s="108"/>
      <c r="S3" s="117"/>
      <c r="T3" s="213"/>
      <c r="U3" s="213"/>
      <c r="V3" s="213"/>
      <c r="W3" s="166"/>
      <c r="X3" s="166"/>
      <c r="Y3" s="118"/>
    </row>
    <row r="4" spans="1:27" ht="28.8" x14ac:dyDescent="0.55000000000000004">
      <c r="A4" s="428" t="s">
        <v>217</v>
      </c>
      <c r="B4" s="429"/>
      <c r="C4" s="429"/>
      <c r="D4" s="429"/>
      <c r="E4" s="429"/>
      <c r="F4" s="429"/>
      <c r="G4" s="429"/>
      <c r="H4" s="429"/>
      <c r="I4" s="429"/>
      <c r="J4" s="429"/>
      <c r="K4" s="427"/>
      <c r="S4" s="117"/>
      <c r="T4" s="213"/>
      <c r="U4" s="213"/>
      <c r="V4" s="213"/>
      <c r="W4" s="166"/>
      <c r="X4" s="166"/>
      <c r="Y4" s="118"/>
    </row>
    <row r="5" spans="1:27" ht="21" x14ac:dyDescent="0.4">
      <c r="A5" s="430" t="s">
        <v>229</v>
      </c>
      <c r="B5" s="431"/>
      <c r="C5" s="431"/>
      <c r="D5" s="431"/>
      <c r="E5" s="431"/>
      <c r="F5" s="431"/>
      <c r="G5" s="431"/>
      <c r="H5" s="431"/>
      <c r="I5" s="431"/>
      <c r="J5" s="431"/>
      <c r="K5" s="427"/>
      <c r="S5" s="117"/>
      <c r="T5" s="213"/>
      <c r="U5" s="213"/>
      <c r="V5" s="213"/>
      <c r="W5" s="166"/>
      <c r="X5" s="166"/>
      <c r="Y5" s="118"/>
    </row>
    <row r="6" spans="1:27" x14ac:dyDescent="0.3">
      <c r="A6" s="24"/>
      <c r="B6" s="220"/>
      <c r="C6" s="220"/>
      <c r="D6" s="220"/>
      <c r="E6" s="220"/>
      <c r="F6" s="220"/>
      <c r="G6" s="5"/>
      <c r="H6" s="5"/>
      <c r="I6" s="5"/>
      <c r="J6" s="5"/>
      <c r="K6" s="108"/>
      <c r="S6" s="117"/>
      <c r="T6" s="213"/>
      <c r="U6" s="213"/>
      <c r="V6" s="213"/>
      <c r="W6" s="166"/>
      <c r="X6" s="166"/>
      <c r="Y6" s="118"/>
    </row>
    <row r="7" spans="1:27" x14ac:dyDescent="0.3">
      <c r="A7" s="24"/>
      <c r="B7" s="220"/>
      <c r="C7" s="220"/>
      <c r="D7" s="220"/>
      <c r="E7" s="220"/>
      <c r="F7" s="220"/>
      <c r="G7" s="5"/>
      <c r="H7" s="5"/>
      <c r="I7" s="5"/>
      <c r="J7" s="5"/>
      <c r="K7" s="108"/>
      <c r="S7" s="117"/>
      <c r="T7" s="213"/>
      <c r="U7" s="213"/>
      <c r="V7" s="213"/>
      <c r="W7" s="200"/>
      <c r="X7" s="200"/>
      <c r="Y7" s="118"/>
    </row>
    <row r="8" spans="1:27" x14ac:dyDescent="0.3">
      <c r="A8" s="24"/>
      <c r="B8" s="220"/>
      <c r="C8" s="220"/>
      <c r="D8" s="220"/>
      <c r="E8" s="220"/>
      <c r="F8" s="220"/>
      <c r="G8" s="5"/>
      <c r="H8" s="5"/>
      <c r="I8" s="5"/>
      <c r="J8" s="5"/>
      <c r="K8" s="108"/>
      <c r="S8" s="117"/>
      <c r="T8" s="213"/>
      <c r="U8" s="213"/>
      <c r="V8" s="213"/>
      <c r="W8" s="200"/>
      <c r="X8" s="200"/>
      <c r="Y8" s="118"/>
    </row>
    <row r="9" spans="1:27" x14ac:dyDescent="0.3">
      <c r="A9" s="24"/>
      <c r="B9" s="220"/>
      <c r="C9" s="220"/>
      <c r="D9" s="220"/>
      <c r="E9" s="220"/>
      <c r="F9" s="220"/>
      <c r="G9" s="5"/>
      <c r="H9" s="5"/>
      <c r="I9" s="5"/>
      <c r="J9" s="5"/>
      <c r="K9" s="108"/>
      <c r="S9" s="117"/>
      <c r="T9" s="213"/>
      <c r="U9" s="213"/>
      <c r="V9" s="213"/>
      <c r="W9" s="166"/>
      <c r="X9" s="166"/>
      <c r="Y9" s="118"/>
    </row>
    <row r="10" spans="1:27" ht="21" x14ac:dyDescent="0.4">
      <c r="A10" s="24"/>
      <c r="B10" s="220"/>
      <c r="C10" s="220"/>
      <c r="D10" s="220"/>
      <c r="E10" s="220"/>
      <c r="F10" s="219" t="s">
        <v>119</v>
      </c>
      <c r="G10" s="5"/>
      <c r="H10" s="5"/>
      <c r="I10" s="5"/>
      <c r="J10" s="5"/>
      <c r="K10" s="108"/>
      <c r="S10" s="117"/>
      <c r="T10" s="213"/>
      <c r="U10" s="213"/>
      <c r="V10" s="213"/>
      <c r="W10" s="166"/>
      <c r="X10" s="166"/>
      <c r="Y10" s="118"/>
    </row>
    <row r="11" spans="1:27" x14ac:dyDescent="0.3">
      <c r="A11" s="24"/>
      <c r="B11" s="220"/>
      <c r="C11" s="220"/>
      <c r="D11" s="220"/>
      <c r="E11" s="220"/>
      <c r="F11" s="28"/>
      <c r="G11" s="5"/>
      <c r="H11" s="5"/>
      <c r="I11" s="5"/>
      <c r="J11" s="5"/>
      <c r="K11" s="108"/>
      <c r="S11" s="117"/>
      <c r="T11" s="213"/>
      <c r="U11" s="213"/>
      <c r="V11" s="213"/>
      <c r="W11" s="166"/>
      <c r="X11" s="166"/>
      <c r="Y11" s="118"/>
    </row>
    <row r="12" spans="1:27" x14ac:dyDescent="0.3">
      <c r="A12" s="24"/>
      <c r="B12" s="220"/>
      <c r="C12" s="40">
        <v>31563</v>
      </c>
      <c r="D12" s="17" t="s">
        <v>125</v>
      </c>
      <c r="E12" s="17" t="s">
        <v>37</v>
      </c>
      <c r="F12" s="17">
        <v>1</v>
      </c>
      <c r="G12" s="17">
        <v>1</v>
      </c>
      <c r="H12" s="220"/>
      <c r="I12" s="67" t="s">
        <v>248</v>
      </c>
      <c r="J12" s="5"/>
      <c r="K12" s="108"/>
      <c r="S12" s="117" t="s">
        <v>125</v>
      </c>
      <c r="T12" s="213" t="s">
        <v>37</v>
      </c>
      <c r="U12" s="213">
        <v>1</v>
      </c>
      <c r="V12" s="213">
        <v>1</v>
      </c>
      <c r="W12" s="166"/>
      <c r="X12" s="126">
        <f t="shared" ref="X12:X13" si="0">(IF(U12&gt;V12,3,IF(U12=V12,1,2)))</f>
        <v>1</v>
      </c>
      <c r="Y12" s="125">
        <f t="shared" ref="Y12:Y13" si="1">(IF(V12&gt;U12,3,IF(U12=V12,1,2)))</f>
        <v>1</v>
      </c>
      <c r="AA12" t="s">
        <v>5</v>
      </c>
    </row>
    <row r="13" spans="1:27" ht="15" thickBot="1" x14ac:dyDescent="0.35">
      <c r="A13" s="24"/>
      <c r="B13" s="220"/>
      <c r="C13" s="58"/>
      <c r="D13" s="30"/>
      <c r="E13" s="30"/>
      <c r="F13" s="30" t="s">
        <v>170</v>
      </c>
      <c r="G13" s="30" t="s">
        <v>183</v>
      </c>
      <c r="H13" s="223"/>
      <c r="I13" s="208"/>
      <c r="J13" s="5"/>
      <c r="K13" s="108"/>
      <c r="S13" s="117" t="s">
        <v>5</v>
      </c>
      <c r="T13" s="213" t="s">
        <v>90</v>
      </c>
      <c r="U13" s="213">
        <v>3</v>
      </c>
      <c r="V13" s="213">
        <v>1</v>
      </c>
      <c r="W13" s="166"/>
      <c r="X13" s="126">
        <f t="shared" si="0"/>
        <v>3</v>
      </c>
      <c r="Y13" s="125">
        <f t="shared" si="1"/>
        <v>2</v>
      </c>
      <c r="AA13" t="s">
        <v>3</v>
      </c>
    </row>
    <row r="14" spans="1:27" x14ac:dyDescent="0.3">
      <c r="A14" s="24"/>
      <c r="B14" s="220"/>
      <c r="C14" s="40">
        <v>31565</v>
      </c>
      <c r="D14" s="52" t="s">
        <v>5</v>
      </c>
      <c r="E14" s="17" t="s">
        <v>90</v>
      </c>
      <c r="F14" s="52">
        <v>3</v>
      </c>
      <c r="G14" s="17">
        <v>1</v>
      </c>
      <c r="H14" s="220"/>
      <c r="I14" s="157" t="s">
        <v>249</v>
      </c>
      <c r="J14" s="5"/>
      <c r="K14" s="108"/>
      <c r="S14" s="117" t="s">
        <v>37</v>
      </c>
      <c r="T14" s="213" t="s">
        <v>5</v>
      </c>
      <c r="U14" s="213">
        <v>1</v>
      </c>
      <c r="V14" s="213">
        <v>1</v>
      </c>
      <c r="W14" s="166"/>
      <c r="X14" s="126">
        <f t="shared" ref="X14:X17" si="2">(IF(U14&gt;V14,3,IF(U14=V14,1,2)))</f>
        <v>1</v>
      </c>
      <c r="Y14" s="125">
        <f t="shared" ref="Y14:Y17" si="3">(IF(V14&gt;U14,3,IF(U14=V14,1,2)))</f>
        <v>1</v>
      </c>
      <c r="AA14" t="s">
        <v>88</v>
      </c>
    </row>
    <row r="15" spans="1:27" ht="15" thickBot="1" x14ac:dyDescent="0.35">
      <c r="A15" s="24"/>
      <c r="B15" s="220"/>
      <c r="C15" s="58"/>
      <c r="D15" s="30"/>
      <c r="E15" s="30"/>
      <c r="F15" s="30" t="s">
        <v>215</v>
      </c>
      <c r="G15" s="30" t="s">
        <v>171</v>
      </c>
      <c r="H15" s="223"/>
      <c r="I15" s="61"/>
      <c r="J15" s="5"/>
      <c r="K15" s="108"/>
      <c r="S15" s="117" t="s">
        <v>90</v>
      </c>
      <c r="T15" s="213" t="s">
        <v>125</v>
      </c>
      <c r="U15" s="213">
        <v>1</v>
      </c>
      <c r="V15" s="213">
        <v>1</v>
      </c>
      <c r="W15" s="166"/>
      <c r="X15" s="126">
        <f t="shared" si="2"/>
        <v>1</v>
      </c>
      <c r="Y15" s="125">
        <f t="shared" si="3"/>
        <v>1</v>
      </c>
      <c r="AA15" t="s">
        <v>9</v>
      </c>
    </row>
    <row r="16" spans="1:27" x14ac:dyDescent="0.3">
      <c r="A16" s="24"/>
      <c r="B16" s="220"/>
      <c r="C16" s="40">
        <v>31568</v>
      </c>
      <c r="D16" s="17" t="s">
        <v>37</v>
      </c>
      <c r="E16" s="17" t="s">
        <v>5</v>
      </c>
      <c r="F16" s="17">
        <v>1</v>
      </c>
      <c r="G16" s="17">
        <v>1</v>
      </c>
      <c r="H16" s="220"/>
      <c r="I16" s="5" t="s">
        <v>143</v>
      </c>
      <c r="J16" s="5"/>
      <c r="K16" s="108"/>
      <c r="S16" s="117" t="s">
        <v>90</v>
      </c>
      <c r="T16" s="213" t="s">
        <v>37</v>
      </c>
      <c r="U16" s="213">
        <v>2</v>
      </c>
      <c r="V16" s="213">
        <v>3</v>
      </c>
      <c r="W16" s="166"/>
      <c r="X16" s="126">
        <f t="shared" si="2"/>
        <v>2</v>
      </c>
      <c r="Y16" s="125">
        <f t="shared" si="3"/>
        <v>3</v>
      </c>
      <c r="AA16" t="s">
        <v>4</v>
      </c>
    </row>
    <row r="17" spans="1:27" ht="15" thickBot="1" x14ac:dyDescent="0.35">
      <c r="A17" s="24"/>
      <c r="B17" s="220"/>
      <c r="C17" s="58"/>
      <c r="D17" s="30"/>
      <c r="E17" s="30"/>
      <c r="F17" s="30" t="s">
        <v>172</v>
      </c>
      <c r="G17" s="30" t="s">
        <v>183</v>
      </c>
      <c r="H17" s="223"/>
      <c r="I17" s="8"/>
      <c r="J17" s="5"/>
      <c r="K17" s="108"/>
      <c r="S17" s="117" t="s">
        <v>5</v>
      </c>
      <c r="T17" s="213" t="s">
        <v>125</v>
      </c>
      <c r="U17" s="213">
        <v>2</v>
      </c>
      <c r="V17" s="213">
        <v>0</v>
      </c>
      <c r="W17" s="166"/>
      <c r="X17" s="126">
        <f t="shared" si="2"/>
        <v>3</v>
      </c>
      <c r="Y17" s="125">
        <f t="shared" si="3"/>
        <v>2</v>
      </c>
      <c r="AA17" t="s">
        <v>21</v>
      </c>
    </row>
    <row r="18" spans="1:27" x14ac:dyDescent="0.3">
      <c r="A18" s="24"/>
      <c r="B18" s="220"/>
      <c r="C18" s="40">
        <v>31568</v>
      </c>
      <c r="D18" s="17" t="s">
        <v>90</v>
      </c>
      <c r="E18" s="17" t="s">
        <v>125</v>
      </c>
      <c r="F18" s="17">
        <v>1</v>
      </c>
      <c r="G18" s="17">
        <v>1</v>
      </c>
      <c r="H18" s="220"/>
      <c r="I18" s="157" t="s">
        <v>249</v>
      </c>
      <c r="J18" s="5"/>
      <c r="K18" s="108"/>
      <c r="S18" s="117"/>
      <c r="T18" s="213"/>
      <c r="U18" s="213"/>
      <c r="V18" s="213"/>
      <c r="W18" s="166"/>
      <c r="X18" s="126"/>
      <c r="Y18" s="125"/>
      <c r="AA18" t="s">
        <v>258</v>
      </c>
    </row>
    <row r="19" spans="1:27" ht="15" thickBot="1" x14ac:dyDescent="0.35">
      <c r="A19" s="24"/>
      <c r="B19" s="220"/>
      <c r="C19" s="58"/>
      <c r="D19" s="30"/>
      <c r="E19" s="30"/>
      <c r="F19" s="30" t="s">
        <v>170</v>
      </c>
      <c r="G19" s="30" t="s">
        <v>183</v>
      </c>
      <c r="H19" s="223"/>
      <c r="I19" s="61"/>
      <c r="J19" s="5"/>
      <c r="K19" s="108"/>
      <c r="S19" s="117"/>
      <c r="T19" s="213"/>
      <c r="U19" s="213"/>
      <c r="V19" s="213"/>
      <c r="W19" s="166"/>
      <c r="X19" s="126"/>
      <c r="Y19" s="125"/>
      <c r="AA19" t="s">
        <v>35</v>
      </c>
    </row>
    <row r="20" spans="1:27" x14ac:dyDescent="0.3">
      <c r="A20" s="24"/>
      <c r="B20" s="220"/>
      <c r="C20" s="40">
        <v>31573</v>
      </c>
      <c r="D20" s="17" t="s">
        <v>90</v>
      </c>
      <c r="E20" s="52" t="s">
        <v>37</v>
      </c>
      <c r="F20" s="17">
        <v>2</v>
      </c>
      <c r="G20" s="52">
        <v>3</v>
      </c>
      <c r="H20" s="220"/>
      <c r="I20" s="5" t="s">
        <v>143</v>
      </c>
      <c r="J20" s="5"/>
      <c r="K20" s="108"/>
      <c r="S20" s="117"/>
      <c r="T20" s="213"/>
      <c r="U20" s="213"/>
      <c r="V20" s="213"/>
      <c r="W20" s="166"/>
      <c r="X20" s="166"/>
      <c r="Y20" s="118"/>
      <c r="AA20" t="s">
        <v>101</v>
      </c>
    </row>
    <row r="21" spans="1:27" ht="15" thickBot="1" x14ac:dyDescent="0.35">
      <c r="A21" s="24"/>
      <c r="B21" s="220"/>
      <c r="C21" s="58"/>
      <c r="D21" s="30"/>
      <c r="E21" s="30"/>
      <c r="F21" s="30" t="s">
        <v>170</v>
      </c>
      <c r="G21" s="30" t="s">
        <v>183</v>
      </c>
      <c r="H21" s="223"/>
      <c r="I21" s="8"/>
      <c r="J21" s="5"/>
      <c r="K21" s="108"/>
      <c r="S21" s="117"/>
      <c r="T21" s="213"/>
      <c r="U21" s="213"/>
      <c r="V21" s="213"/>
      <c r="W21" s="166"/>
      <c r="X21" s="166"/>
      <c r="Y21" s="118"/>
      <c r="AA21" t="s">
        <v>74</v>
      </c>
    </row>
    <row r="22" spans="1:27" x14ac:dyDescent="0.3">
      <c r="A22" s="24"/>
      <c r="B22" s="220"/>
      <c r="C22" s="40">
        <v>31573</v>
      </c>
      <c r="D22" s="52" t="s">
        <v>5</v>
      </c>
      <c r="E22" s="17" t="s">
        <v>125</v>
      </c>
      <c r="F22" s="52">
        <v>2</v>
      </c>
      <c r="G22" s="17">
        <v>0</v>
      </c>
      <c r="H22" s="220"/>
      <c r="I22" s="157" t="s">
        <v>249</v>
      </c>
      <c r="J22" s="5"/>
      <c r="K22" s="108"/>
      <c r="S22" s="117"/>
      <c r="T22" s="213"/>
      <c r="U22" s="213"/>
      <c r="V22" s="213"/>
      <c r="W22" s="166"/>
      <c r="X22" s="166"/>
      <c r="Y22" s="118"/>
      <c r="AA22" t="s">
        <v>37</v>
      </c>
    </row>
    <row r="23" spans="1:27" x14ac:dyDescent="0.3">
      <c r="A23" s="194"/>
      <c r="B23" s="17"/>
      <c r="C23" s="17"/>
      <c r="D23" s="17"/>
      <c r="E23" s="17"/>
      <c r="F23" s="220" t="s">
        <v>172</v>
      </c>
      <c r="G23" s="5" t="s">
        <v>171</v>
      </c>
      <c r="H23" s="5"/>
      <c r="I23" s="5"/>
      <c r="J23" s="5"/>
      <c r="K23" s="108"/>
      <c r="S23" s="117"/>
      <c r="T23" s="213"/>
      <c r="U23" s="213"/>
      <c r="V23" s="213"/>
      <c r="W23" s="166"/>
      <c r="X23" s="166"/>
      <c r="Y23" s="118"/>
      <c r="AA23" t="s">
        <v>22</v>
      </c>
    </row>
    <row r="24" spans="1:27" x14ac:dyDescent="0.3">
      <c r="A24" s="194"/>
      <c r="B24" s="17"/>
      <c r="C24" s="17"/>
      <c r="D24" s="17"/>
      <c r="E24" s="17"/>
      <c r="F24" s="220"/>
      <c r="G24" s="5"/>
      <c r="H24" s="5"/>
      <c r="I24" s="5"/>
      <c r="J24" s="5"/>
      <c r="K24" s="108"/>
      <c r="S24" s="117"/>
      <c r="T24" s="213"/>
      <c r="U24" s="213"/>
      <c r="V24" s="213"/>
      <c r="W24" s="166"/>
      <c r="X24" s="166"/>
      <c r="Y24" s="118"/>
      <c r="AA24" t="s">
        <v>147</v>
      </c>
    </row>
    <row r="25" spans="1:27" ht="15" thickBot="1" x14ac:dyDescent="0.35">
      <c r="A25" s="24"/>
      <c r="B25" s="17"/>
      <c r="C25" s="17" t="s">
        <v>12</v>
      </c>
      <c r="D25" s="17" t="s">
        <v>13</v>
      </c>
      <c r="E25" s="17" t="s">
        <v>14</v>
      </c>
      <c r="F25" s="220" t="s">
        <v>15</v>
      </c>
      <c r="G25" s="5" t="s">
        <v>24</v>
      </c>
      <c r="H25" s="5" t="s">
        <v>25</v>
      </c>
      <c r="I25" s="5" t="s">
        <v>26</v>
      </c>
      <c r="J25" s="5" t="s">
        <v>27</v>
      </c>
      <c r="K25" s="108"/>
      <c r="S25" s="117"/>
      <c r="T25" s="213"/>
      <c r="U25" s="213"/>
      <c r="V25" s="213"/>
      <c r="W25" s="166"/>
      <c r="X25" s="166"/>
      <c r="Y25" s="118"/>
      <c r="AA25" t="s">
        <v>61</v>
      </c>
    </row>
    <row r="26" spans="1:27" s="13" customFormat="1" x14ac:dyDescent="0.3">
      <c r="A26" s="24"/>
      <c r="B26" s="14" t="s">
        <v>5</v>
      </c>
      <c r="C26" s="222">
        <f>COUNTIF($S$12:$T$17,"Argentinien")</f>
        <v>3</v>
      </c>
      <c r="D26" s="124">
        <f>SUMPRODUCT(($S$12:$T$17=B26)*($X$12:$Y$17=3))</f>
        <v>2</v>
      </c>
      <c r="E26" s="124">
        <f>SUMPRODUCT(($S$12:$T$17=B26)*($X$12:$Y$17=1))</f>
        <v>1</v>
      </c>
      <c r="F26" s="124">
        <f>SUMPRODUCT(($S$12:$T$17=B26)*($X$12:$Y$17=2))</f>
        <v>0</v>
      </c>
      <c r="G26" s="124">
        <f>SUMPRODUCT(($S$12:$S$17=B26)*($U$12:$U$17))+SUMPRODUCT(($T$12:$T$17=B26)*($V$12:$V$17))</f>
        <v>6</v>
      </c>
      <c r="H26" s="124">
        <f>SUMPRODUCT(($S$12:$S$17=B26)*($V$12:$V$17))+SUMPRODUCT(($T$12:$T$17=B26)*($U$12:$U$17))</f>
        <v>2</v>
      </c>
      <c r="I26" s="15">
        <f>(D26*2)+E26</f>
        <v>5</v>
      </c>
      <c r="J26" s="16">
        <f>(F26*2)+E26</f>
        <v>1</v>
      </c>
      <c r="K26" s="108"/>
      <c r="L26"/>
      <c r="M26"/>
      <c r="N26"/>
      <c r="O26"/>
      <c r="P26"/>
      <c r="Q26"/>
      <c r="R26"/>
      <c r="S26" s="117"/>
      <c r="T26" s="213"/>
      <c r="U26" s="213"/>
      <c r="V26" s="213"/>
      <c r="W26" s="166"/>
      <c r="X26" s="209"/>
      <c r="Y26" s="118"/>
      <c r="Z26"/>
      <c r="AA26" s="13" t="s">
        <v>133</v>
      </c>
    </row>
    <row r="27" spans="1:27" x14ac:dyDescent="0.3">
      <c r="A27" s="24"/>
      <c r="B27" s="21" t="s">
        <v>37</v>
      </c>
      <c r="C27" s="220">
        <f>COUNTIF($S$12:$T$17,"Italien")</f>
        <v>3</v>
      </c>
      <c r="D27" s="43">
        <f>SUMPRODUCT(($S$12:$T$17=B27)*($X$12:$Y$17=3))</f>
        <v>1</v>
      </c>
      <c r="E27" s="43">
        <f>SUMPRODUCT(($S$12:$T$17=B27)*($X$12:$Y$17=1))</f>
        <v>2</v>
      </c>
      <c r="F27" s="43">
        <f>SUMPRODUCT(($S$12:$T$17=B27)*($X$12:$Y$17=2))</f>
        <v>0</v>
      </c>
      <c r="G27" s="43">
        <f>SUMPRODUCT(($S$12:$S$17=B27)*($U$12:$U$17))+SUMPRODUCT(($T$12:$T$17=B27)*($V$12:$V$17))</f>
        <v>5</v>
      </c>
      <c r="H27" s="43">
        <f>SUMPRODUCT(($S$12:$S$17=B27)*($V$12:$V$17))+SUMPRODUCT(($T$12:$T$17=B27)*($U$12:$U$17))</f>
        <v>4</v>
      </c>
      <c r="I27" s="18">
        <f>(D27*2)+E27</f>
        <v>4</v>
      </c>
      <c r="J27" s="22">
        <f>(F27*2)+E27</f>
        <v>2</v>
      </c>
      <c r="K27" s="108"/>
      <c r="S27" s="117"/>
      <c r="T27" s="213"/>
      <c r="U27" s="213"/>
      <c r="V27" s="213"/>
      <c r="W27" s="166"/>
      <c r="X27" s="166"/>
      <c r="Y27" s="118"/>
      <c r="AA27" t="s">
        <v>32</v>
      </c>
    </row>
    <row r="28" spans="1:27" x14ac:dyDescent="0.3">
      <c r="A28" s="24"/>
      <c r="B28" s="21" t="s">
        <v>125</v>
      </c>
      <c r="C28" s="220">
        <f>COUNTIF($S$12:$T$17,"Bulgarien")</f>
        <v>3</v>
      </c>
      <c r="D28" s="43">
        <f>SUMPRODUCT(($S$12:$T$17=B28)*($X$12:$Y$17=3))</f>
        <v>0</v>
      </c>
      <c r="E28" s="43">
        <f>SUMPRODUCT(($S$12:$T$17=B28)*($X$12:$Y$17=1))</f>
        <v>2</v>
      </c>
      <c r="F28" s="43">
        <f>SUMPRODUCT(($S$12:$T$17=B28)*($X$12:$Y$17=2))</f>
        <v>1</v>
      </c>
      <c r="G28" s="43">
        <f>SUMPRODUCT(($S$12:$S$17=B28)*($U$12:$U$17))+SUMPRODUCT(($T$12:$T$17=B28)*($V$12:$V$17))</f>
        <v>2</v>
      </c>
      <c r="H28" s="43">
        <f>SUMPRODUCT(($S$12:$S$17=B28)*($V$12:$V$17))+SUMPRODUCT(($T$12:$T$17=B28)*($U$12:$U$17))</f>
        <v>4</v>
      </c>
      <c r="I28" s="18">
        <f>(D28*2)+E28</f>
        <v>2</v>
      </c>
      <c r="J28" s="22">
        <f>(F28*2)+E28</f>
        <v>4</v>
      </c>
      <c r="K28" s="109"/>
      <c r="L28" s="13"/>
      <c r="M28" s="13"/>
      <c r="N28" s="13"/>
      <c r="O28" s="13"/>
      <c r="P28" s="13"/>
      <c r="Q28" s="13"/>
      <c r="R28" s="13"/>
      <c r="S28" s="117"/>
      <c r="T28" s="213"/>
      <c r="U28" s="213"/>
      <c r="V28" s="213"/>
      <c r="W28" s="166"/>
      <c r="X28" s="126"/>
      <c r="Y28" s="125"/>
      <c r="Z28" s="13"/>
      <c r="AA28" t="s">
        <v>125</v>
      </c>
    </row>
    <row r="29" spans="1:27" ht="15" thickBot="1" x14ac:dyDescent="0.35">
      <c r="A29" s="24"/>
      <c r="B29" s="29" t="s">
        <v>90</v>
      </c>
      <c r="C29" s="223">
        <f>COUNTIF($S$12:$T$17,"Südkorea")</f>
        <v>3</v>
      </c>
      <c r="D29" s="80">
        <f>SUMPRODUCT(($S$12:$T$17=B29)*($X$12:$Y$17=3))</f>
        <v>0</v>
      </c>
      <c r="E29" s="80">
        <f>SUMPRODUCT(($S$12:$T$17=B29)*($X$12:$Y$17=1))</f>
        <v>1</v>
      </c>
      <c r="F29" s="80">
        <f>SUMPRODUCT(($S$12:$T$17=B29)*($X$12:$Y$17=2))</f>
        <v>2</v>
      </c>
      <c r="G29" s="80">
        <f>SUMPRODUCT(($S$12:$S$17=B29)*($U$12:$U$17))+SUMPRODUCT(($T$12:$T$17=B29)*($V$12:$V$17))</f>
        <v>4</v>
      </c>
      <c r="H29" s="80">
        <f>SUMPRODUCT(($S$12:$S$17=B29)*($V$12:$V$17))+SUMPRODUCT(($T$12:$T$17=B29)*($U$12:$U$17))</f>
        <v>7</v>
      </c>
      <c r="I29" s="31">
        <f>(D29*2)+E29</f>
        <v>1</v>
      </c>
      <c r="J29" s="32">
        <f>(F29*2)+E29</f>
        <v>5</v>
      </c>
      <c r="K29" s="108"/>
      <c r="S29" s="117"/>
      <c r="T29" s="213"/>
      <c r="U29" s="213"/>
      <c r="V29" s="213"/>
      <c r="W29" s="166"/>
      <c r="X29" s="126"/>
      <c r="Y29" s="125"/>
      <c r="AA29" t="s">
        <v>18</v>
      </c>
    </row>
    <row r="30" spans="1:27" ht="15" thickBot="1" x14ac:dyDescent="0.35">
      <c r="A30" s="24"/>
      <c r="B30" s="220"/>
      <c r="C30" s="220"/>
      <c r="D30" s="220"/>
      <c r="E30" s="220"/>
      <c r="F30" s="220"/>
      <c r="G30" s="5"/>
      <c r="H30" s="5"/>
      <c r="I30" s="5"/>
      <c r="J30" s="5"/>
      <c r="K30" s="193"/>
      <c r="S30" s="117"/>
      <c r="T30" s="213"/>
      <c r="U30" s="213"/>
      <c r="V30" s="213"/>
      <c r="W30" s="166"/>
      <c r="X30" s="126"/>
      <c r="Y30" s="125"/>
      <c r="AA30" t="s">
        <v>90</v>
      </c>
    </row>
    <row r="31" spans="1:27" ht="15" thickTop="1" x14ac:dyDescent="0.3">
      <c r="A31" s="236"/>
      <c r="B31" s="25"/>
      <c r="C31" s="25"/>
      <c r="D31" s="25"/>
      <c r="E31" s="25"/>
      <c r="F31" s="25"/>
      <c r="G31" s="26"/>
      <c r="H31" s="26"/>
      <c r="I31" s="26"/>
      <c r="J31" s="26"/>
      <c r="K31" s="108"/>
      <c r="S31" s="117"/>
      <c r="T31" s="213"/>
      <c r="U31" s="213"/>
      <c r="V31" s="213"/>
      <c r="W31" s="166"/>
      <c r="X31" s="126"/>
      <c r="Y31" s="125"/>
      <c r="AA31" t="s">
        <v>98</v>
      </c>
    </row>
    <row r="32" spans="1:27" ht="21" x14ac:dyDescent="0.4">
      <c r="A32" s="24"/>
      <c r="B32" s="220"/>
      <c r="C32" s="220"/>
      <c r="D32" s="220"/>
      <c r="E32" s="220"/>
      <c r="F32" s="219" t="s">
        <v>120</v>
      </c>
      <c r="G32" s="5"/>
      <c r="H32" s="5"/>
      <c r="I32" s="5"/>
      <c r="J32" s="5"/>
      <c r="K32" s="108"/>
      <c r="S32" s="122"/>
      <c r="T32" s="17"/>
      <c r="U32" s="17"/>
      <c r="V32" s="17"/>
      <c r="X32" s="126"/>
      <c r="Y32" s="125"/>
      <c r="AA32" t="s">
        <v>81</v>
      </c>
    </row>
    <row r="33" spans="1:27" x14ac:dyDescent="0.3">
      <c r="A33" s="24"/>
      <c r="B33" s="220"/>
      <c r="C33" s="220"/>
      <c r="D33" s="220"/>
      <c r="E33" s="220"/>
      <c r="F33" s="28"/>
      <c r="G33" s="5"/>
      <c r="H33" s="5"/>
      <c r="I33" s="5"/>
      <c r="J33" s="5"/>
      <c r="K33" s="108"/>
      <c r="S33" s="117"/>
      <c r="T33" s="213"/>
      <c r="U33" s="213"/>
      <c r="V33" s="213"/>
      <c r="X33" s="126"/>
      <c r="Y33" s="125"/>
      <c r="AA33" t="s">
        <v>192</v>
      </c>
    </row>
    <row r="34" spans="1:27" x14ac:dyDescent="0.3">
      <c r="A34" s="24"/>
      <c r="B34" s="220"/>
      <c r="C34" s="40">
        <v>31566</v>
      </c>
      <c r="D34" s="220" t="s">
        <v>21</v>
      </c>
      <c r="E34" s="28" t="s">
        <v>4</v>
      </c>
      <c r="F34" s="220">
        <v>1</v>
      </c>
      <c r="G34" s="28">
        <v>2</v>
      </c>
      <c r="H34" s="220"/>
      <c r="I34" s="228" t="s">
        <v>248</v>
      </c>
      <c r="J34" s="5"/>
      <c r="K34" s="108"/>
      <c r="S34" s="117" t="s">
        <v>21</v>
      </c>
      <c r="T34" s="213" t="s">
        <v>4</v>
      </c>
      <c r="U34" s="213">
        <v>1</v>
      </c>
      <c r="V34" s="213">
        <v>2</v>
      </c>
      <c r="W34" s="185"/>
      <c r="X34" s="126">
        <f t="shared" ref="X34:X38" si="4">(IF(U34&gt;V34,3,IF(U34=V34,1,2)))</f>
        <v>2</v>
      </c>
      <c r="Y34" s="125">
        <f t="shared" ref="Y34:Y38" si="5">(IF(V34&gt;U34,3,IF(U34=V34,1,2)))</f>
        <v>3</v>
      </c>
      <c r="AA34" t="s">
        <v>250</v>
      </c>
    </row>
    <row r="35" spans="1:27" ht="15" thickBot="1" x14ac:dyDescent="0.35">
      <c r="A35" s="24"/>
      <c r="B35" s="220"/>
      <c r="C35" s="58"/>
      <c r="D35" s="223"/>
      <c r="E35" s="223"/>
      <c r="F35" s="223" t="s">
        <v>172</v>
      </c>
      <c r="G35" s="223" t="s">
        <v>173</v>
      </c>
      <c r="H35" s="223"/>
      <c r="I35" s="201"/>
      <c r="J35" s="5"/>
      <c r="K35" s="108"/>
      <c r="S35" s="117" t="s">
        <v>22</v>
      </c>
      <c r="T35" s="213" t="s">
        <v>250</v>
      </c>
      <c r="U35" s="213">
        <v>1</v>
      </c>
      <c r="V35" s="213">
        <v>0</v>
      </c>
      <c r="X35" s="126">
        <f t="shared" si="4"/>
        <v>3</v>
      </c>
      <c r="Y35" s="125">
        <f t="shared" si="5"/>
        <v>2</v>
      </c>
      <c r="AA35" t="s">
        <v>251</v>
      </c>
    </row>
    <row r="36" spans="1:27" x14ac:dyDescent="0.3">
      <c r="A36" s="24"/>
      <c r="B36" s="220"/>
      <c r="C36" s="40">
        <v>31567</v>
      </c>
      <c r="D36" s="28" t="s">
        <v>22</v>
      </c>
      <c r="E36" s="220" t="s">
        <v>250</v>
      </c>
      <c r="F36" s="28">
        <v>1</v>
      </c>
      <c r="G36" s="220">
        <v>0</v>
      </c>
      <c r="H36" s="220"/>
      <c r="I36" s="5" t="s">
        <v>144</v>
      </c>
      <c r="J36" s="5"/>
      <c r="K36" s="108"/>
      <c r="S36" s="117" t="s">
        <v>4</v>
      </c>
      <c r="T36" s="213" t="s">
        <v>22</v>
      </c>
      <c r="U36" s="213">
        <v>1</v>
      </c>
      <c r="V36" s="213">
        <v>1</v>
      </c>
      <c r="W36" s="185"/>
      <c r="X36" s="126">
        <f t="shared" si="4"/>
        <v>1</v>
      </c>
      <c r="Y36" s="125">
        <f t="shared" si="5"/>
        <v>1</v>
      </c>
    </row>
    <row r="37" spans="1:27" ht="15" thickBot="1" x14ac:dyDescent="0.35">
      <c r="A37" s="24"/>
      <c r="B37" s="220"/>
      <c r="C37" s="58"/>
      <c r="D37" s="223"/>
      <c r="E37" s="223"/>
      <c r="F37" s="223" t="s">
        <v>172</v>
      </c>
      <c r="G37" s="223" t="s">
        <v>171</v>
      </c>
      <c r="H37" s="223"/>
      <c r="I37" s="8"/>
      <c r="J37" s="5"/>
      <c r="K37" s="108"/>
      <c r="S37" s="117" t="s">
        <v>250</v>
      </c>
      <c r="T37" s="213" t="s">
        <v>21</v>
      </c>
      <c r="U37" s="213">
        <v>1</v>
      </c>
      <c r="V37" s="213">
        <v>2</v>
      </c>
      <c r="X37" s="126">
        <f t="shared" si="4"/>
        <v>2</v>
      </c>
      <c r="Y37" s="125">
        <f t="shared" si="5"/>
        <v>3</v>
      </c>
    </row>
    <row r="38" spans="1:27" x14ac:dyDescent="0.3">
      <c r="A38" s="24"/>
      <c r="B38" s="220"/>
      <c r="C38" s="40">
        <v>31570</v>
      </c>
      <c r="D38" s="220" t="s">
        <v>4</v>
      </c>
      <c r="E38" s="220" t="s">
        <v>22</v>
      </c>
      <c r="F38" s="220">
        <v>1</v>
      </c>
      <c r="G38" s="220">
        <v>1</v>
      </c>
      <c r="H38" s="220"/>
      <c r="I38" s="228" t="s">
        <v>248</v>
      </c>
      <c r="J38" s="5"/>
      <c r="K38" s="108"/>
      <c r="S38" s="117" t="s">
        <v>250</v>
      </c>
      <c r="T38" s="213" t="s">
        <v>4</v>
      </c>
      <c r="U38" s="213">
        <v>0</v>
      </c>
      <c r="V38" s="213">
        <v>1</v>
      </c>
      <c r="W38" s="185"/>
      <c r="X38" s="126">
        <f t="shared" si="4"/>
        <v>2</v>
      </c>
      <c r="Y38" s="125">
        <f t="shared" si="5"/>
        <v>3</v>
      </c>
    </row>
    <row r="39" spans="1:27" ht="15" thickBot="1" x14ac:dyDescent="0.35">
      <c r="A39" s="24"/>
      <c r="B39" s="220"/>
      <c r="C39" s="58"/>
      <c r="D39" s="223"/>
      <c r="E39" s="223"/>
      <c r="F39" s="223" t="s">
        <v>172</v>
      </c>
      <c r="G39" s="223" t="s">
        <v>171</v>
      </c>
      <c r="H39" s="223"/>
      <c r="I39" s="201"/>
      <c r="J39" s="5"/>
      <c r="K39" s="108"/>
      <c r="S39" s="117" t="s">
        <v>22</v>
      </c>
      <c r="T39" s="213" t="s">
        <v>21</v>
      </c>
      <c r="U39" s="213">
        <v>2</v>
      </c>
      <c r="V39" s="213">
        <v>2</v>
      </c>
      <c r="W39" s="209"/>
      <c r="X39" s="126">
        <f>(IF(U39&gt;V39,3,IF(U39=V39,1,2)))</f>
        <v>1</v>
      </c>
      <c r="Y39" s="125">
        <f>(IF(V39&gt;U39,3,IF(U39=V39,1,2)))</f>
        <v>1</v>
      </c>
    </row>
    <row r="40" spans="1:27" x14ac:dyDescent="0.3">
      <c r="A40" s="24"/>
      <c r="B40" s="220"/>
      <c r="C40" s="40">
        <v>31571</v>
      </c>
      <c r="D40" s="220" t="s">
        <v>250</v>
      </c>
      <c r="E40" s="28" t="s">
        <v>21</v>
      </c>
      <c r="F40" s="220">
        <v>1</v>
      </c>
      <c r="G40" s="28">
        <v>2</v>
      </c>
      <c r="H40" s="220"/>
      <c r="I40" s="5" t="s">
        <v>144</v>
      </c>
      <c r="J40" s="5"/>
      <c r="K40" s="108"/>
      <c r="S40" s="117"/>
      <c r="T40" s="213"/>
      <c r="U40" s="213"/>
      <c r="V40" s="213"/>
      <c r="W40" s="209"/>
      <c r="X40" s="209"/>
      <c r="Y40" s="118"/>
    </row>
    <row r="41" spans="1:27" ht="15" thickBot="1" x14ac:dyDescent="0.35">
      <c r="A41" s="24"/>
      <c r="B41" s="220"/>
      <c r="C41" s="58"/>
      <c r="D41" s="223"/>
      <c r="E41" s="223"/>
      <c r="F41" s="223" t="s">
        <v>170</v>
      </c>
      <c r="G41" s="223" t="s">
        <v>173</v>
      </c>
      <c r="H41" s="223"/>
      <c r="I41" s="8"/>
      <c r="J41" s="5"/>
      <c r="K41" s="108"/>
      <c r="S41" s="117"/>
      <c r="T41" s="213"/>
      <c r="U41" s="213"/>
      <c r="V41" s="213"/>
      <c r="W41" s="209"/>
      <c r="X41" s="126"/>
      <c r="Y41" s="125"/>
    </row>
    <row r="42" spans="1:27" x14ac:dyDescent="0.3">
      <c r="A42" s="24"/>
      <c r="B42" s="220"/>
      <c r="C42" s="40">
        <v>31574</v>
      </c>
      <c r="D42" s="17" t="s">
        <v>250</v>
      </c>
      <c r="E42" s="52" t="s">
        <v>4</v>
      </c>
      <c r="F42" s="17">
        <v>0</v>
      </c>
      <c r="G42" s="52">
        <v>1</v>
      </c>
      <c r="H42" s="17"/>
      <c r="I42" s="228" t="s">
        <v>248</v>
      </c>
      <c r="J42" s="5"/>
      <c r="K42" s="108"/>
      <c r="S42" s="117"/>
      <c r="T42" s="213"/>
      <c r="U42" s="213"/>
      <c r="V42" s="213"/>
      <c r="X42" s="126"/>
      <c r="Y42" s="125"/>
    </row>
    <row r="43" spans="1:27" ht="15" thickBot="1" x14ac:dyDescent="0.35">
      <c r="A43" s="24"/>
      <c r="B43" s="220"/>
      <c r="C43" s="58"/>
      <c r="D43" s="30"/>
      <c r="E43" s="30"/>
      <c r="F43" s="30" t="s">
        <v>170</v>
      </c>
      <c r="G43" s="30" t="s">
        <v>171</v>
      </c>
      <c r="H43" s="30"/>
      <c r="I43" s="201"/>
      <c r="J43" s="5"/>
      <c r="K43" s="108"/>
      <c r="S43" s="117"/>
      <c r="T43" s="213"/>
      <c r="U43" s="213"/>
      <c r="V43" s="213"/>
      <c r="W43" s="185"/>
      <c r="X43" s="126"/>
      <c r="Y43" s="125"/>
    </row>
    <row r="44" spans="1:27" x14ac:dyDescent="0.3">
      <c r="A44" s="24"/>
      <c r="B44" s="220"/>
      <c r="C44" s="40">
        <v>31574</v>
      </c>
      <c r="D44" s="17" t="s">
        <v>22</v>
      </c>
      <c r="E44" s="17" t="s">
        <v>21</v>
      </c>
      <c r="F44" s="17">
        <v>2</v>
      </c>
      <c r="G44" s="17">
        <v>2</v>
      </c>
      <c r="H44" s="17"/>
      <c r="I44" s="5" t="s">
        <v>144</v>
      </c>
      <c r="J44" s="5"/>
      <c r="K44" s="108"/>
      <c r="S44" s="117"/>
      <c r="T44" s="213"/>
      <c r="U44" s="213"/>
      <c r="V44" s="213"/>
      <c r="X44" s="126"/>
      <c r="Y44" s="125"/>
    </row>
    <row r="45" spans="1:27" x14ac:dyDescent="0.3">
      <c r="A45" s="194"/>
      <c r="B45" s="17"/>
      <c r="C45" s="17"/>
      <c r="D45" s="17"/>
      <c r="E45" s="17"/>
      <c r="F45" s="17" t="s">
        <v>170</v>
      </c>
      <c r="G45" s="18" t="s">
        <v>183</v>
      </c>
      <c r="H45" s="5"/>
      <c r="I45" s="5"/>
      <c r="J45" s="5"/>
      <c r="K45" s="108"/>
      <c r="S45" s="117"/>
      <c r="T45" s="213"/>
      <c r="U45" s="213"/>
      <c r="V45" s="213"/>
      <c r="X45" s="126"/>
      <c r="Y45" s="125"/>
    </row>
    <row r="46" spans="1:27" x14ac:dyDescent="0.3">
      <c r="A46" s="194"/>
      <c r="B46" s="17"/>
      <c r="C46" s="17"/>
      <c r="D46" s="17"/>
      <c r="E46" s="17"/>
      <c r="F46" s="17"/>
      <c r="G46" s="18"/>
      <c r="H46" s="5"/>
      <c r="I46" s="5"/>
      <c r="J46" s="5"/>
      <c r="K46" s="108"/>
      <c r="S46" s="117"/>
      <c r="T46" s="213"/>
      <c r="U46" s="213"/>
      <c r="V46" s="213"/>
      <c r="W46" s="185"/>
      <c r="X46" s="126"/>
      <c r="Y46" s="125"/>
    </row>
    <row r="47" spans="1:27" ht="15" thickBot="1" x14ac:dyDescent="0.35">
      <c r="A47" s="24"/>
      <c r="B47" s="220"/>
      <c r="C47" s="220" t="s">
        <v>12</v>
      </c>
      <c r="D47" s="220" t="s">
        <v>13</v>
      </c>
      <c r="E47" s="220" t="s">
        <v>14</v>
      </c>
      <c r="F47" s="220" t="s">
        <v>15</v>
      </c>
      <c r="G47" s="5" t="s">
        <v>24</v>
      </c>
      <c r="H47" s="5" t="s">
        <v>25</v>
      </c>
      <c r="I47" s="5" t="s">
        <v>26</v>
      </c>
      <c r="J47" s="5" t="s">
        <v>27</v>
      </c>
      <c r="K47" s="108"/>
      <c r="S47" s="117"/>
      <c r="T47" s="213"/>
      <c r="U47" s="213"/>
      <c r="V47" s="213"/>
      <c r="X47" s="126"/>
      <c r="Y47" s="125"/>
    </row>
    <row r="48" spans="1:27" x14ac:dyDescent="0.3">
      <c r="A48" s="24"/>
      <c r="B48" s="14" t="s">
        <v>4</v>
      </c>
      <c r="C48" s="222">
        <f>COUNTIF($S$34:$T$39,"Mexiko")</f>
        <v>3</v>
      </c>
      <c r="D48" s="124">
        <f>SUMPRODUCT(($S$34:$T$39=B48)*($X$34:$Y$39=3))</f>
        <v>2</v>
      </c>
      <c r="E48" s="124">
        <f>SUMPRODUCT(($S$34:$T$39=B48)*($X$34:$Y$39=1))</f>
        <v>1</v>
      </c>
      <c r="F48" s="124">
        <f>SUMPRODUCT(($S$34:$T$39=B48)*($X$34:$Y$39=2))</f>
        <v>0</v>
      </c>
      <c r="G48" s="124">
        <f>SUMPRODUCT(($S$34:$S$39=B48)*($U$34:$U$39))+SUMPRODUCT(($T$34:$T$39=B48)*($V$34:$V$39))</f>
        <v>4</v>
      </c>
      <c r="H48" s="124">
        <f>SUMPRODUCT(($S$34:$S$39=B48)*($V$34:$V$39))+SUMPRODUCT(($T$34:$T$39=B48)*($U$34:$U$39))</f>
        <v>2</v>
      </c>
      <c r="I48" s="15">
        <f>(D48*2)+E48</f>
        <v>5</v>
      </c>
      <c r="J48" s="16">
        <f>(F48*2)+E48</f>
        <v>1</v>
      </c>
      <c r="K48" s="108"/>
      <c r="S48" s="117"/>
      <c r="T48" s="213"/>
      <c r="U48" s="213"/>
      <c r="V48" s="213"/>
      <c r="W48" s="209"/>
      <c r="X48" s="126"/>
      <c r="Y48" s="125"/>
    </row>
    <row r="49" spans="1:26" x14ac:dyDescent="0.3">
      <c r="A49" s="24"/>
      <c r="B49" s="21" t="s">
        <v>22</v>
      </c>
      <c r="C49" s="220">
        <f>COUNTIF($S$34:$T$39,"Paraguay")</f>
        <v>3</v>
      </c>
      <c r="D49" s="43">
        <f>SUMPRODUCT(($S$34:$T$39=B49)*($X$34:$Y$39=3))</f>
        <v>1</v>
      </c>
      <c r="E49" s="43">
        <f>SUMPRODUCT(($S$34:$T$39=B49)*($X$34:$Y$39=1))</f>
        <v>2</v>
      </c>
      <c r="F49" s="43">
        <f>SUMPRODUCT(($S$34:$T$39=B49)*($X$34:$Y$39=2))</f>
        <v>0</v>
      </c>
      <c r="G49" s="43">
        <f>SUMPRODUCT(($S$34:$S$39=B49)*($U$34:$U$39))+SUMPRODUCT(($T$34:$T$39=B49)*($V$34:$V$39))</f>
        <v>4</v>
      </c>
      <c r="H49" s="43">
        <f>SUMPRODUCT(($S$34:$S$39=B49)*($V$34:$V$39))+SUMPRODUCT(($T$34:$T$39=B49)*($U$34:$U$39))</f>
        <v>3</v>
      </c>
      <c r="I49" s="18">
        <f>(D49*2)+E49</f>
        <v>4</v>
      </c>
      <c r="J49" s="22">
        <f>(F49*2)+E49</f>
        <v>2</v>
      </c>
      <c r="K49" s="109"/>
      <c r="L49" s="13"/>
      <c r="M49" s="13"/>
      <c r="N49" s="13"/>
      <c r="O49" s="13"/>
      <c r="P49" s="13"/>
      <c r="Q49" s="13"/>
      <c r="R49" s="13"/>
      <c r="S49" s="117"/>
      <c r="T49" s="213"/>
      <c r="U49" s="213"/>
      <c r="V49" s="213"/>
      <c r="W49" s="166"/>
      <c r="X49" s="126"/>
      <c r="Y49" s="125"/>
      <c r="Z49" s="13"/>
    </row>
    <row r="50" spans="1:26" s="13" customFormat="1" x14ac:dyDescent="0.3">
      <c r="A50" s="24"/>
      <c r="B50" s="21" t="s">
        <v>21</v>
      </c>
      <c r="C50" s="220">
        <f>COUNTIF($S$34:$T$39,"Belgien")</f>
        <v>3</v>
      </c>
      <c r="D50" s="43">
        <f>SUMPRODUCT(($S$34:$T$39=B50)*($X$34:$Y$39=3))</f>
        <v>1</v>
      </c>
      <c r="E50" s="43">
        <f>SUMPRODUCT(($S$34:$T$39=B50)*($X$34:$Y$39=1))</f>
        <v>1</v>
      </c>
      <c r="F50" s="43">
        <f>SUMPRODUCT(($S$34:$T$39=B50)*($X$34:$Y$39=2))</f>
        <v>1</v>
      </c>
      <c r="G50" s="43">
        <f>SUMPRODUCT(($S$34:$S$39=B50)*($U$34:$U$39))+SUMPRODUCT(($T$34:$T$39=B50)*($V$34:$V$39))</f>
        <v>5</v>
      </c>
      <c r="H50" s="43">
        <f>SUMPRODUCT(($S$34:$S$39=B50)*($V$34:$V$39))+SUMPRODUCT(($T$34:$T$39=B50)*($U$34:$U$39))</f>
        <v>5</v>
      </c>
      <c r="I50" s="18">
        <f>(D50*2)+E50</f>
        <v>3</v>
      </c>
      <c r="J50" s="22">
        <f>(F50*2)+E50</f>
        <v>3</v>
      </c>
      <c r="K50" s="108"/>
      <c r="L50"/>
      <c r="M50"/>
      <c r="N50"/>
      <c r="O50"/>
      <c r="P50"/>
      <c r="Q50"/>
      <c r="R50"/>
      <c r="S50" s="117"/>
      <c r="T50" s="213"/>
      <c r="U50" s="213"/>
      <c r="V50" s="213"/>
      <c r="W50" s="212"/>
      <c r="X50" s="126"/>
      <c r="Y50" s="125"/>
      <c r="Z50"/>
    </row>
    <row r="51" spans="1:26" ht="15" thickBot="1" x14ac:dyDescent="0.35">
      <c r="A51" s="24"/>
      <c r="B51" s="7" t="s">
        <v>250</v>
      </c>
      <c r="C51" s="223">
        <f>COUNTIF($S$34:$T$39,"Irak")</f>
        <v>3</v>
      </c>
      <c r="D51" s="80">
        <f>SUMPRODUCT(($S$34:$T$39=B51)*($X$34:$Y$39=3))</f>
        <v>0</v>
      </c>
      <c r="E51" s="80">
        <f>SUMPRODUCT(($S$34:$T$39=B51)*($X$34:$Y$39=1))</f>
        <v>0</v>
      </c>
      <c r="F51" s="80">
        <f>SUMPRODUCT(($S$34:$T$39=B51)*($X$34:$Y$39=2))</f>
        <v>3</v>
      </c>
      <c r="G51" s="80">
        <f>SUMPRODUCT(($S$34:$S$39=B51)*($U$34:$U$39))+SUMPRODUCT(($T$34:$T$39=B51)*($V$34:$V$39))</f>
        <v>1</v>
      </c>
      <c r="H51" s="80">
        <f>SUMPRODUCT(($S$34:$S$39=B51)*($V$34:$V$39))+SUMPRODUCT(($T$34:$T$39=B51)*($U$34:$U$39))</f>
        <v>4</v>
      </c>
      <c r="I51" s="31">
        <f>(D51*2)+E51</f>
        <v>0</v>
      </c>
      <c r="J51" s="32">
        <f>(F51*2)+E51</f>
        <v>6</v>
      </c>
      <c r="K51" s="108"/>
      <c r="S51" s="117"/>
      <c r="T51" s="213"/>
      <c r="U51" s="213"/>
      <c r="V51" s="213"/>
      <c r="W51" s="166"/>
      <c r="X51" s="126"/>
      <c r="Y51" s="125"/>
    </row>
    <row r="52" spans="1:26" ht="15" thickBot="1" x14ac:dyDescent="0.35">
      <c r="A52" s="24"/>
      <c r="B52" s="220"/>
      <c r="C52" s="220"/>
      <c r="D52" s="220"/>
      <c r="E52" s="220"/>
      <c r="F52" s="220"/>
      <c r="G52" s="5"/>
      <c r="H52" s="5"/>
      <c r="I52" s="5"/>
      <c r="J52" s="5"/>
      <c r="K52" s="193"/>
      <c r="S52" s="117"/>
      <c r="T52" s="213"/>
      <c r="U52" s="213"/>
      <c r="V52" s="213"/>
      <c r="W52" s="166"/>
      <c r="X52" s="126"/>
      <c r="Y52" s="125"/>
    </row>
    <row r="53" spans="1:26" ht="15" thickTop="1" x14ac:dyDescent="0.3">
      <c r="A53" s="236"/>
      <c r="B53" s="25"/>
      <c r="C53" s="25"/>
      <c r="D53" s="25"/>
      <c r="E53" s="25"/>
      <c r="F53" s="25"/>
      <c r="G53" s="26"/>
      <c r="H53" s="26"/>
      <c r="I53" s="26"/>
      <c r="J53" s="26"/>
      <c r="K53" s="108"/>
      <c r="S53" s="117"/>
      <c r="T53" s="213"/>
      <c r="U53" s="213"/>
      <c r="V53" s="213"/>
      <c r="W53" s="166"/>
      <c r="X53" s="126"/>
      <c r="Y53" s="125"/>
    </row>
    <row r="54" spans="1:26" ht="21" x14ac:dyDescent="0.4">
      <c r="A54" s="24"/>
      <c r="B54" s="220"/>
      <c r="C54" s="220"/>
      <c r="D54" s="220"/>
      <c r="E54" s="220"/>
      <c r="F54" s="219" t="s">
        <v>121</v>
      </c>
      <c r="G54" s="5"/>
      <c r="H54" s="5"/>
      <c r="I54" s="5"/>
      <c r="J54" s="5"/>
      <c r="K54" s="108"/>
      <c r="S54" s="117"/>
      <c r="T54" s="213"/>
      <c r="U54" s="213"/>
      <c r="V54" s="213"/>
      <c r="W54" s="166"/>
      <c r="X54" s="126"/>
      <c r="Y54" s="125"/>
    </row>
    <row r="55" spans="1:26" x14ac:dyDescent="0.3">
      <c r="A55" s="24"/>
      <c r="B55" s="28"/>
      <c r="C55" s="220"/>
      <c r="D55" s="220"/>
      <c r="E55" s="220"/>
      <c r="F55" s="220"/>
      <c r="G55" s="5"/>
      <c r="H55" s="5"/>
      <c r="I55" s="5"/>
      <c r="J55" s="5"/>
      <c r="K55" s="108"/>
      <c r="S55" s="117"/>
      <c r="T55" s="213"/>
      <c r="U55" s="213"/>
      <c r="V55" s="213"/>
      <c r="W55" s="184"/>
      <c r="X55" s="126"/>
      <c r="Y55" s="125"/>
    </row>
    <row r="56" spans="1:26" x14ac:dyDescent="0.3">
      <c r="A56" s="24"/>
      <c r="B56" s="220"/>
      <c r="C56" s="40">
        <v>31564</v>
      </c>
      <c r="D56" s="220" t="s">
        <v>251</v>
      </c>
      <c r="E56" s="28" t="s">
        <v>3</v>
      </c>
      <c r="F56" s="220">
        <v>0</v>
      </c>
      <c r="G56" s="28">
        <v>1</v>
      </c>
      <c r="H56" s="220"/>
      <c r="I56" s="5" t="s">
        <v>146</v>
      </c>
      <c r="J56" s="5"/>
      <c r="K56" s="108"/>
      <c r="S56" s="117" t="s">
        <v>251</v>
      </c>
      <c r="T56" s="213" t="s">
        <v>3</v>
      </c>
      <c r="U56" s="213">
        <v>0</v>
      </c>
      <c r="V56" s="213">
        <v>1</v>
      </c>
      <c r="W56" s="166"/>
      <c r="X56" s="126">
        <f t="shared" ref="X56:X61" si="6">(IF(U56&gt;V56,3,IF(U56=V56,1,2)))</f>
        <v>2</v>
      </c>
      <c r="Y56" s="125">
        <f t="shared" ref="Y56:Y61" si="7">(IF(V56&gt;U56,3,IF(U56=V56,1,2)))</f>
        <v>3</v>
      </c>
    </row>
    <row r="57" spans="1:26" ht="15" thickBot="1" x14ac:dyDescent="0.35">
      <c r="A57" s="24"/>
      <c r="B57" s="220"/>
      <c r="C57" s="58"/>
      <c r="D57" s="223"/>
      <c r="E57" s="223"/>
      <c r="F57" s="223" t="s">
        <v>170</v>
      </c>
      <c r="G57" s="223" t="s">
        <v>171</v>
      </c>
      <c r="H57" s="223"/>
      <c r="I57" s="8"/>
      <c r="J57" s="5"/>
      <c r="K57" s="108"/>
      <c r="S57" s="117" t="s">
        <v>101</v>
      </c>
      <c r="T57" s="213" t="s">
        <v>32</v>
      </c>
      <c r="U57" s="213">
        <v>6</v>
      </c>
      <c r="V57" s="213">
        <v>0</v>
      </c>
      <c r="W57" s="184"/>
      <c r="X57" s="126">
        <f t="shared" si="6"/>
        <v>3</v>
      </c>
      <c r="Y57" s="125">
        <f t="shared" si="7"/>
        <v>2</v>
      </c>
    </row>
    <row r="58" spans="1:26" x14ac:dyDescent="0.3">
      <c r="A58" s="24"/>
      <c r="B58" s="220"/>
      <c r="C58" s="40">
        <v>31565</v>
      </c>
      <c r="D58" s="28" t="s">
        <v>101</v>
      </c>
      <c r="E58" s="220" t="s">
        <v>32</v>
      </c>
      <c r="F58" s="28">
        <v>6</v>
      </c>
      <c r="G58" s="220">
        <v>0</v>
      </c>
      <c r="H58" s="220"/>
      <c r="I58" s="5" t="s">
        <v>252</v>
      </c>
      <c r="J58" s="5"/>
      <c r="K58" s="108"/>
      <c r="S58" s="117" t="s">
        <v>3</v>
      </c>
      <c r="T58" s="213" t="s">
        <v>101</v>
      </c>
      <c r="U58" s="213">
        <v>1</v>
      </c>
      <c r="V58" s="213">
        <v>1</v>
      </c>
      <c r="W58" s="166"/>
      <c r="X58" s="126">
        <f t="shared" si="6"/>
        <v>1</v>
      </c>
      <c r="Y58" s="125">
        <f t="shared" si="7"/>
        <v>1</v>
      </c>
    </row>
    <row r="59" spans="1:26" ht="15" thickBot="1" x14ac:dyDescent="0.35">
      <c r="A59" s="24"/>
      <c r="B59" s="220"/>
      <c r="C59" s="58"/>
      <c r="D59" s="223"/>
      <c r="E59" s="223"/>
      <c r="F59" s="223" t="s">
        <v>264</v>
      </c>
      <c r="G59" s="223" t="s">
        <v>171</v>
      </c>
      <c r="H59" s="223"/>
      <c r="I59" s="8"/>
      <c r="J59" s="5"/>
      <c r="K59" s="108"/>
      <c r="S59" s="117" t="s">
        <v>32</v>
      </c>
      <c r="T59" s="213" t="s">
        <v>251</v>
      </c>
      <c r="U59" s="213">
        <v>2</v>
      </c>
      <c r="V59" s="213">
        <v>0</v>
      </c>
      <c r="W59" s="184"/>
      <c r="X59" s="126">
        <f t="shared" si="6"/>
        <v>3</v>
      </c>
      <c r="Y59" s="125">
        <f t="shared" si="7"/>
        <v>2</v>
      </c>
    </row>
    <row r="60" spans="1:26" x14ac:dyDescent="0.3">
      <c r="A60" s="24"/>
      <c r="B60" s="220"/>
      <c r="C60" s="40">
        <v>31568</v>
      </c>
      <c r="D60" s="220" t="s">
        <v>3</v>
      </c>
      <c r="E60" s="220" t="s">
        <v>101</v>
      </c>
      <c r="F60" s="220">
        <v>1</v>
      </c>
      <c r="G60" s="220">
        <v>1</v>
      </c>
      <c r="H60" s="220"/>
      <c r="I60" s="5" t="s">
        <v>146</v>
      </c>
      <c r="J60" s="5"/>
      <c r="K60" s="108"/>
      <c r="S60" s="117" t="s">
        <v>3</v>
      </c>
      <c r="T60" s="213" t="s">
        <v>32</v>
      </c>
      <c r="U60" s="213">
        <v>3</v>
      </c>
      <c r="V60" s="213">
        <v>0</v>
      </c>
      <c r="W60" s="166"/>
      <c r="X60" s="126">
        <f t="shared" si="6"/>
        <v>3</v>
      </c>
      <c r="Y60" s="125">
        <f t="shared" si="7"/>
        <v>2</v>
      </c>
    </row>
    <row r="61" spans="1:26" ht="15" thickBot="1" x14ac:dyDescent="0.35">
      <c r="A61" s="24"/>
      <c r="B61" s="220"/>
      <c r="C61" s="58"/>
      <c r="D61" s="223"/>
      <c r="E61" s="223"/>
      <c r="F61" s="223" t="s">
        <v>170</v>
      </c>
      <c r="G61" s="223" t="s">
        <v>171</v>
      </c>
      <c r="H61" s="223"/>
      <c r="I61" s="8"/>
      <c r="J61" s="5"/>
      <c r="K61" s="108"/>
      <c r="S61" s="117" t="s">
        <v>101</v>
      </c>
      <c r="T61" s="213" t="s">
        <v>251</v>
      </c>
      <c r="U61" s="213">
        <v>2</v>
      </c>
      <c r="V61" s="213">
        <v>0</v>
      </c>
      <c r="W61" s="184"/>
      <c r="X61" s="126">
        <f t="shared" si="6"/>
        <v>3</v>
      </c>
      <c r="Y61" s="125">
        <f t="shared" si="7"/>
        <v>2</v>
      </c>
    </row>
    <row r="62" spans="1:26" x14ac:dyDescent="0.3">
      <c r="A62" s="24"/>
      <c r="B62" s="220"/>
      <c r="C62" s="40">
        <v>31569</v>
      </c>
      <c r="D62" s="28" t="s">
        <v>32</v>
      </c>
      <c r="E62" s="220" t="s">
        <v>251</v>
      </c>
      <c r="F62" s="28">
        <v>2</v>
      </c>
      <c r="G62" s="220">
        <v>0</v>
      </c>
      <c r="H62" s="220"/>
      <c r="I62" s="5" t="s">
        <v>252</v>
      </c>
      <c r="J62" s="5"/>
      <c r="K62" s="108"/>
      <c r="S62" s="117"/>
      <c r="T62" s="213"/>
      <c r="U62" s="213"/>
      <c r="V62" s="213"/>
      <c r="W62" s="166"/>
      <c r="X62" s="126"/>
      <c r="Y62" s="125"/>
    </row>
    <row r="63" spans="1:26" ht="15" thickBot="1" x14ac:dyDescent="0.35">
      <c r="A63" s="24"/>
      <c r="B63" s="220"/>
      <c r="C63" s="58"/>
      <c r="D63" s="223"/>
      <c r="E63" s="223"/>
      <c r="F63" s="223" t="s">
        <v>172</v>
      </c>
      <c r="G63" s="223" t="s">
        <v>171</v>
      </c>
      <c r="H63" s="223"/>
      <c r="I63" s="8"/>
      <c r="J63" s="5"/>
      <c r="K63" s="108"/>
      <c r="S63" s="117"/>
      <c r="T63" s="213"/>
      <c r="U63" s="213"/>
      <c r="V63" s="213"/>
      <c r="W63" s="184"/>
      <c r="X63" s="126"/>
      <c r="Y63" s="125"/>
    </row>
    <row r="64" spans="1:26" x14ac:dyDescent="0.3">
      <c r="A64" s="24"/>
      <c r="B64" s="220"/>
      <c r="C64" s="40">
        <v>31572</v>
      </c>
      <c r="D64" s="28" t="s">
        <v>3</v>
      </c>
      <c r="E64" s="220" t="s">
        <v>32</v>
      </c>
      <c r="F64" s="28">
        <v>3</v>
      </c>
      <c r="G64" s="220">
        <v>0</v>
      </c>
      <c r="H64" s="220"/>
      <c r="I64" s="5" t="s">
        <v>146</v>
      </c>
      <c r="J64" s="5"/>
      <c r="K64" s="108"/>
      <c r="S64" s="117"/>
      <c r="T64" s="213"/>
      <c r="U64" s="213"/>
      <c r="V64" s="213"/>
      <c r="W64" s="166"/>
      <c r="X64" s="126"/>
      <c r="Y64" s="125"/>
    </row>
    <row r="65" spans="1:26" ht="15" thickBot="1" x14ac:dyDescent="0.35">
      <c r="A65" s="24"/>
      <c r="B65" s="220"/>
      <c r="C65" s="58"/>
      <c r="D65" s="223"/>
      <c r="E65" s="223"/>
      <c r="F65" s="223" t="s">
        <v>172</v>
      </c>
      <c r="G65" s="223" t="s">
        <v>171</v>
      </c>
      <c r="H65" s="223"/>
      <c r="I65" s="8"/>
      <c r="J65" s="5"/>
      <c r="K65" s="108"/>
      <c r="S65" s="117"/>
      <c r="T65" s="213"/>
      <c r="U65" s="213"/>
      <c r="V65" s="213"/>
      <c r="W65" s="184"/>
      <c r="X65" s="126"/>
      <c r="Y65" s="125"/>
    </row>
    <row r="66" spans="1:26" x14ac:dyDescent="0.3">
      <c r="A66" s="24"/>
      <c r="B66" s="220"/>
      <c r="C66" s="40">
        <v>31572</v>
      </c>
      <c r="D66" s="28" t="s">
        <v>101</v>
      </c>
      <c r="E66" s="220" t="s">
        <v>251</v>
      </c>
      <c r="F66" s="28">
        <v>2</v>
      </c>
      <c r="G66" s="220">
        <v>0</v>
      </c>
      <c r="H66" s="220"/>
      <c r="I66" s="5" t="s">
        <v>252</v>
      </c>
      <c r="J66" s="5"/>
      <c r="K66" s="108"/>
      <c r="S66" s="117"/>
      <c r="T66" s="213"/>
      <c r="U66" s="213"/>
      <c r="V66" s="213"/>
      <c r="W66" s="166"/>
      <c r="X66" s="126"/>
      <c r="Y66" s="125"/>
    </row>
    <row r="67" spans="1:26" x14ac:dyDescent="0.3">
      <c r="A67" s="194"/>
      <c r="B67" s="220"/>
      <c r="C67" s="220"/>
      <c r="D67" s="220"/>
      <c r="E67" s="220"/>
      <c r="F67" s="220" t="s">
        <v>170</v>
      </c>
      <c r="G67" s="5" t="s">
        <v>171</v>
      </c>
      <c r="H67" s="5"/>
      <c r="I67" s="5"/>
      <c r="J67" s="5"/>
      <c r="K67" s="108"/>
      <c r="S67" s="117"/>
      <c r="T67" s="213"/>
      <c r="U67" s="213"/>
      <c r="V67" s="213"/>
      <c r="W67" s="166"/>
      <c r="X67" s="126"/>
      <c r="Y67" s="125"/>
    </row>
    <row r="68" spans="1:26" x14ac:dyDescent="0.3">
      <c r="A68" s="194"/>
      <c r="B68" s="220"/>
      <c r="C68" s="220"/>
      <c r="D68" s="220"/>
      <c r="E68" s="220"/>
      <c r="F68" s="220"/>
      <c r="G68" s="5"/>
      <c r="H68" s="5"/>
      <c r="I68" s="5"/>
      <c r="J68" s="5"/>
      <c r="K68" s="108"/>
      <c r="S68" s="117"/>
      <c r="T68" s="213"/>
      <c r="U68" s="213"/>
      <c r="V68" s="213"/>
      <c r="W68" s="184"/>
      <c r="X68" s="126"/>
      <c r="Y68" s="125"/>
    </row>
    <row r="69" spans="1:26" ht="15" thickBot="1" x14ac:dyDescent="0.35">
      <c r="A69" s="24"/>
      <c r="B69" s="220"/>
      <c r="C69" s="220" t="s">
        <v>12</v>
      </c>
      <c r="D69" s="220" t="s">
        <v>13</v>
      </c>
      <c r="E69" s="220" t="s">
        <v>14</v>
      </c>
      <c r="F69" s="220" t="s">
        <v>15</v>
      </c>
      <c r="G69" s="5" t="s">
        <v>24</v>
      </c>
      <c r="H69" s="5" t="s">
        <v>25</v>
      </c>
      <c r="I69" s="5" t="s">
        <v>26</v>
      </c>
      <c r="J69" s="5" t="s">
        <v>27</v>
      </c>
      <c r="K69" s="108"/>
      <c r="S69" s="122"/>
      <c r="T69" s="17"/>
      <c r="U69" s="17"/>
      <c r="V69" s="17"/>
      <c r="W69" s="17"/>
      <c r="X69" s="126"/>
      <c r="Y69" s="125"/>
    </row>
    <row r="70" spans="1:26" x14ac:dyDescent="0.3">
      <c r="A70" s="24"/>
      <c r="B70" s="14" t="s">
        <v>101</v>
      </c>
      <c r="C70" s="222">
        <f>COUNTIF($S$56:$T$61,"UdSSR")</f>
        <v>3</v>
      </c>
      <c r="D70" s="124">
        <f>SUMPRODUCT(($S$56:$T$61=B70)*($X$56:$Y$61=3))</f>
        <v>2</v>
      </c>
      <c r="E70" s="124">
        <f>SUMPRODUCT(($S$56:$T$61=B70)*($X$56:$Y$61=1))</f>
        <v>1</v>
      </c>
      <c r="F70" s="124">
        <f>SUMPRODUCT(($S$56:$T$61=B70)*($X$56:$Y$61=2))</f>
        <v>0</v>
      </c>
      <c r="G70" s="124">
        <f>SUMPRODUCT(($S$56:$S$61=B70)*($U$56:$U$61))+SUMPRODUCT(($T$56:$T$61=B70)*($V$56:$V$61))</f>
        <v>9</v>
      </c>
      <c r="H70" s="124">
        <f>SUMPRODUCT(($S$56:$S$61=B70)*($V$56:$V$61))+SUMPRODUCT(($T$56:$T$61=B70)*($U$56:$U$61))</f>
        <v>1</v>
      </c>
      <c r="I70" s="15">
        <f>(D70*2)+E70</f>
        <v>5</v>
      </c>
      <c r="J70" s="16">
        <f>(F70*2)+E70</f>
        <v>1</v>
      </c>
      <c r="K70" s="109"/>
      <c r="L70" s="13"/>
      <c r="M70" s="13"/>
      <c r="N70" s="13"/>
      <c r="O70" s="13"/>
      <c r="P70" s="13"/>
      <c r="Q70" s="13"/>
      <c r="R70" s="13"/>
      <c r="S70" s="122"/>
      <c r="T70" s="17"/>
      <c r="U70" s="17"/>
      <c r="V70" s="17"/>
      <c r="W70" s="17"/>
      <c r="X70" s="126"/>
      <c r="Y70" s="125"/>
      <c r="Z70" s="13"/>
    </row>
    <row r="71" spans="1:26" s="13" customFormat="1" x14ac:dyDescent="0.3">
      <c r="A71" s="24"/>
      <c r="B71" s="21" t="s">
        <v>3</v>
      </c>
      <c r="C71" s="220">
        <f>COUNTIF($S$56:$T$61,"Frankreich")</f>
        <v>3</v>
      </c>
      <c r="D71" s="43">
        <f>SUMPRODUCT(($S$56:$T$61=B71)*($X$56:$Y$61=3))</f>
        <v>2</v>
      </c>
      <c r="E71" s="43">
        <f>SUMPRODUCT(($S$56:$T$61=B71)*($X$56:$Y$61=1))</f>
        <v>1</v>
      </c>
      <c r="F71" s="43">
        <f>SUMPRODUCT(($S$56:$T$61=B71)*($X$56:$Y$61=2))</f>
        <v>0</v>
      </c>
      <c r="G71" s="43">
        <f>SUMPRODUCT(($S$56:$S$61=B71)*($U$56:$U$61))+SUMPRODUCT(($T$56:$T$61=B71)*($V$56:$V$61))</f>
        <v>5</v>
      </c>
      <c r="H71" s="43">
        <f>SUMPRODUCT(($S$56:$S$61=B71)*($V$56:$V$61))+SUMPRODUCT(($T$56:$T$61=B71)*($U$56:$U$61))</f>
        <v>1</v>
      </c>
      <c r="I71" s="18">
        <f>(D71*2)+E71</f>
        <v>5</v>
      </c>
      <c r="J71" s="22">
        <f>(F71*2)+E71</f>
        <v>1</v>
      </c>
      <c r="K71" s="109"/>
      <c r="S71" s="122"/>
      <c r="T71" s="17"/>
      <c r="U71" s="17"/>
      <c r="V71" s="17"/>
      <c r="W71" s="17"/>
      <c r="X71" s="126"/>
      <c r="Y71" s="125"/>
    </row>
    <row r="72" spans="1:26" s="13" customFormat="1" x14ac:dyDescent="0.3">
      <c r="A72" s="24"/>
      <c r="B72" s="3" t="s">
        <v>32</v>
      </c>
      <c r="C72" s="220">
        <f>COUNTIF($S$56:$T$61,"Ungarn")</f>
        <v>3</v>
      </c>
      <c r="D72" s="43">
        <f>SUMPRODUCT(($S$56:$T$61=B72)*($X$56:$Y$61=3))</f>
        <v>1</v>
      </c>
      <c r="E72" s="43">
        <f>SUMPRODUCT(($S$56:$T$61=B72)*($X$56:$Y$61=1))</f>
        <v>0</v>
      </c>
      <c r="F72" s="43">
        <f>SUMPRODUCT(($S$56:$T$61=B72)*($X$56:$Y$61=2))</f>
        <v>2</v>
      </c>
      <c r="G72" s="43">
        <f>SUMPRODUCT(($S$56:$S$61=B72)*($U$56:$U$61))+SUMPRODUCT(($T$56:$T$61=B72)*($V$56:$V$61))</f>
        <v>2</v>
      </c>
      <c r="H72" s="43">
        <f>SUMPRODUCT(($S$56:$S$61=B72)*($V$56:$V$61))+SUMPRODUCT(($T$56:$T$61=B72)*($U$56:$U$61))</f>
        <v>9</v>
      </c>
      <c r="I72" s="18">
        <f>(D72*2)+E72</f>
        <v>2</v>
      </c>
      <c r="J72" s="22">
        <f>(F72*2)+E72</f>
        <v>4</v>
      </c>
      <c r="K72" s="108"/>
      <c r="L72"/>
      <c r="M72"/>
      <c r="N72"/>
      <c r="O72"/>
      <c r="P72"/>
      <c r="Q72"/>
      <c r="R72"/>
      <c r="S72" s="122"/>
      <c r="T72" s="17"/>
      <c r="U72" s="17"/>
      <c r="V72" s="17"/>
      <c r="W72" s="17"/>
      <c r="X72" s="126"/>
      <c r="Y72" s="125"/>
      <c r="Z72"/>
    </row>
    <row r="73" spans="1:26" ht="15" thickBot="1" x14ac:dyDescent="0.35">
      <c r="A73" s="24"/>
      <c r="B73" s="29" t="s">
        <v>251</v>
      </c>
      <c r="C73" s="223">
        <f>COUNTIF($S$56:$T$61,"Kanada")</f>
        <v>3</v>
      </c>
      <c r="D73" s="80">
        <f>SUMPRODUCT(($S$56:$T$61=B73)*($X$56:$Y$61=3))</f>
        <v>0</v>
      </c>
      <c r="E73" s="80">
        <f>SUMPRODUCT(($S$56:$T$61=B73)*($X$56:$Y$61=1))</f>
        <v>0</v>
      </c>
      <c r="F73" s="80">
        <f>SUMPRODUCT(($S$56:$T$61=B73)*($X$56:$Y$61=2))</f>
        <v>3</v>
      </c>
      <c r="G73" s="80">
        <f>SUMPRODUCT(($S$56:$S$61=B73)*($U$56:$U$61))+SUMPRODUCT(($T$56:$T$61=B73)*($V$56:$V$61))</f>
        <v>0</v>
      </c>
      <c r="H73" s="80">
        <f>SUMPRODUCT(($S$56:$S$61=B73)*($V$56:$V$61))+SUMPRODUCT(($T$56:$T$61=B73)*($U$56:$U$61))</f>
        <v>5</v>
      </c>
      <c r="I73" s="31">
        <f>(D73*2)+E73</f>
        <v>0</v>
      </c>
      <c r="J73" s="32">
        <f>(F73*2)+E73</f>
        <v>6</v>
      </c>
      <c r="K73" s="108"/>
      <c r="S73" s="122"/>
      <c r="T73" s="17"/>
      <c r="U73" s="17"/>
      <c r="V73" s="17"/>
      <c r="W73" s="17"/>
      <c r="X73" s="126"/>
      <c r="Y73" s="125"/>
    </row>
    <row r="74" spans="1:26" ht="15" thickBot="1" x14ac:dyDescent="0.35">
      <c r="A74" s="24"/>
      <c r="B74" s="220"/>
      <c r="C74" s="220"/>
      <c r="D74" s="220"/>
      <c r="E74" s="220"/>
      <c r="F74" s="220"/>
      <c r="G74" s="5"/>
      <c r="H74" s="5"/>
      <c r="I74" s="5"/>
      <c r="J74" s="5"/>
      <c r="K74" s="193"/>
      <c r="S74" s="122"/>
      <c r="T74" s="17"/>
      <c r="U74" s="17"/>
      <c r="V74" s="17"/>
      <c r="W74" s="17"/>
      <c r="X74" s="126"/>
      <c r="Y74" s="125"/>
    </row>
    <row r="75" spans="1:26" ht="15" thickTop="1" x14ac:dyDescent="0.3">
      <c r="A75" s="236"/>
      <c r="B75" s="25"/>
      <c r="C75" s="25"/>
      <c r="D75" s="25"/>
      <c r="E75" s="25"/>
      <c r="F75" s="25"/>
      <c r="G75" s="26"/>
      <c r="H75" s="26"/>
      <c r="I75" s="26"/>
      <c r="J75" s="26"/>
      <c r="K75" s="108"/>
      <c r="S75" s="122"/>
      <c r="T75" s="17"/>
      <c r="U75" s="17"/>
      <c r="V75" s="17"/>
      <c r="W75" s="17"/>
      <c r="X75" s="126"/>
      <c r="Y75" s="125"/>
    </row>
    <row r="76" spans="1:26" ht="21" x14ac:dyDescent="0.4">
      <c r="A76" s="24"/>
      <c r="B76" s="220"/>
      <c r="C76" s="220"/>
      <c r="D76" s="220"/>
      <c r="E76" s="220"/>
      <c r="F76" s="219" t="s">
        <v>122</v>
      </c>
      <c r="G76" s="5"/>
      <c r="H76" s="5"/>
      <c r="I76" s="5"/>
      <c r="J76" s="5"/>
      <c r="K76" s="108"/>
      <c r="S76" s="122"/>
      <c r="T76" s="17"/>
      <c r="U76" s="17"/>
      <c r="V76" s="17"/>
      <c r="W76" s="17"/>
      <c r="X76" s="126"/>
      <c r="Y76" s="125"/>
    </row>
    <row r="77" spans="1:26" x14ac:dyDescent="0.3">
      <c r="A77" s="24"/>
      <c r="B77" s="28"/>
      <c r="C77" s="220"/>
      <c r="D77" s="220"/>
      <c r="E77" s="220"/>
      <c r="F77" s="220"/>
      <c r="G77" s="5"/>
      <c r="H77" s="5"/>
      <c r="I77" s="5"/>
      <c r="J77" s="5"/>
      <c r="K77" s="108"/>
      <c r="S77" s="122"/>
      <c r="T77" s="17"/>
      <c r="U77" s="17"/>
      <c r="V77" s="17"/>
      <c r="W77" s="17"/>
      <c r="X77" s="126"/>
      <c r="Y77" s="125"/>
    </row>
    <row r="78" spans="1:26" x14ac:dyDescent="0.3">
      <c r="A78" s="24"/>
      <c r="B78" s="220"/>
      <c r="C78" s="40">
        <v>31564</v>
      </c>
      <c r="D78" s="220" t="s">
        <v>35</v>
      </c>
      <c r="E78" s="28" t="s">
        <v>9</v>
      </c>
      <c r="F78" s="220">
        <v>0</v>
      </c>
      <c r="G78" s="28">
        <v>1</v>
      </c>
      <c r="H78" s="220"/>
      <c r="I78" s="228" t="s">
        <v>253</v>
      </c>
      <c r="J78" s="5"/>
      <c r="K78" s="108"/>
      <c r="S78" s="117" t="s">
        <v>35</v>
      </c>
      <c r="T78" s="213" t="s">
        <v>9</v>
      </c>
      <c r="U78" s="213">
        <v>0</v>
      </c>
      <c r="V78" s="213">
        <v>1</v>
      </c>
      <c r="W78" s="209"/>
      <c r="X78" s="126">
        <f t="shared" ref="X78:X79" si="8">(IF(U78&gt;V78,3,IF(U78=V78,1,2)))</f>
        <v>2</v>
      </c>
      <c r="Y78" s="125">
        <f t="shared" ref="Y78:Y79" si="9">(IF(V78&gt;U78,3,IF(U78=V78,1,2)))</f>
        <v>3</v>
      </c>
    </row>
    <row r="79" spans="1:26" ht="15" thickBot="1" x14ac:dyDescent="0.35">
      <c r="A79" s="24"/>
      <c r="B79" s="220"/>
      <c r="C79" s="58"/>
      <c r="D79" s="223"/>
      <c r="E79" s="223"/>
      <c r="F79" s="223" t="s">
        <v>170</v>
      </c>
      <c r="G79" s="223" t="s">
        <v>171</v>
      </c>
      <c r="H79" s="223"/>
      <c r="I79" s="201"/>
      <c r="J79" s="5"/>
      <c r="K79" s="108"/>
      <c r="S79" s="117" t="s">
        <v>192</v>
      </c>
      <c r="T79" s="213" t="s">
        <v>98</v>
      </c>
      <c r="U79" s="213">
        <v>1</v>
      </c>
      <c r="V79" s="213">
        <v>1</v>
      </c>
      <c r="W79" s="209"/>
      <c r="X79" s="126">
        <f t="shared" si="8"/>
        <v>1</v>
      </c>
      <c r="Y79" s="125">
        <f t="shared" si="9"/>
        <v>1</v>
      </c>
    </row>
    <row r="80" spans="1:26" x14ac:dyDescent="0.3">
      <c r="A80" s="24"/>
      <c r="B80" s="220"/>
      <c r="C80" s="40">
        <v>31566</v>
      </c>
      <c r="D80" s="220" t="s">
        <v>192</v>
      </c>
      <c r="E80" s="220" t="s">
        <v>98</v>
      </c>
      <c r="F80" s="220">
        <v>1</v>
      </c>
      <c r="G80" s="220">
        <v>1</v>
      </c>
      <c r="H80" s="220"/>
      <c r="I80" s="228" t="s">
        <v>254</v>
      </c>
      <c r="J80" s="5"/>
      <c r="K80" s="108"/>
      <c r="S80" s="122" t="s">
        <v>9</v>
      </c>
      <c r="T80" s="17" t="s">
        <v>192</v>
      </c>
      <c r="U80" s="17">
        <v>1</v>
      </c>
      <c r="V80" s="17">
        <v>0</v>
      </c>
      <c r="W80" s="17"/>
      <c r="X80" s="126">
        <f t="shared" ref="X80:X83" si="10">(IF(U80&gt;V80,3,IF(U80=V80,1,2)))</f>
        <v>3</v>
      </c>
      <c r="Y80" s="125">
        <f t="shared" ref="Y80:Y83" si="11">(IF(V80&gt;U80,3,IF(U80=V80,1,2)))</f>
        <v>2</v>
      </c>
    </row>
    <row r="81" spans="1:25" ht="15" thickBot="1" x14ac:dyDescent="0.35">
      <c r="A81" s="24"/>
      <c r="B81" s="220"/>
      <c r="C81" s="58"/>
      <c r="D81" s="223"/>
      <c r="E81" s="223"/>
      <c r="F81" s="223" t="s">
        <v>170</v>
      </c>
      <c r="G81" s="223" t="s">
        <v>183</v>
      </c>
      <c r="H81" s="223"/>
      <c r="I81" s="201"/>
      <c r="J81" s="5"/>
      <c r="K81" s="108"/>
      <c r="S81" s="122" t="s">
        <v>98</v>
      </c>
      <c r="T81" s="17" t="s">
        <v>35</v>
      </c>
      <c r="U81" s="17">
        <v>1</v>
      </c>
      <c r="V81" s="17">
        <v>2</v>
      </c>
      <c r="W81" s="17"/>
      <c r="X81" s="126">
        <f t="shared" si="10"/>
        <v>2</v>
      </c>
      <c r="Y81" s="125">
        <f t="shared" si="11"/>
        <v>3</v>
      </c>
    </row>
    <row r="82" spans="1:25" x14ac:dyDescent="0.3">
      <c r="A82" s="24"/>
      <c r="B82" s="220"/>
      <c r="C82" s="40">
        <v>31569</v>
      </c>
      <c r="D82" s="28" t="s">
        <v>9</v>
      </c>
      <c r="E82" s="220" t="s">
        <v>192</v>
      </c>
      <c r="F82" s="28">
        <v>1</v>
      </c>
      <c r="G82" s="220">
        <v>0</v>
      </c>
      <c r="H82" s="220"/>
      <c r="I82" s="228" t="s">
        <v>253</v>
      </c>
      <c r="J82" s="5"/>
      <c r="K82" s="108"/>
      <c r="S82" s="117" t="s">
        <v>98</v>
      </c>
      <c r="T82" s="213" t="s">
        <v>9</v>
      </c>
      <c r="U82" s="213">
        <v>0</v>
      </c>
      <c r="V82" s="213">
        <v>3</v>
      </c>
      <c r="W82" s="166"/>
      <c r="X82" s="126">
        <f t="shared" si="10"/>
        <v>2</v>
      </c>
      <c r="Y82" s="125">
        <f t="shared" si="11"/>
        <v>3</v>
      </c>
    </row>
    <row r="83" spans="1:25" ht="15" thickBot="1" x14ac:dyDescent="0.35">
      <c r="A83" s="24"/>
      <c r="B83" s="220"/>
      <c r="C83" s="58"/>
      <c r="D83" s="223"/>
      <c r="E83" s="223"/>
      <c r="F83" s="223" t="s">
        <v>170</v>
      </c>
      <c r="G83" s="223" t="s">
        <v>171</v>
      </c>
      <c r="H83" s="223"/>
      <c r="I83" s="201"/>
      <c r="J83" s="5"/>
      <c r="K83" s="108"/>
      <c r="S83" s="117" t="s">
        <v>192</v>
      </c>
      <c r="T83" s="213" t="s">
        <v>35</v>
      </c>
      <c r="U83" s="213">
        <v>0</v>
      </c>
      <c r="V83" s="213">
        <v>3</v>
      </c>
      <c r="W83" s="184"/>
      <c r="X83" s="126">
        <f t="shared" si="10"/>
        <v>2</v>
      </c>
      <c r="Y83" s="125">
        <f t="shared" si="11"/>
        <v>3</v>
      </c>
    </row>
    <row r="84" spans="1:25" x14ac:dyDescent="0.3">
      <c r="A84" s="24"/>
      <c r="B84" s="220"/>
      <c r="C84" s="40">
        <v>31570</v>
      </c>
      <c r="D84" s="220" t="s">
        <v>98</v>
      </c>
      <c r="E84" s="28" t="s">
        <v>35</v>
      </c>
      <c r="F84" s="220">
        <v>1</v>
      </c>
      <c r="G84" s="28">
        <v>2</v>
      </c>
      <c r="H84" s="220"/>
      <c r="I84" s="228" t="s">
        <v>254</v>
      </c>
      <c r="J84" s="5"/>
      <c r="K84" s="108"/>
      <c r="S84" s="117"/>
      <c r="T84" s="213"/>
      <c r="U84" s="213"/>
      <c r="V84" s="213"/>
      <c r="W84" s="166"/>
      <c r="X84" s="126"/>
      <c r="Y84" s="125"/>
    </row>
    <row r="85" spans="1:25" ht="15" thickBot="1" x14ac:dyDescent="0.35">
      <c r="A85" s="24"/>
      <c r="B85" s="220"/>
      <c r="C85" s="58"/>
      <c r="D85" s="223"/>
      <c r="E85" s="223"/>
      <c r="F85" s="223" t="s">
        <v>170</v>
      </c>
      <c r="G85" s="223" t="s">
        <v>173</v>
      </c>
      <c r="H85" s="223"/>
      <c r="I85" s="201"/>
      <c r="J85" s="5"/>
      <c r="K85" s="108"/>
      <c r="S85" s="117"/>
      <c r="T85" s="213"/>
      <c r="U85" s="213"/>
      <c r="V85" s="213"/>
      <c r="W85" s="184"/>
      <c r="X85" s="126"/>
      <c r="Y85" s="125"/>
    </row>
    <row r="86" spans="1:25" x14ac:dyDescent="0.3">
      <c r="A86" s="24"/>
      <c r="B86" s="220"/>
      <c r="C86" s="40">
        <v>31575</v>
      </c>
      <c r="D86" s="220" t="s">
        <v>98</v>
      </c>
      <c r="E86" s="28" t="s">
        <v>9</v>
      </c>
      <c r="F86" s="220">
        <v>0</v>
      </c>
      <c r="G86" s="28">
        <v>3</v>
      </c>
      <c r="H86" s="220"/>
      <c r="I86" s="228" t="s">
        <v>253</v>
      </c>
      <c r="J86" s="5"/>
      <c r="K86" s="108"/>
      <c r="S86" s="117"/>
      <c r="T86" s="213"/>
      <c r="U86" s="213"/>
      <c r="V86" s="213"/>
      <c r="W86" s="166"/>
      <c r="X86" s="126"/>
      <c r="Y86" s="125"/>
    </row>
    <row r="87" spans="1:25" ht="15" thickBot="1" x14ac:dyDescent="0.35">
      <c r="A87" s="24"/>
      <c r="B87" s="220"/>
      <c r="C87" s="58"/>
      <c r="D87" s="223"/>
      <c r="E87" s="223"/>
      <c r="F87" s="223" t="s">
        <v>170</v>
      </c>
      <c r="G87" s="223" t="s">
        <v>183</v>
      </c>
      <c r="H87" s="223"/>
      <c r="I87" s="201"/>
      <c r="J87" s="5"/>
      <c r="K87" s="108"/>
      <c r="S87" s="117"/>
      <c r="T87" s="213"/>
      <c r="U87" s="213"/>
      <c r="V87" s="213"/>
      <c r="W87" s="184"/>
      <c r="X87" s="126"/>
      <c r="Y87" s="125"/>
    </row>
    <row r="88" spans="1:25" x14ac:dyDescent="0.3">
      <c r="A88" s="24"/>
      <c r="B88" s="220"/>
      <c r="C88" s="40">
        <v>31575</v>
      </c>
      <c r="D88" s="17" t="s">
        <v>192</v>
      </c>
      <c r="E88" s="52" t="s">
        <v>35</v>
      </c>
      <c r="F88" s="17">
        <v>0</v>
      </c>
      <c r="G88" s="52">
        <v>3</v>
      </c>
      <c r="H88" s="220"/>
      <c r="I88" s="228" t="s">
        <v>255</v>
      </c>
      <c r="J88" s="5"/>
      <c r="K88" s="108"/>
      <c r="S88" s="117"/>
      <c r="T88" s="213"/>
      <c r="U88" s="213"/>
      <c r="V88" s="213"/>
      <c r="W88" s="166"/>
      <c r="X88" s="126"/>
      <c r="Y88" s="125"/>
    </row>
    <row r="89" spans="1:25" x14ac:dyDescent="0.3">
      <c r="A89" s="194"/>
      <c r="B89" s="17"/>
      <c r="C89" s="17"/>
      <c r="D89" s="17"/>
      <c r="E89" s="17"/>
      <c r="F89" s="220" t="s">
        <v>170</v>
      </c>
      <c r="G89" s="5" t="s">
        <v>173</v>
      </c>
      <c r="H89" s="5"/>
      <c r="I89" s="5"/>
      <c r="J89" s="5"/>
      <c r="K89" s="108"/>
      <c r="S89" s="117"/>
      <c r="T89" s="213"/>
      <c r="U89" s="213"/>
      <c r="V89" s="213"/>
      <c r="W89" s="166"/>
      <c r="X89" s="126"/>
      <c r="Y89" s="125"/>
    </row>
    <row r="90" spans="1:25" x14ac:dyDescent="0.3">
      <c r="A90" s="194"/>
      <c r="B90" s="17"/>
      <c r="C90" s="17"/>
      <c r="D90" s="17"/>
      <c r="E90" s="17"/>
      <c r="F90" s="220"/>
      <c r="G90" s="5"/>
      <c r="H90" s="5"/>
      <c r="I90" s="5"/>
      <c r="J90" s="5"/>
      <c r="K90" s="108"/>
      <c r="S90" s="117"/>
      <c r="T90" s="213"/>
      <c r="U90" s="213"/>
      <c r="V90" s="213"/>
      <c r="W90" s="184"/>
      <c r="X90" s="126"/>
      <c r="Y90" s="125"/>
    </row>
    <row r="91" spans="1:25" ht="15" thickBot="1" x14ac:dyDescent="0.35">
      <c r="A91" s="24"/>
      <c r="B91" s="220"/>
      <c r="C91" s="220" t="s">
        <v>12</v>
      </c>
      <c r="D91" s="220" t="s">
        <v>13</v>
      </c>
      <c r="E91" s="220" t="s">
        <v>14</v>
      </c>
      <c r="F91" s="220" t="s">
        <v>15</v>
      </c>
      <c r="G91" s="5" t="s">
        <v>24</v>
      </c>
      <c r="H91" s="5" t="s">
        <v>25</v>
      </c>
      <c r="I91" s="5" t="s">
        <v>26</v>
      </c>
      <c r="J91" s="5" t="s">
        <v>27</v>
      </c>
      <c r="K91" s="108"/>
      <c r="S91" s="117"/>
      <c r="T91" s="213"/>
      <c r="U91" s="213"/>
      <c r="V91" s="213"/>
      <c r="W91" s="166"/>
      <c r="X91" s="126"/>
      <c r="Y91" s="125"/>
    </row>
    <row r="92" spans="1:25" s="13" customFormat="1" x14ac:dyDescent="0.3">
      <c r="A92" s="24"/>
      <c r="B92" s="14" t="s">
        <v>9</v>
      </c>
      <c r="C92" s="222">
        <f>COUNTIF($S$78:$T$83,"Brasilien")</f>
        <v>3</v>
      </c>
      <c r="D92" s="124">
        <f>SUMPRODUCT(($S$78:$T$83=B92)*($X$78:$Y$83=3))</f>
        <v>3</v>
      </c>
      <c r="E92" s="124">
        <f>SUMPRODUCT(($S$78:$T$83=B92)*($X$78:$Y$83=1))</f>
        <v>0</v>
      </c>
      <c r="F92" s="124">
        <f>SUMPRODUCT(($S$78:$T$83=B92)*($X$78:$Y$83=2))</f>
        <v>0</v>
      </c>
      <c r="G92" s="124">
        <f>SUMPRODUCT(($S$78:$S$83=B92)*($U$78:$U$83))+SUMPRODUCT(($T$78:$T$83=B92)*($V$78:$V$83))</f>
        <v>5</v>
      </c>
      <c r="H92" s="124">
        <f>SUMPRODUCT(($S$78:$S$83=B92)*($V$78:$V$83))+SUMPRODUCT(($T$78:$T$83=B92)*($U$78:$U$83))</f>
        <v>0</v>
      </c>
      <c r="I92" s="15">
        <f>(D92*2)+E92</f>
        <v>6</v>
      </c>
      <c r="J92" s="16">
        <f>(F92*2)+E92</f>
        <v>0</v>
      </c>
      <c r="K92" s="109"/>
      <c r="S92" s="117"/>
      <c r="T92" s="213"/>
      <c r="U92" s="213"/>
      <c r="V92" s="213"/>
      <c r="W92" s="166"/>
      <c r="X92" s="126"/>
      <c r="Y92" s="125"/>
    </row>
    <row r="93" spans="1:25" s="13" customFormat="1" x14ac:dyDescent="0.3">
      <c r="A93" s="24"/>
      <c r="B93" s="21" t="s">
        <v>35</v>
      </c>
      <c r="C93" s="220">
        <f>COUNTIF($S$78:$T$83,"Spanien")</f>
        <v>3</v>
      </c>
      <c r="D93" s="43">
        <f>SUMPRODUCT(($S$78:$T$83=B93)*($X$78:$Y$83=3))</f>
        <v>2</v>
      </c>
      <c r="E93" s="43">
        <f>SUMPRODUCT(($S$78:$T$83=B93)*($X$78:$Y$83=1))</f>
        <v>0</v>
      </c>
      <c r="F93" s="43">
        <f>SUMPRODUCT(($S$78:$T$83=B93)*($X$78:$Y$83=2))</f>
        <v>1</v>
      </c>
      <c r="G93" s="43">
        <f>SUMPRODUCT(($S$78:$S$83=B93)*($U$78:$U$83))+SUMPRODUCT(($T$78:$T$83=B93)*($V$78:$V$83))</f>
        <v>5</v>
      </c>
      <c r="H93" s="43">
        <f>SUMPRODUCT(($S$78:$S$83=B93)*($V$78:$V$83))+SUMPRODUCT(($T$78:$T$83=B93)*($U$78:$U$83))</f>
        <v>2</v>
      </c>
      <c r="I93" s="18">
        <f>(D93*2)+E93</f>
        <v>4</v>
      </c>
      <c r="J93" s="22">
        <f>(F93*2)+E93</f>
        <v>2</v>
      </c>
      <c r="K93" s="109"/>
      <c r="S93" s="117"/>
      <c r="T93" s="213"/>
      <c r="U93" s="213"/>
      <c r="V93" s="213"/>
      <c r="W93" s="166"/>
      <c r="X93" s="126"/>
      <c r="Y93" s="125"/>
    </row>
    <row r="94" spans="1:25" x14ac:dyDescent="0.3">
      <c r="A94" s="24"/>
      <c r="B94" s="3" t="s">
        <v>98</v>
      </c>
      <c r="C94" s="220">
        <f>COUNTIF($S$78:$T$83,"Nordirland")</f>
        <v>3</v>
      </c>
      <c r="D94" s="43">
        <f>SUMPRODUCT(($S$78:$T$83=B94)*($X$78:$Y$83=3))</f>
        <v>0</v>
      </c>
      <c r="E94" s="43">
        <f>SUMPRODUCT(($S$78:$T$83=B94)*($X$78:$Y$83=1))</f>
        <v>1</v>
      </c>
      <c r="F94" s="43">
        <f>SUMPRODUCT(($S$78:$T$83=B94)*($X$78:$Y$83=2))</f>
        <v>2</v>
      </c>
      <c r="G94" s="43">
        <f>SUMPRODUCT(($S$78:$S$83=B94)*($U$78:$U$83))+SUMPRODUCT(($T$78:$T$83=B94)*($V$78:$V$83))</f>
        <v>2</v>
      </c>
      <c r="H94" s="43">
        <f>SUMPRODUCT(($S$78:$S$83=B94)*($V$78:$V$83))+SUMPRODUCT(($T$78:$T$83=B94)*($U$78:$U$83))</f>
        <v>6</v>
      </c>
      <c r="I94" s="18">
        <f>(D94*2)+E94</f>
        <v>1</v>
      </c>
      <c r="J94" s="22">
        <f>(F94*2)+E94</f>
        <v>5</v>
      </c>
      <c r="K94" s="108"/>
      <c r="S94" s="117"/>
      <c r="T94" s="213"/>
      <c r="U94" s="213"/>
      <c r="V94" s="213"/>
      <c r="W94" s="166"/>
      <c r="X94" s="126"/>
      <c r="Y94" s="125"/>
    </row>
    <row r="95" spans="1:25" ht="15" thickBot="1" x14ac:dyDescent="0.35">
      <c r="A95" s="24"/>
      <c r="B95" s="7" t="s">
        <v>192</v>
      </c>
      <c r="C95" s="223">
        <f>COUNTIF($S$78:$T$83,"Algerien")</f>
        <v>3</v>
      </c>
      <c r="D95" s="80">
        <f>SUMPRODUCT(($S$78:$T$83=B95)*($X$78:$Y$83=3))</f>
        <v>0</v>
      </c>
      <c r="E95" s="80">
        <f>SUMPRODUCT(($S$78:$T$83=B95)*($X$78:$Y$83=1))</f>
        <v>1</v>
      </c>
      <c r="F95" s="80">
        <f>SUMPRODUCT(($S$78:$T$83=B95)*($X$78:$Y$83=2))</f>
        <v>2</v>
      </c>
      <c r="G95" s="80">
        <f>SUMPRODUCT(($S$78:$S$83=B95)*($U$78:$U$83))+SUMPRODUCT(($T$78:$T$83=B95)*($V$78:$V$83))</f>
        <v>1</v>
      </c>
      <c r="H95" s="80">
        <f>SUMPRODUCT(($S$78:$S$83=B95)*($V$78:$V$83))+SUMPRODUCT(($T$78:$T$83=B95)*($U$78:$U$83))</f>
        <v>5</v>
      </c>
      <c r="I95" s="31">
        <f>(D95*2)+E95</f>
        <v>1</v>
      </c>
      <c r="J95" s="32">
        <f>(F95*2)+E95</f>
        <v>5</v>
      </c>
      <c r="K95" s="108"/>
      <c r="S95" s="117"/>
      <c r="T95" s="213"/>
      <c r="U95" s="213"/>
      <c r="V95" s="213"/>
      <c r="W95" s="166"/>
      <c r="X95" s="126"/>
      <c r="Y95" s="125"/>
    </row>
    <row r="96" spans="1:25" ht="15" thickBot="1" x14ac:dyDescent="0.35">
      <c r="A96" s="24"/>
      <c r="B96" s="220"/>
      <c r="C96" s="220"/>
      <c r="D96" s="220"/>
      <c r="E96" s="220"/>
      <c r="F96" s="220"/>
      <c r="G96" s="5"/>
      <c r="H96" s="5"/>
      <c r="I96" s="5"/>
      <c r="J96" s="5"/>
      <c r="K96" s="193"/>
      <c r="S96" s="117"/>
      <c r="T96" s="213"/>
      <c r="U96" s="213"/>
      <c r="V96" s="213"/>
      <c r="W96" s="166"/>
      <c r="X96" s="126"/>
      <c r="Y96" s="125"/>
    </row>
    <row r="97" spans="1:25" ht="15" thickTop="1" x14ac:dyDescent="0.3">
      <c r="A97" s="236"/>
      <c r="B97" s="25"/>
      <c r="C97" s="25"/>
      <c r="D97" s="25"/>
      <c r="E97" s="25"/>
      <c r="F97" s="25"/>
      <c r="G97" s="26"/>
      <c r="H97" s="26"/>
      <c r="I97" s="26"/>
      <c r="J97" s="26"/>
      <c r="K97" s="108"/>
      <c r="S97" s="117"/>
      <c r="T97" s="213"/>
      <c r="U97" s="213"/>
      <c r="V97" s="213"/>
      <c r="W97" s="166"/>
      <c r="X97" s="126"/>
      <c r="Y97" s="125"/>
    </row>
    <row r="98" spans="1:25" ht="21" x14ac:dyDescent="0.4">
      <c r="A98" s="24"/>
      <c r="B98" s="220"/>
      <c r="C98" s="220"/>
      <c r="D98" s="220"/>
      <c r="E98" s="220"/>
      <c r="F98" s="219" t="s">
        <v>246</v>
      </c>
      <c r="G98" s="5"/>
      <c r="H98" s="5"/>
      <c r="I98" s="5"/>
      <c r="J98" s="5"/>
      <c r="K98" s="108"/>
      <c r="S98" s="117"/>
      <c r="T98" s="213"/>
      <c r="U98" s="213"/>
      <c r="V98" s="213"/>
      <c r="W98" s="166"/>
      <c r="X98" s="126"/>
      <c r="Y98" s="125"/>
    </row>
    <row r="99" spans="1:25" x14ac:dyDescent="0.3">
      <c r="A99" s="24"/>
      <c r="B99" s="28"/>
      <c r="C99" s="220"/>
      <c r="D99" s="220"/>
      <c r="E99" s="220"/>
      <c r="F99" s="220"/>
      <c r="G99" s="5"/>
      <c r="H99" s="5"/>
      <c r="I99" s="5"/>
      <c r="J99" s="5"/>
      <c r="K99" s="108"/>
      <c r="S99" s="117"/>
      <c r="T99" s="213"/>
      <c r="U99" s="213"/>
      <c r="V99" s="213"/>
      <c r="W99" s="184"/>
      <c r="X99" s="126"/>
      <c r="Y99" s="125"/>
    </row>
    <row r="100" spans="1:25" x14ac:dyDescent="0.3">
      <c r="A100" s="24"/>
      <c r="B100" s="220"/>
      <c r="C100" s="40">
        <v>31567</v>
      </c>
      <c r="D100" s="220" t="s">
        <v>18</v>
      </c>
      <c r="E100" s="220" t="s">
        <v>88</v>
      </c>
      <c r="F100" s="220">
        <v>1</v>
      </c>
      <c r="G100" s="220">
        <v>1</v>
      </c>
      <c r="H100" s="220"/>
      <c r="I100" s="5" t="s">
        <v>256</v>
      </c>
      <c r="J100" s="5"/>
      <c r="K100" s="108"/>
      <c r="S100" s="117" t="s">
        <v>18</v>
      </c>
      <c r="T100" s="213" t="s">
        <v>88</v>
      </c>
      <c r="U100" s="213">
        <v>1</v>
      </c>
      <c r="V100" s="213">
        <v>1</v>
      </c>
      <c r="W100" s="166"/>
      <c r="X100" s="126">
        <f t="shared" ref="X100" si="12">(IF(U100&gt;V100,3,IF(U100=V100,1,2)))</f>
        <v>1</v>
      </c>
      <c r="Y100" s="125">
        <f t="shared" ref="Y100" si="13">(IF(V100&gt;U100,3,IF(U100=V100,1,2)))</f>
        <v>1</v>
      </c>
    </row>
    <row r="101" spans="1:25" ht="15" thickBot="1" x14ac:dyDescent="0.35">
      <c r="A101" s="24"/>
      <c r="B101" s="220"/>
      <c r="C101" s="58"/>
      <c r="D101" s="223"/>
      <c r="E101" s="223"/>
      <c r="F101" s="223" t="s">
        <v>172</v>
      </c>
      <c r="G101" s="223" t="s">
        <v>171</v>
      </c>
      <c r="H101" s="223"/>
      <c r="I101" s="8"/>
      <c r="J101" s="5"/>
      <c r="K101" s="108"/>
      <c r="S101" s="117" t="s">
        <v>81</v>
      </c>
      <c r="T101" s="213" t="s">
        <v>258</v>
      </c>
      <c r="U101" s="213">
        <v>0</v>
      </c>
      <c r="V101" s="213">
        <v>1</v>
      </c>
      <c r="W101" s="184"/>
      <c r="X101" s="126">
        <f t="shared" ref="X101:X105" si="14">(IF(U101&gt;V101,3,IF(U101=V101,1,2)))</f>
        <v>2</v>
      </c>
      <c r="Y101" s="125">
        <f t="shared" ref="Y101:Y105" si="15">(IF(V101&gt;U101,3,IF(U101=V101,1,2)))</f>
        <v>3</v>
      </c>
    </row>
    <row r="102" spans="1:25" x14ac:dyDescent="0.3">
      <c r="A102" s="24"/>
      <c r="B102" s="220"/>
      <c r="C102" s="40">
        <v>31567</v>
      </c>
      <c r="D102" s="220" t="s">
        <v>81</v>
      </c>
      <c r="E102" s="28" t="s">
        <v>258</v>
      </c>
      <c r="F102" s="220">
        <v>0</v>
      </c>
      <c r="G102" s="28">
        <v>1</v>
      </c>
      <c r="H102" s="220"/>
      <c r="I102" s="228" t="s">
        <v>257</v>
      </c>
      <c r="J102" s="5"/>
      <c r="K102" s="108"/>
      <c r="S102" s="117" t="s">
        <v>88</v>
      </c>
      <c r="T102" s="213" t="s">
        <v>81</v>
      </c>
      <c r="U102" s="213">
        <v>2</v>
      </c>
      <c r="V102" s="213">
        <v>1</v>
      </c>
      <c r="W102" s="166"/>
      <c r="X102" s="126">
        <f t="shared" si="14"/>
        <v>3</v>
      </c>
      <c r="Y102" s="125">
        <f t="shared" si="15"/>
        <v>2</v>
      </c>
    </row>
    <row r="103" spans="1:25" ht="15" thickBot="1" x14ac:dyDescent="0.35">
      <c r="A103" s="24"/>
      <c r="B103" s="220"/>
      <c r="C103" s="58"/>
      <c r="D103" s="223"/>
      <c r="E103" s="223"/>
      <c r="F103" s="223" t="s">
        <v>170</v>
      </c>
      <c r="G103" s="223" t="s">
        <v>171</v>
      </c>
      <c r="H103" s="223"/>
      <c r="I103" s="201"/>
      <c r="J103" s="5"/>
      <c r="K103" s="108"/>
      <c r="S103" s="117" t="s">
        <v>258</v>
      </c>
      <c r="T103" s="213" t="s">
        <v>18</v>
      </c>
      <c r="U103" s="213">
        <v>6</v>
      </c>
      <c r="V103" s="213">
        <v>1</v>
      </c>
      <c r="W103" s="184"/>
      <c r="X103" s="126">
        <f t="shared" si="14"/>
        <v>3</v>
      </c>
      <c r="Y103" s="125">
        <f t="shared" si="15"/>
        <v>2</v>
      </c>
    </row>
    <row r="104" spans="1:25" x14ac:dyDescent="0.3">
      <c r="A104" s="24"/>
      <c r="B104" s="220"/>
      <c r="C104" s="40">
        <v>31571</v>
      </c>
      <c r="D104" s="28" t="s">
        <v>88</v>
      </c>
      <c r="E104" s="220" t="s">
        <v>81</v>
      </c>
      <c r="F104" s="28">
        <v>2</v>
      </c>
      <c r="G104" s="220">
        <v>1</v>
      </c>
      <c r="H104" s="220"/>
      <c r="I104" s="5" t="s">
        <v>256</v>
      </c>
      <c r="J104" s="5"/>
      <c r="K104" s="108"/>
      <c r="S104" s="117" t="s">
        <v>258</v>
      </c>
      <c r="T104" s="213" t="s">
        <v>88</v>
      </c>
      <c r="U104" s="213">
        <v>2</v>
      </c>
      <c r="V104" s="213">
        <v>0</v>
      </c>
      <c r="W104" s="166"/>
      <c r="X104" s="126">
        <f t="shared" si="14"/>
        <v>3</v>
      </c>
      <c r="Y104" s="125">
        <f t="shared" si="15"/>
        <v>2</v>
      </c>
    </row>
    <row r="105" spans="1:25" ht="15" thickBot="1" x14ac:dyDescent="0.35">
      <c r="A105" s="24"/>
      <c r="B105" s="220"/>
      <c r="C105" s="58"/>
      <c r="D105" s="223"/>
      <c r="E105" s="223"/>
      <c r="F105" s="223" t="s">
        <v>172</v>
      </c>
      <c r="G105" s="223" t="s">
        <v>183</v>
      </c>
      <c r="H105" s="223"/>
      <c r="I105" s="8"/>
      <c r="J105" s="5"/>
      <c r="K105" s="108"/>
      <c r="S105" s="117" t="s">
        <v>81</v>
      </c>
      <c r="T105" s="213" t="s">
        <v>18</v>
      </c>
      <c r="U105" s="213">
        <v>0</v>
      </c>
      <c r="V105" s="213">
        <v>0</v>
      </c>
      <c r="W105" s="184"/>
      <c r="X105" s="126">
        <f t="shared" si="14"/>
        <v>1</v>
      </c>
      <c r="Y105" s="125">
        <f t="shared" si="15"/>
        <v>1</v>
      </c>
    </row>
    <row r="106" spans="1:25" x14ac:dyDescent="0.3">
      <c r="A106" s="24"/>
      <c r="B106" s="220"/>
      <c r="C106" s="40">
        <v>31571</v>
      </c>
      <c r="D106" s="28" t="s">
        <v>258</v>
      </c>
      <c r="E106" s="220" t="s">
        <v>18</v>
      </c>
      <c r="F106" s="28">
        <v>6</v>
      </c>
      <c r="G106" s="220">
        <v>1</v>
      </c>
      <c r="H106" s="220"/>
      <c r="I106" s="228" t="s">
        <v>257</v>
      </c>
      <c r="J106" s="5"/>
      <c r="K106" s="108"/>
      <c r="S106" s="117"/>
      <c r="T106" s="213"/>
      <c r="U106" s="213"/>
      <c r="V106" s="213"/>
      <c r="W106" s="166"/>
      <c r="X106" s="126"/>
      <c r="Y106" s="125"/>
    </row>
    <row r="107" spans="1:25" ht="15" thickBot="1" x14ac:dyDescent="0.35">
      <c r="A107" s="24"/>
      <c r="B107" s="220"/>
      <c r="C107" s="58"/>
      <c r="D107" s="223"/>
      <c r="E107" s="223"/>
      <c r="F107" s="223" t="s">
        <v>215</v>
      </c>
      <c r="G107" s="223" t="s">
        <v>183</v>
      </c>
      <c r="H107" s="223"/>
      <c r="I107" s="201"/>
      <c r="J107" s="5"/>
      <c r="K107" s="108"/>
      <c r="S107" s="117"/>
      <c r="T107" s="213"/>
      <c r="U107" s="213"/>
      <c r="V107" s="213"/>
      <c r="W107" s="184"/>
      <c r="X107" s="126"/>
      <c r="Y107" s="125"/>
    </row>
    <row r="108" spans="1:25" x14ac:dyDescent="0.3">
      <c r="A108" s="24"/>
      <c r="B108" s="220"/>
      <c r="C108" s="40">
        <v>31576</v>
      </c>
      <c r="D108" s="28" t="s">
        <v>258</v>
      </c>
      <c r="E108" s="220" t="s">
        <v>88</v>
      </c>
      <c r="F108" s="28">
        <v>2</v>
      </c>
      <c r="G108" s="220">
        <v>0</v>
      </c>
      <c r="H108" s="220"/>
      <c r="I108" s="5" t="s">
        <v>256</v>
      </c>
      <c r="J108" s="5"/>
      <c r="K108" s="108"/>
      <c r="S108" s="117"/>
      <c r="T108" s="213"/>
      <c r="U108" s="213"/>
      <c r="V108" s="213"/>
      <c r="W108" s="166"/>
      <c r="X108" s="126"/>
      <c r="Y108" s="125"/>
    </row>
    <row r="109" spans="1:25" ht="15" thickBot="1" x14ac:dyDescent="0.35">
      <c r="A109" s="24"/>
      <c r="B109" s="220"/>
      <c r="C109" s="58"/>
      <c r="D109" s="223"/>
      <c r="E109" s="223"/>
      <c r="F109" s="223" t="s">
        <v>172</v>
      </c>
      <c r="G109" s="223" t="s">
        <v>171</v>
      </c>
      <c r="H109" s="223"/>
      <c r="I109" s="8"/>
      <c r="J109" s="5"/>
      <c r="K109" s="108"/>
      <c r="S109" s="117"/>
      <c r="T109" s="213"/>
      <c r="U109" s="213"/>
      <c r="V109" s="213"/>
      <c r="W109" s="184"/>
      <c r="X109" s="126"/>
      <c r="Y109" s="125"/>
    </row>
    <row r="110" spans="1:25" x14ac:dyDescent="0.3">
      <c r="A110" s="24"/>
      <c r="B110" s="220"/>
      <c r="C110" s="40">
        <v>31576</v>
      </c>
      <c r="D110" s="17" t="s">
        <v>81</v>
      </c>
      <c r="E110" s="17" t="s">
        <v>18</v>
      </c>
      <c r="F110" s="17">
        <v>0</v>
      </c>
      <c r="G110" s="17">
        <v>0</v>
      </c>
      <c r="H110" s="220"/>
      <c r="I110" s="228" t="s">
        <v>257</v>
      </c>
      <c r="J110" s="5"/>
      <c r="K110" s="108"/>
      <c r="S110" s="117"/>
      <c r="T110" s="213"/>
      <c r="U110" s="213"/>
      <c r="V110" s="213"/>
      <c r="W110" s="166"/>
      <c r="X110" s="126"/>
      <c r="Y110" s="125"/>
    </row>
    <row r="111" spans="1:25" x14ac:dyDescent="0.3">
      <c r="A111" s="194"/>
      <c r="B111" s="17"/>
      <c r="C111" s="17"/>
      <c r="D111" s="17"/>
      <c r="E111" s="17"/>
      <c r="F111" s="220"/>
      <c r="G111" s="5"/>
      <c r="H111" s="5"/>
      <c r="I111" s="5"/>
      <c r="J111" s="5"/>
      <c r="K111" s="108"/>
      <c r="S111" s="117"/>
      <c r="T111" s="213"/>
      <c r="U111" s="213"/>
      <c r="V111" s="213"/>
      <c r="W111" s="166"/>
      <c r="X111" s="126"/>
      <c r="Y111" s="125"/>
    </row>
    <row r="112" spans="1:25" x14ac:dyDescent="0.3">
      <c r="A112" s="194"/>
      <c r="B112" s="17"/>
      <c r="C112" s="17"/>
      <c r="D112" s="17"/>
      <c r="E112" s="17"/>
      <c r="F112" s="220"/>
      <c r="G112" s="5"/>
      <c r="H112" s="5"/>
      <c r="I112" s="5"/>
      <c r="J112" s="5"/>
      <c r="K112" s="108"/>
      <c r="S112" s="117"/>
      <c r="T112" s="213"/>
      <c r="U112" s="213"/>
      <c r="V112" s="213"/>
      <c r="W112" s="184"/>
      <c r="X112" s="126"/>
      <c r="Y112" s="125"/>
    </row>
    <row r="113" spans="1:25" ht="15" thickBot="1" x14ac:dyDescent="0.35">
      <c r="A113" s="24"/>
      <c r="B113" s="220"/>
      <c r="C113" s="220" t="s">
        <v>12</v>
      </c>
      <c r="D113" s="220" t="s">
        <v>13</v>
      </c>
      <c r="E113" s="220" t="s">
        <v>14</v>
      </c>
      <c r="F113" s="220" t="s">
        <v>15</v>
      </c>
      <c r="G113" s="5" t="s">
        <v>24</v>
      </c>
      <c r="H113" s="5" t="s">
        <v>25</v>
      </c>
      <c r="I113" s="5" t="s">
        <v>26</v>
      </c>
      <c r="J113" s="5" t="s">
        <v>27</v>
      </c>
      <c r="K113" s="108"/>
      <c r="S113" s="117"/>
      <c r="T113" s="213"/>
      <c r="U113" s="213"/>
      <c r="V113" s="213"/>
      <c r="W113" s="166"/>
      <c r="X113" s="126"/>
      <c r="Y113" s="125"/>
    </row>
    <row r="114" spans="1:25" s="13" customFormat="1" x14ac:dyDescent="0.3">
      <c r="A114" s="24"/>
      <c r="B114" s="14" t="s">
        <v>258</v>
      </c>
      <c r="C114" s="222">
        <f>COUNTIF($S$100:$T$105,"Dänemark")</f>
        <v>3</v>
      </c>
      <c r="D114" s="124">
        <f>SUMPRODUCT(($S$100:$T$105=B114)*($X$100:$Y$105=3))</f>
        <v>3</v>
      </c>
      <c r="E114" s="124">
        <f>SUMPRODUCT(($S$100:$T$105=B114)*($X$100:$Y$105=1))</f>
        <v>0</v>
      </c>
      <c r="F114" s="124">
        <f>SUMPRODUCT(($S$100:$T$105=B114)*($X$100:$Y$105=2))</f>
        <v>0</v>
      </c>
      <c r="G114" s="124">
        <f>SUMPRODUCT(($S$100:$S$105=B114)*($U$100:$U$105))+SUMPRODUCT(($T$100:$T$105=B114)*($V$100:$V$105))</f>
        <v>9</v>
      </c>
      <c r="H114" s="124">
        <f>SUMPRODUCT(($S$100:$S$105=B114)*($V$100:$V$105))+SUMPRODUCT(($T$100:$T$105=B114)*($U$100:$U$105))</f>
        <v>1</v>
      </c>
      <c r="I114" s="15">
        <f>(D114*2)+E114</f>
        <v>6</v>
      </c>
      <c r="J114" s="16">
        <f>(F114*2)+E114</f>
        <v>0</v>
      </c>
      <c r="K114" s="109"/>
      <c r="S114" s="117"/>
      <c r="T114" s="213"/>
      <c r="U114" s="213"/>
      <c r="V114" s="213"/>
      <c r="W114" s="166"/>
      <c r="X114" s="126"/>
      <c r="Y114" s="125"/>
    </row>
    <row r="115" spans="1:25" s="13" customFormat="1" x14ac:dyDescent="0.3">
      <c r="A115" s="24"/>
      <c r="B115" s="21" t="s">
        <v>88</v>
      </c>
      <c r="C115" s="220">
        <f>COUNTIF($S$100:$T$105,"BRD")</f>
        <v>3</v>
      </c>
      <c r="D115" s="43">
        <f>SUMPRODUCT(($S$100:$T$105=B115)*($X$100:$Y$105=3))</f>
        <v>1</v>
      </c>
      <c r="E115" s="43">
        <f>SUMPRODUCT(($S$100:$T$105=B115)*($X$100:$Y$105=1))</f>
        <v>1</v>
      </c>
      <c r="F115" s="43">
        <f>SUMPRODUCT(($S$100:$T$105=B115)*($X$100:$Y$105=2))</f>
        <v>1</v>
      </c>
      <c r="G115" s="43">
        <f>SUMPRODUCT(($S$100:$S$105=B115)*($U$100:$U$105))+SUMPRODUCT(($T$100:$T$105=B115)*($V$100:$V$105))</f>
        <v>3</v>
      </c>
      <c r="H115" s="43">
        <f>SUMPRODUCT(($S$100:$S$105=B115)*($V$100:$V$105))+SUMPRODUCT(($T$100:$T$105=B115)*($U$100:$U$105))</f>
        <v>4</v>
      </c>
      <c r="I115" s="18">
        <f>(D115*2)+E115</f>
        <v>3</v>
      </c>
      <c r="J115" s="22">
        <f>(F115*2)+E115</f>
        <v>3</v>
      </c>
      <c r="K115" s="109"/>
      <c r="S115" s="117"/>
      <c r="T115" s="213"/>
      <c r="U115" s="213"/>
      <c r="V115" s="213"/>
      <c r="W115" s="166"/>
      <c r="X115" s="126"/>
      <c r="Y115" s="125"/>
    </row>
    <row r="116" spans="1:25" s="13" customFormat="1" x14ac:dyDescent="0.3">
      <c r="A116" s="24"/>
      <c r="B116" s="21" t="s">
        <v>18</v>
      </c>
      <c r="C116" s="220">
        <f>COUNTIF($S$100:$T$105,"Uruguay")</f>
        <v>3</v>
      </c>
      <c r="D116" s="43">
        <f>SUMPRODUCT(($S$100:$T$105=B116)*($X$100:$Y$105=3))</f>
        <v>0</v>
      </c>
      <c r="E116" s="43">
        <f>SUMPRODUCT(($S$100:$T$105=B116)*($X$100:$Y$105=1))</f>
        <v>2</v>
      </c>
      <c r="F116" s="43">
        <f>SUMPRODUCT(($S$100:$T$105=B116)*($X$100:$Y$105=2))</f>
        <v>1</v>
      </c>
      <c r="G116" s="43">
        <f>SUMPRODUCT(($S$100:$S$105=B116)*($U$100:$U$105))+SUMPRODUCT(($T$100:$T$105=B116)*($V$100:$V$105))</f>
        <v>2</v>
      </c>
      <c r="H116" s="43">
        <f>SUMPRODUCT(($S$100:$S$105=B116)*($V$100:$V$105))+SUMPRODUCT(($T$100:$T$105=B116)*($U$100:$U$105))</f>
        <v>7</v>
      </c>
      <c r="I116" s="18">
        <f>(D116*2)+E116</f>
        <v>2</v>
      </c>
      <c r="J116" s="22">
        <f>(F116*2)+E116</f>
        <v>4</v>
      </c>
      <c r="K116" s="109"/>
      <c r="S116" s="117"/>
      <c r="T116" s="213"/>
      <c r="U116" s="213"/>
      <c r="V116" s="213"/>
      <c r="W116" s="166"/>
      <c r="X116" s="166"/>
      <c r="Y116" s="118"/>
    </row>
    <row r="117" spans="1:25" ht="15" thickBot="1" x14ac:dyDescent="0.35">
      <c r="A117" s="24"/>
      <c r="B117" s="7" t="s">
        <v>81</v>
      </c>
      <c r="C117" s="223">
        <f>COUNTIF($S$100:$T$105,"Schottland")</f>
        <v>3</v>
      </c>
      <c r="D117" s="80">
        <f>SUMPRODUCT(($S$100:$T$105=B117)*($X$100:$Y$105=3))</f>
        <v>0</v>
      </c>
      <c r="E117" s="80">
        <f>SUMPRODUCT(($S$100:$T$105=B117)*($X$100:$Y$105=1))</f>
        <v>1</v>
      </c>
      <c r="F117" s="80">
        <f>SUMPRODUCT(($S$100:$T$105=B117)*($X$100:$Y$105=2))</f>
        <v>2</v>
      </c>
      <c r="G117" s="80">
        <f>SUMPRODUCT(($S$100:$S$105=B117)*($U$100:$U$105))+SUMPRODUCT(($T$100:$T$105=B117)*($V$100:$V$105))</f>
        <v>1</v>
      </c>
      <c r="H117" s="80">
        <f>SUMPRODUCT(($S$100:$S$105=B117)*($V$100:$V$105))+SUMPRODUCT(($T$100:$T$105=B117)*($U$100:$U$105))</f>
        <v>3</v>
      </c>
      <c r="I117" s="31">
        <f>(D117*2)+E117</f>
        <v>1</v>
      </c>
      <c r="J117" s="32">
        <f>(F117*2)+E117</f>
        <v>5</v>
      </c>
      <c r="K117" s="108"/>
      <c r="S117" s="117"/>
      <c r="T117" s="213"/>
      <c r="U117" s="213"/>
      <c r="V117" s="213"/>
      <c r="W117" s="166"/>
      <c r="X117" s="126"/>
      <c r="Y117" s="125"/>
    </row>
    <row r="118" spans="1:25" ht="15" thickBot="1" x14ac:dyDescent="0.35">
      <c r="A118" s="192"/>
      <c r="B118" s="36"/>
      <c r="C118" s="36"/>
      <c r="D118" s="36"/>
      <c r="E118" s="36"/>
      <c r="F118" s="36"/>
      <c r="G118" s="37"/>
      <c r="H118" s="37"/>
      <c r="I118" s="37"/>
      <c r="J118" s="37"/>
      <c r="K118" s="193"/>
      <c r="S118" s="117"/>
      <c r="T118" s="213"/>
      <c r="U118" s="213"/>
      <c r="V118" s="213"/>
      <c r="W118" s="166"/>
      <c r="X118" s="126"/>
      <c r="Y118" s="125"/>
    </row>
    <row r="119" spans="1:25" ht="15" thickTop="1" x14ac:dyDescent="0.3">
      <c r="A119" s="236"/>
      <c r="B119" s="25"/>
      <c r="C119" s="25"/>
      <c r="D119" s="25"/>
      <c r="E119" s="25"/>
      <c r="F119" s="25"/>
      <c r="G119" s="26"/>
      <c r="H119" s="26"/>
      <c r="I119" s="26"/>
      <c r="J119" s="26"/>
      <c r="K119" s="108"/>
      <c r="S119" s="117"/>
      <c r="T119" s="213"/>
      <c r="U119" s="213"/>
      <c r="V119" s="213"/>
      <c r="W119" s="166"/>
      <c r="X119" s="126"/>
      <c r="Y119" s="125"/>
    </row>
    <row r="120" spans="1:25" ht="21" x14ac:dyDescent="0.4">
      <c r="A120" s="24"/>
      <c r="B120" s="220"/>
      <c r="C120" s="220"/>
      <c r="D120" s="220"/>
      <c r="E120" s="220"/>
      <c r="F120" s="219" t="s">
        <v>247</v>
      </c>
      <c r="G120" s="5"/>
      <c r="H120" s="5"/>
      <c r="I120" s="5"/>
      <c r="J120" s="5"/>
      <c r="K120" s="108"/>
      <c r="S120" s="117"/>
      <c r="T120" s="213"/>
      <c r="U120" s="213"/>
      <c r="V120" s="213"/>
      <c r="W120" s="166"/>
      <c r="X120" s="126"/>
      <c r="Y120" s="125"/>
    </row>
    <row r="121" spans="1:25" x14ac:dyDescent="0.3">
      <c r="A121" s="24"/>
      <c r="B121" s="28"/>
      <c r="C121" s="220"/>
      <c r="D121" s="220"/>
      <c r="E121" s="220"/>
      <c r="F121" s="220"/>
      <c r="G121" s="5"/>
      <c r="H121" s="5"/>
      <c r="I121" s="5"/>
      <c r="J121" s="5"/>
      <c r="K121" s="108"/>
      <c r="S121" s="117"/>
      <c r="T121" s="213"/>
      <c r="U121" s="213"/>
      <c r="V121" s="213"/>
      <c r="W121" s="184"/>
      <c r="X121" s="126"/>
      <c r="Y121" s="125"/>
    </row>
    <row r="122" spans="1:25" ht="15" thickBot="1" x14ac:dyDescent="0.35">
      <c r="A122" s="24"/>
      <c r="B122" s="220"/>
      <c r="C122" s="58">
        <v>31565</v>
      </c>
      <c r="D122" s="223" t="s">
        <v>147</v>
      </c>
      <c r="E122" s="223" t="s">
        <v>61</v>
      </c>
      <c r="F122" s="223">
        <v>0</v>
      </c>
      <c r="G122" s="223">
        <v>0</v>
      </c>
      <c r="H122" s="223"/>
      <c r="I122" s="201" t="s">
        <v>259</v>
      </c>
      <c r="J122" s="5"/>
      <c r="K122" s="108"/>
      <c r="S122" s="117" t="s">
        <v>147</v>
      </c>
      <c r="T122" s="213" t="s">
        <v>61</v>
      </c>
      <c r="U122" s="213">
        <v>0</v>
      </c>
      <c r="V122" s="213">
        <v>0</v>
      </c>
      <c r="W122" s="166"/>
      <c r="X122" s="126">
        <f t="shared" ref="X122:X127" si="16">(IF(U122&gt;V122,3,IF(U122=V122,1,2)))</f>
        <v>1</v>
      </c>
      <c r="Y122" s="125">
        <f t="shared" ref="Y122:Y127" si="17">(IF(V122&gt;U122,3,IF(U122=V122,1,2)))</f>
        <v>1</v>
      </c>
    </row>
    <row r="123" spans="1:25" x14ac:dyDescent="0.3">
      <c r="A123" s="24"/>
      <c r="B123" s="220"/>
      <c r="C123" s="40">
        <v>31566</v>
      </c>
      <c r="D123" s="28" t="s">
        <v>133</v>
      </c>
      <c r="E123" s="220" t="s">
        <v>74</v>
      </c>
      <c r="F123" s="28">
        <v>1</v>
      </c>
      <c r="G123" s="220">
        <v>0</v>
      </c>
      <c r="H123" s="220"/>
      <c r="I123" s="228" t="s">
        <v>255</v>
      </c>
      <c r="J123" s="5"/>
      <c r="K123" s="108"/>
      <c r="S123" s="117" t="s">
        <v>133</v>
      </c>
      <c r="T123" s="213" t="s">
        <v>74</v>
      </c>
      <c r="U123" s="213">
        <v>1</v>
      </c>
      <c r="V123" s="213">
        <v>0</v>
      </c>
      <c r="W123" s="166"/>
      <c r="X123" s="126">
        <f t="shared" si="16"/>
        <v>3</v>
      </c>
      <c r="Y123" s="125">
        <f t="shared" si="17"/>
        <v>2</v>
      </c>
    </row>
    <row r="124" spans="1:25" ht="15" thickBot="1" x14ac:dyDescent="0.35">
      <c r="A124" s="24"/>
      <c r="B124" s="220"/>
      <c r="C124" s="58"/>
      <c r="D124" s="223"/>
      <c r="E124" s="223"/>
      <c r="F124" s="223" t="s">
        <v>170</v>
      </c>
      <c r="G124" s="223" t="s">
        <v>171</v>
      </c>
      <c r="H124" s="223"/>
      <c r="I124" s="201"/>
      <c r="J124" s="5"/>
      <c r="K124" s="108"/>
      <c r="S124" s="117" t="s">
        <v>74</v>
      </c>
      <c r="T124" s="213" t="s">
        <v>147</v>
      </c>
      <c r="U124" s="213">
        <v>0</v>
      </c>
      <c r="V124" s="213">
        <v>0</v>
      </c>
      <c r="W124" s="184"/>
      <c r="X124" s="126">
        <f t="shared" si="16"/>
        <v>1</v>
      </c>
      <c r="Y124" s="125">
        <f t="shared" si="17"/>
        <v>1</v>
      </c>
    </row>
    <row r="125" spans="1:25" ht="15" thickBot="1" x14ac:dyDescent="0.35">
      <c r="A125" s="24"/>
      <c r="B125" s="220"/>
      <c r="C125" s="58">
        <v>31569</v>
      </c>
      <c r="D125" s="223" t="s">
        <v>74</v>
      </c>
      <c r="E125" s="223" t="s">
        <v>147</v>
      </c>
      <c r="F125" s="223">
        <v>0</v>
      </c>
      <c r="G125" s="223">
        <v>0</v>
      </c>
      <c r="H125" s="223"/>
      <c r="I125" s="201" t="s">
        <v>255</v>
      </c>
      <c r="J125" s="5"/>
      <c r="K125" s="108"/>
      <c r="S125" s="117" t="s">
        <v>61</v>
      </c>
      <c r="T125" s="213" t="s">
        <v>133</v>
      </c>
      <c r="U125" s="213">
        <v>1</v>
      </c>
      <c r="V125" s="213">
        <v>0</v>
      </c>
      <c r="W125" s="166"/>
      <c r="X125" s="126">
        <f t="shared" si="16"/>
        <v>3</v>
      </c>
      <c r="Y125" s="125">
        <f t="shared" si="17"/>
        <v>2</v>
      </c>
    </row>
    <row r="126" spans="1:25" x14ac:dyDescent="0.3">
      <c r="A126" s="24"/>
      <c r="B126" s="220"/>
      <c r="C126" s="40">
        <v>31570</v>
      </c>
      <c r="D126" s="28" t="s">
        <v>61</v>
      </c>
      <c r="E126" s="220" t="s">
        <v>133</v>
      </c>
      <c r="F126" s="28">
        <v>1</v>
      </c>
      <c r="G126" s="220">
        <v>0</v>
      </c>
      <c r="H126" s="220"/>
      <c r="I126" s="228" t="s">
        <v>259</v>
      </c>
      <c r="J126" s="5"/>
      <c r="K126" s="108"/>
      <c r="S126" s="117" t="s">
        <v>133</v>
      </c>
      <c r="T126" s="213" t="s">
        <v>147</v>
      </c>
      <c r="U126" s="213">
        <v>1</v>
      </c>
      <c r="V126" s="213">
        <v>3</v>
      </c>
      <c r="W126" s="166"/>
      <c r="X126" s="126">
        <f t="shared" si="16"/>
        <v>2</v>
      </c>
      <c r="Y126" s="125">
        <f t="shared" si="17"/>
        <v>3</v>
      </c>
    </row>
    <row r="127" spans="1:25" ht="15" thickBot="1" x14ac:dyDescent="0.35">
      <c r="A127" s="24"/>
      <c r="B127" s="220"/>
      <c r="C127" s="58"/>
      <c r="D127" s="223"/>
      <c r="E127" s="223"/>
      <c r="F127" s="223" t="s">
        <v>170</v>
      </c>
      <c r="G127" s="223" t="s">
        <v>171</v>
      </c>
      <c r="H127" s="223"/>
      <c r="I127" s="201"/>
      <c r="J127" s="5"/>
      <c r="K127" s="108"/>
      <c r="S127" s="117" t="s">
        <v>74</v>
      </c>
      <c r="T127" s="213" t="s">
        <v>61</v>
      </c>
      <c r="U127" s="213">
        <v>3</v>
      </c>
      <c r="V127" s="213">
        <v>0</v>
      </c>
      <c r="W127" s="184"/>
      <c r="X127" s="126">
        <f t="shared" si="16"/>
        <v>3</v>
      </c>
      <c r="Y127" s="125">
        <f t="shared" si="17"/>
        <v>2</v>
      </c>
    </row>
    <row r="128" spans="1:25" x14ac:dyDescent="0.3">
      <c r="A128" s="24"/>
      <c r="B128" s="220"/>
      <c r="C128" s="40">
        <v>31574</v>
      </c>
      <c r="D128" s="220" t="s">
        <v>133</v>
      </c>
      <c r="E128" s="28" t="s">
        <v>147</v>
      </c>
      <c r="F128" s="220">
        <v>1</v>
      </c>
      <c r="G128" s="28">
        <v>3</v>
      </c>
      <c r="H128" s="220"/>
      <c r="I128" s="228" t="s">
        <v>260</v>
      </c>
      <c r="J128" s="5"/>
      <c r="K128" s="108"/>
      <c r="S128" s="117"/>
      <c r="T128" s="213"/>
      <c r="U128" s="213"/>
      <c r="V128" s="213"/>
      <c r="W128" s="166"/>
      <c r="X128" s="126"/>
      <c r="Y128" s="125"/>
    </row>
    <row r="129" spans="1:26" ht="15" thickBot="1" x14ac:dyDescent="0.35">
      <c r="A129" s="24"/>
      <c r="B129" s="220"/>
      <c r="C129" s="58"/>
      <c r="D129" s="223"/>
      <c r="E129" s="223"/>
      <c r="F129" s="223" t="s">
        <v>170</v>
      </c>
      <c r="G129" s="223" t="s">
        <v>173</v>
      </c>
      <c r="H129" s="223"/>
      <c r="I129" s="201"/>
      <c r="J129" s="5"/>
      <c r="K129" s="108"/>
      <c r="S129" s="117"/>
      <c r="T129" s="213"/>
      <c r="U129" s="213"/>
      <c r="V129" s="213"/>
      <c r="W129" s="184"/>
      <c r="X129" s="126"/>
      <c r="Y129" s="125"/>
    </row>
    <row r="130" spans="1:26" x14ac:dyDescent="0.3">
      <c r="A130" s="24"/>
      <c r="B130" s="220"/>
      <c r="C130" s="40">
        <v>31574</v>
      </c>
      <c r="D130" s="52" t="s">
        <v>74</v>
      </c>
      <c r="E130" s="17" t="s">
        <v>61</v>
      </c>
      <c r="F130" s="52">
        <v>3</v>
      </c>
      <c r="G130" s="17">
        <v>0</v>
      </c>
      <c r="H130" s="220"/>
      <c r="I130" s="228" t="s">
        <v>255</v>
      </c>
      <c r="J130" s="5"/>
      <c r="K130" s="108"/>
      <c r="S130" s="117"/>
      <c r="T130" s="213"/>
      <c r="U130" s="213"/>
      <c r="V130" s="213"/>
      <c r="W130" s="166"/>
      <c r="X130" s="126"/>
      <c r="Y130" s="125"/>
    </row>
    <row r="131" spans="1:26" x14ac:dyDescent="0.3">
      <c r="A131" s="194"/>
      <c r="B131" s="17"/>
      <c r="C131" s="17"/>
      <c r="D131" s="17"/>
      <c r="E131" s="17"/>
      <c r="F131" s="220" t="s">
        <v>264</v>
      </c>
      <c r="G131" s="5" t="s">
        <v>171</v>
      </c>
      <c r="H131" s="5"/>
      <c r="I131" s="5"/>
      <c r="J131" s="5"/>
      <c r="K131" s="108"/>
      <c r="S131" s="117"/>
      <c r="T131" s="213"/>
      <c r="U131" s="213"/>
      <c r="V131" s="213"/>
      <c r="W131" s="166"/>
      <c r="X131" s="126"/>
      <c r="Y131" s="125"/>
    </row>
    <row r="132" spans="1:26" x14ac:dyDescent="0.3">
      <c r="A132" s="194"/>
      <c r="B132" s="17"/>
      <c r="C132" s="17"/>
      <c r="D132" s="17"/>
      <c r="E132" s="17"/>
      <c r="F132" s="220"/>
      <c r="G132" s="5"/>
      <c r="H132" s="5"/>
      <c r="I132" s="5"/>
      <c r="J132" s="5"/>
      <c r="K132" s="108"/>
      <c r="S132" s="117"/>
      <c r="T132" s="213"/>
      <c r="U132" s="213"/>
      <c r="V132" s="213"/>
      <c r="W132" s="184"/>
      <c r="X132" s="126"/>
      <c r="Y132" s="125"/>
    </row>
    <row r="133" spans="1:26" ht="15" thickBot="1" x14ac:dyDescent="0.35">
      <c r="A133" s="24"/>
      <c r="B133" s="220"/>
      <c r="C133" s="220" t="s">
        <v>12</v>
      </c>
      <c r="D133" s="220" t="s">
        <v>13</v>
      </c>
      <c r="E133" s="220" t="s">
        <v>14</v>
      </c>
      <c r="F133" s="220" t="s">
        <v>15</v>
      </c>
      <c r="G133" s="5" t="s">
        <v>24</v>
      </c>
      <c r="H133" s="5" t="s">
        <v>25</v>
      </c>
      <c r="I133" s="5" t="s">
        <v>26</v>
      </c>
      <c r="J133" s="5" t="s">
        <v>27</v>
      </c>
      <c r="K133" s="108"/>
      <c r="S133" s="117"/>
      <c r="T133" s="213"/>
      <c r="U133" s="213"/>
      <c r="V133" s="213"/>
      <c r="W133" s="166"/>
      <c r="X133" s="126"/>
      <c r="Y133" s="125"/>
    </row>
    <row r="134" spans="1:26" s="13" customFormat="1" x14ac:dyDescent="0.3">
      <c r="A134" s="24"/>
      <c r="B134" s="14" t="s">
        <v>147</v>
      </c>
      <c r="C134" s="222">
        <f>COUNTIF($S$122:$T$127,"Marokko")</f>
        <v>3</v>
      </c>
      <c r="D134" s="124">
        <f>SUMPRODUCT(($S$122:$T$127=B134)*($X$122:$Y$127=3))</f>
        <v>1</v>
      </c>
      <c r="E134" s="124">
        <f>SUMPRODUCT(($S$122:$T$127=B134)*($X$122:$Y$127=1))</f>
        <v>2</v>
      </c>
      <c r="F134" s="124">
        <f>SUMPRODUCT(($S$122:$T$127=B134)*($X$122:$Y$127=2))</f>
        <v>0</v>
      </c>
      <c r="G134" s="124">
        <f>SUMPRODUCT(($S$122:$S$127=B134)*($U$122:$U$127))+SUMPRODUCT(($T$122:$T$127=B134)*($V$122:$V$127))</f>
        <v>3</v>
      </c>
      <c r="H134" s="124">
        <f>SUMPRODUCT(($S$122:$S$127=B134)*($V$122:$V$127))+SUMPRODUCT(($T$122:$T$127=B134)*($U$122:$U$127))</f>
        <v>1</v>
      </c>
      <c r="I134" s="15">
        <f>(D134*2)+E134</f>
        <v>4</v>
      </c>
      <c r="J134" s="16">
        <f>(F134*2)+E134</f>
        <v>2</v>
      </c>
      <c r="K134" s="109"/>
      <c r="S134" s="117"/>
      <c r="T134" s="213"/>
      <c r="U134" s="213"/>
      <c r="V134" s="213"/>
      <c r="W134" s="166"/>
      <c r="X134" s="126"/>
      <c r="Y134" s="125"/>
    </row>
    <row r="135" spans="1:26" s="13" customFormat="1" x14ac:dyDescent="0.3">
      <c r="A135" s="24"/>
      <c r="B135" s="3" t="s">
        <v>74</v>
      </c>
      <c r="C135" s="220">
        <f>COUNTIF($S$122:$T$127,"England")</f>
        <v>3</v>
      </c>
      <c r="D135" s="43">
        <f>SUMPRODUCT(($S$122:$T$127=B135)*($X$122:$Y$127=3))</f>
        <v>1</v>
      </c>
      <c r="E135" s="43">
        <f>SUMPRODUCT(($S$122:$T$127=B135)*($X$122:$Y$127=1))</f>
        <v>1</v>
      </c>
      <c r="F135" s="43">
        <f>SUMPRODUCT(($S$122:$T$127=B135)*($X$122:$Y$127=2))</f>
        <v>1</v>
      </c>
      <c r="G135" s="43">
        <f>SUMPRODUCT(($S$122:$S$127=B135)*($U$122:$U$127))+SUMPRODUCT(($T$122:$T$127=B135)*($V$122:$V$127))</f>
        <v>3</v>
      </c>
      <c r="H135" s="43">
        <f>SUMPRODUCT(($S$122:$S$127=B135)*($V$122:$V$127))+SUMPRODUCT(($T$122:$T$127=B135)*($U$122:$U$127))</f>
        <v>1</v>
      </c>
      <c r="I135" s="18">
        <f>(D135*2)+E135</f>
        <v>3</v>
      </c>
      <c r="J135" s="22">
        <f>(F135*2)+E135</f>
        <v>3</v>
      </c>
      <c r="K135" s="108"/>
      <c r="L135"/>
      <c r="M135"/>
      <c r="N135"/>
      <c r="O135"/>
      <c r="P135"/>
      <c r="Q135"/>
      <c r="R135"/>
      <c r="S135" s="117"/>
      <c r="T135" s="213"/>
      <c r="U135" s="213"/>
      <c r="V135" s="213"/>
      <c r="W135" s="166"/>
      <c r="X135" s="126"/>
      <c r="Y135" s="125"/>
      <c r="Z135"/>
    </row>
    <row r="136" spans="1:26" s="13" customFormat="1" x14ac:dyDescent="0.3">
      <c r="A136" s="24"/>
      <c r="B136" s="21" t="s">
        <v>61</v>
      </c>
      <c r="C136" s="220">
        <f>COUNTIF($S$122:$T$127,"Polen")</f>
        <v>3</v>
      </c>
      <c r="D136" s="43">
        <f>SUMPRODUCT(($S$122:$T$127=B136)*($X$122:$Y$127=3))</f>
        <v>1</v>
      </c>
      <c r="E136" s="43">
        <f>SUMPRODUCT(($S$122:$T$127=B136)*($X$122:$Y$127=1))</f>
        <v>1</v>
      </c>
      <c r="F136" s="43">
        <f>SUMPRODUCT(($S$122:$T$127=B136)*($X$122:$Y$127=2))</f>
        <v>1</v>
      </c>
      <c r="G136" s="43">
        <f>SUMPRODUCT(($S$122:$S$127=B136)*($U$122:$U$127))+SUMPRODUCT(($T$122:$T$127=B136)*($V$122:$V$127))</f>
        <v>1</v>
      </c>
      <c r="H136" s="43">
        <f>SUMPRODUCT(($S$122:$S$127=B136)*($V$122:$V$127))+SUMPRODUCT(($T$122:$T$127=B136)*($U$122:$U$127))</f>
        <v>3</v>
      </c>
      <c r="I136" s="18">
        <f>(D136*2)+E136</f>
        <v>3</v>
      </c>
      <c r="J136" s="22">
        <f>(F136*2)+E136</f>
        <v>3</v>
      </c>
      <c r="K136" s="109"/>
      <c r="S136" s="117"/>
      <c r="T136" s="213"/>
      <c r="U136" s="213"/>
      <c r="V136" s="213"/>
      <c r="W136" s="166"/>
      <c r="X136" s="126"/>
      <c r="Y136" s="125"/>
    </row>
    <row r="137" spans="1:26" ht="15" thickBot="1" x14ac:dyDescent="0.35">
      <c r="A137" s="24"/>
      <c r="B137" s="29" t="s">
        <v>133</v>
      </c>
      <c r="C137" s="223">
        <f>COUNTIF($S$122:$T$127,"Portugal")</f>
        <v>3</v>
      </c>
      <c r="D137" s="80">
        <f>SUMPRODUCT(($S$122:$T$127=B137)*($X$122:$Y$127=3))</f>
        <v>1</v>
      </c>
      <c r="E137" s="80">
        <f>SUMPRODUCT(($S$122:$T$127=B137)*($X$122:$Y$127=1))</f>
        <v>0</v>
      </c>
      <c r="F137" s="80">
        <f>SUMPRODUCT(($S$122:$T$127=B137)*($X$122:$Y$127=2))</f>
        <v>2</v>
      </c>
      <c r="G137" s="80">
        <f>SUMPRODUCT(($S$122:$S$127=B137)*($U$122:$U$127))+SUMPRODUCT(($T$122:$T$127=B137)*($V$122:$V$127))</f>
        <v>2</v>
      </c>
      <c r="H137" s="80">
        <f>SUMPRODUCT(($S$122:$S$127=B137)*($V$122:$V$127))+SUMPRODUCT(($T$122:$T$127=B137)*($U$122:$U$127))</f>
        <v>4</v>
      </c>
      <c r="I137" s="31">
        <f>(D137*2)+E137</f>
        <v>2</v>
      </c>
      <c r="J137" s="32">
        <f>(F137*2)+E137</f>
        <v>4</v>
      </c>
      <c r="K137" s="109"/>
      <c r="L137" s="13"/>
      <c r="M137" s="13"/>
      <c r="N137" s="13"/>
      <c r="O137" s="13"/>
      <c r="P137" s="13"/>
      <c r="Q137" s="13"/>
      <c r="R137" s="13"/>
      <c r="S137" s="117"/>
      <c r="T137" s="213"/>
      <c r="U137" s="213"/>
      <c r="V137" s="213"/>
      <c r="W137" s="213"/>
      <c r="X137" s="126"/>
      <c r="Y137" s="125"/>
      <c r="Z137" s="13"/>
    </row>
    <row r="138" spans="1:26" ht="15" thickBot="1" x14ac:dyDescent="0.35">
      <c r="A138" s="192"/>
      <c r="B138" s="36"/>
      <c r="C138" s="36"/>
      <c r="D138" s="36"/>
      <c r="E138" s="36"/>
      <c r="F138" s="36"/>
      <c r="G138" s="37"/>
      <c r="H138" s="37"/>
      <c r="I138" s="37"/>
      <c r="J138" s="37"/>
      <c r="K138" s="193"/>
      <c r="S138" s="117"/>
      <c r="T138" s="213"/>
      <c r="U138" s="213"/>
      <c r="V138" s="213"/>
      <c r="W138" s="213"/>
      <c r="X138" s="126"/>
      <c r="Y138" s="125"/>
    </row>
    <row r="139" spans="1:26" ht="15" thickTop="1" x14ac:dyDescent="0.3">
      <c r="A139" s="24"/>
      <c r="B139" s="220"/>
      <c r="C139" s="220"/>
      <c r="D139" s="220"/>
      <c r="E139" s="220"/>
      <c r="F139" s="220"/>
      <c r="G139" s="5"/>
      <c r="H139" s="5"/>
      <c r="I139" s="5"/>
      <c r="J139" s="5"/>
      <c r="K139" s="108"/>
      <c r="S139" s="117"/>
      <c r="T139" s="213"/>
      <c r="U139" s="213"/>
      <c r="V139" s="213"/>
      <c r="W139" s="213"/>
      <c r="X139" s="126"/>
      <c r="Y139" s="125"/>
    </row>
    <row r="140" spans="1:26" ht="21" x14ac:dyDescent="0.4">
      <c r="A140" s="24"/>
      <c r="B140" s="220"/>
      <c r="C140" s="220"/>
      <c r="D140" s="220"/>
      <c r="E140" s="220"/>
      <c r="F140" s="219" t="s">
        <v>294</v>
      </c>
      <c r="G140" s="5"/>
      <c r="H140" s="5"/>
      <c r="I140" s="5"/>
      <c r="J140" s="5"/>
      <c r="K140" s="108"/>
      <c r="R140" s="39"/>
      <c r="S140" s="117"/>
      <c r="T140" s="213"/>
      <c r="U140" s="213"/>
      <c r="V140" s="213"/>
      <c r="W140" s="213"/>
      <c r="X140" s="213"/>
      <c r="Y140" s="118"/>
      <c r="Z140" s="39"/>
    </row>
    <row r="141" spans="1:26" ht="14.4" customHeight="1" x14ac:dyDescent="0.4">
      <c r="A141" s="24"/>
      <c r="B141" s="220"/>
      <c r="C141" s="220"/>
      <c r="D141" s="220"/>
      <c r="E141" s="220"/>
      <c r="F141" s="221"/>
      <c r="G141" s="5"/>
      <c r="H141" s="5"/>
      <c r="I141" s="5"/>
      <c r="J141" s="5"/>
      <c r="K141" s="108"/>
      <c r="R141" s="39"/>
      <c r="S141" s="117"/>
      <c r="T141" s="213"/>
      <c r="U141" s="213"/>
      <c r="V141" s="213"/>
      <c r="W141" s="213"/>
      <c r="X141" s="213"/>
      <c r="Y141" s="118"/>
      <c r="Z141" s="39"/>
    </row>
    <row r="142" spans="1:26" ht="15" thickBot="1" x14ac:dyDescent="0.35">
      <c r="A142" s="24"/>
      <c r="B142" s="220" t="s">
        <v>298</v>
      </c>
      <c r="C142" s="220" t="s">
        <v>12</v>
      </c>
      <c r="D142" s="220" t="s">
        <v>13</v>
      </c>
      <c r="E142" s="220" t="s">
        <v>14</v>
      </c>
      <c r="F142" s="220" t="s">
        <v>15</v>
      </c>
      <c r="G142" s="5" t="s">
        <v>24</v>
      </c>
      <c r="H142" s="5" t="s">
        <v>25</v>
      </c>
      <c r="I142" s="5" t="s">
        <v>26</v>
      </c>
      <c r="J142" s="5" t="s">
        <v>27</v>
      </c>
      <c r="K142" s="108"/>
      <c r="R142" s="39"/>
      <c r="S142" s="122"/>
      <c r="T142" s="17"/>
      <c r="U142" s="17"/>
      <c r="V142" s="17"/>
      <c r="W142" s="95"/>
      <c r="X142" s="95"/>
      <c r="Y142" s="169"/>
      <c r="Z142" s="39"/>
    </row>
    <row r="143" spans="1:26" x14ac:dyDescent="0.3">
      <c r="A143" s="24"/>
      <c r="B143" s="71" t="s">
        <v>21</v>
      </c>
      <c r="C143" s="72">
        <v>3</v>
      </c>
      <c r="D143" s="225">
        <v>1</v>
      </c>
      <c r="E143" s="225">
        <v>1</v>
      </c>
      <c r="F143" s="225">
        <v>1</v>
      </c>
      <c r="G143" s="225">
        <v>5</v>
      </c>
      <c r="H143" s="225">
        <v>5</v>
      </c>
      <c r="I143" s="73">
        <v>3</v>
      </c>
      <c r="J143" s="74">
        <v>3</v>
      </c>
      <c r="K143" s="108"/>
      <c r="S143" s="117"/>
      <c r="T143" s="213"/>
      <c r="U143" s="213"/>
      <c r="V143" s="213"/>
      <c r="W143" s="213"/>
      <c r="X143" s="126"/>
      <c r="Y143" s="125"/>
    </row>
    <row r="144" spans="1:26" x14ac:dyDescent="0.3">
      <c r="A144" s="24"/>
      <c r="B144" s="75" t="s">
        <v>61</v>
      </c>
      <c r="C144" s="76">
        <v>3</v>
      </c>
      <c r="D144" s="226">
        <v>1</v>
      </c>
      <c r="E144" s="226">
        <v>1</v>
      </c>
      <c r="F144" s="226">
        <v>1</v>
      </c>
      <c r="G144" s="226">
        <v>1</v>
      </c>
      <c r="H144" s="226">
        <v>3</v>
      </c>
      <c r="I144" s="77">
        <v>3</v>
      </c>
      <c r="J144" s="78">
        <v>3</v>
      </c>
      <c r="K144" s="108"/>
      <c r="S144" s="117"/>
      <c r="T144" s="213"/>
      <c r="U144" s="213"/>
      <c r="V144" s="213"/>
      <c r="W144" s="213"/>
      <c r="X144" s="126"/>
      <c r="Y144" s="125"/>
    </row>
    <row r="145" spans="1:25" x14ac:dyDescent="0.3">
      <c r="A145" s="24"/>
      <c r="B145" s="75" t="s">
        <v>125</v>
      </c>
      <c r="C145" s="76">
        <v>3</v>
      </c>
      <c r="D145" s="226">
        <v>0</v>
      </c>
      <c r="E145" s="226">
        <v>2</v>
      </c>
      <c r="F145" s="226">
        <v>1</v>
      </c>
      <c r="G145" s="226">
        <v>2</v>
      </c>
      <c r="H145" s="226">
        <v>4</v>
      </c>
      <c r="I145" s="77">
        <v>2</v>
      </c>
      <c r="J145" s="78">
        <v>4</v>
      </c>
      <c r="K145" s="108"/>
      <c r="S145" s="117"/>
      <c r="T145" s="213"/>
      <c r="U145" s="213"/>
      <c r="V145" s="213"/>
      <c r="W145" s="213"/>
      <c r="X145" s="126"/>
      <c r="Y145" s="125"/>
    </row>
    <row r="146" spans="1:25" x14ac:dyDescent="0.3">
      <c r="A146" s="24"/>
      <c r="B146" s="75" t="s">
        <v>18</v>
      </c>
      <c r="C146" s="76">
        <v>3</v>
      </c>
      <c r="D146" s="226">
        <v>0</v>
      </c>
      <c r="E146" s="226">
        <v>2</v>
      </c>
      <c r="F146" s="226">
        <v>1</v>
      </c>
      <c r="G146" s="226">
        <v>2</v>
      </c>
      <c r="H146" s="226">
        <v>7</v>
      </c>
      <c r="I146" s="77">
        <v>2</v>
      </c>
      <c r="J146" s="78">
        <v>4</v>
      </c>
      <c r="K146" s="108"/>
      <c r="S146" s="117"/>
      <c r="T146" s="213"/>
      <c r="U146" s="213"/>
      <c r="V146" s="213"/>
      <c r="W146" s="213"/>
      <c r="X146" s="126"/>
      <c r="Y146" s="125"/>
    </row>
    <row r="147" spans="1:25" x14ac:dyDescent="0.3">
      <c r="A147" s="24"/>
      <c r="B147" s="3" t="s">
        <v>32</v>
      </c>
      <c r="C147" s="220">
        <v>3</v>
      </c>
      <c r="D147" s="43">
        <v>1</v>
      </c>
      <c r="E147" s="43">
        <v>0</v>
      </c>
      <c r="F147" s="43">
        <v>2</v>
      </c>
      <c r="G147" s="43">
        <v>2</v>
      </c>
      <c r="H147" s="43">
        <v>9</v>
      </c>
      <c r="I147" s="18">
        <v>2</v>
      </c>
      <c r="J147" s="22">
        <v>4</v>
      </c>
      <c r="K147" s="108"/>
      <c r="S147" s="117"/>
      <c r="T147" s="213"/>
      <c r="U147" s="213"/>
      <c r="V147" s="213"/>
      <c r="W147" s="213"/>
      <c r="X147" s="126"/>
      <c r="Y147" s="125"/>
    </row>
    <row r="148" spans="1:25" ht="15" thickBot="1" x14ac:dyDescent="0.35">
      <c r="A148" s="24"/>
      <c r="B148" s="7" t="s">
        <v>98</v>
      </c>
      <c r="C148" s="223">
        <v>3</v>
      </c>
      <c r="D148" s="80">
        <v>0</v>
      </c>
      <c r="E148" s="80">
        <v>1</v>
      </c>
      <c r="F148" s="80">
        <v>2</v>
      </c>
      <c r="G148" s="80">
        <v>2</v>
      </c>
      <c r="H148" s="80">
        <v>6</v>
      </c>
      <c r="I148" s="31">
        <v>1</v>
      </c>
      <c r="J148" s="32">
        <v>5</v>
      </c>
      <c r="K148" s="108"/>
      <c r="S148" s="117"/>
      <c r="T148" s="213"/>
      <c r="U148" s="213"/>
      <c r="V148" s="213"/>
      <c r="W148" s="213"/>
      <c r="X148" s="126"/>
      <c r="Y148" s="125"/>
    </row>
    <row r="149" spans="1:25" x14ac:dyDescent="0.3">
      <c r="A149" s="24"/>
      <c r="B149" s="220"/>
      <c r="C149" s="220"/>
      <c r="D149" s="220"/>
      <c r="E149" s="220"/>
      <c r="F149" s="220"/>
      <c r="G149" s="5"/>
      <c r="H149" s="5"/>
      <c r="I149" s="5"/>
      <c r="J149" s="5"/>
      <c r="K149" s="108"/>
      <c r="S149" s="122"/>
      <c r="T149" s="17"/>
      <c r="U149" s="17"/>
      <c r="V149" s="17"/>
      <c r="W149" s="17"/>
      <c r="X149" s="126"/>
      <c r="Y149" s="125"/>
    </row>
    <row r="150" spans="1:25" x14ac:dyDescent="0.3">
      <c r="A150" s="24"/>
      <c r="B150" s="220"/>
      <c r="C150" s="220"/>
      <c r="D150" s="220"/>
      <c r="E150" s="220"/>
      <c r="F150" s="220"/>
      <c r="G150" s="5"/>
      <c r="H150" s="5"/>
      <c r="I150" s="5"/>
      <c r="J150" s="5"/>
      <c r="K150" s="108"/>
      <c r="S150" s="117"/>
      <c r="T150" s="213"/>
      <c r="U150" s="213"/>
      <c r="V150" s="213"/>
      <c r="W150" s="213"/>
      <c r="X150" s="126"/>
      <c r="Y150" s="125"/>
    </row>
    <row r="151" spans="1:25" ht="21" x14ac:dyDescent="0.4">
      <c r="A151" s="24"/>
      <c r="B151" s="220"/>
      <c r="C151" s="220"/>
      <c r="D151" s="220"/>
      <c r="E151" s="220"/>
      <c r="F151" s="219" t="s">
        <v>28</v>
      </c>
      <c r="G151" s="5"/>
      <c r="H151" s="5"/>
      <c r="I151" s="5"/>
      <c r="J151" s="5"/>
      <c r="K151" s="108"/>
      <c r="S151" s="117"/>
      <c r="T151" s="213"/>
      <c r="U151" s="213"/>
      <c r="V151" s="213"/>
      <c r="W151" s="213"/>
      <c r="X151" s="126"/>
      <c r="Y151" s="125"/>
    </row>
    <row r="152" spans="1:25" ht="14.4" customHeight="1" x14ac:dyDescent="0.4">
      <c r="A152" s="24"/>
      <c r="B152" s="229"/>
      <c r="C152" s="220"/>
      <c r="D152" s="220"/>
      <c r="E152" s="220"/>
      <c r="F152" s="220"/>
      <c r="G152" s="5"/>
      <c r="H152" s="5"/>
      <c r="I152" s="5"/>
      <c r="J152" s="5"/>
      <c r="K152" s="108"/>
      <c r="S152" s="117"/>
      <c r="T152" s="213"/>
      <c r="U152" s="213"/>
      <c r="V152" s="213"/>
      <c r="W152" s="166"/>
      <c r="X152" s="126"/>
      <c r="Y152" s="125"/>
    </row>
    <row r="153" spans="1:25" s="46" customFormat="1" x14ac:dyDescent="0.3">
      <c r="A153" s="230"/>
      <c r="B153" s="216"/>
      <c r="C153" s="231">
        <v>31578</v>
      </c>
      <c r="D153" s="44" t="s">
        <v>4</v>
      </c>
      <c r="E153" s="43" t="s">
        <v>125</v>
      </c>
      <c r="F153" s="44">
        <v>2</v>
      </c>
      <c r="G153" s="43">
        <v>0</v>
      </c>
      <c r="H153" s="43"/>
      <c r="I153" s="48" t="s">
        <v>261</v>
      </c>
      <c r="J153" s="48"/>
      <c r="K153" s="191"/>
      <c r="S153" s="117" t="s">
        <v>4</v>
      </c>
      <c r="T153" s="213" t="s">
        <v>125</v>
      </c>
      <c r="U153" s="213">
        <v>2</v>
      </c>
      <c r="V153" s="213">
        <v>0</v>
      </c>
      <c r="W153" s="166"/>
      <c r="X153" s="126">
        <f t="shared" ref="X153:X160" si="18">(IF(U153&gt;V153,3,IF(U153=V153,1,2)))</f>
        <v>3</v>
      </c>
      <c r="Y153" s="125">
        <f t="shared" ref="Y153:Y160" si="19">(IF(V153&gt;U153,3,IF(U153=V153,1,2)))</f>
        <v>2</v>
      </c>
    </row>
    <row r="154" spans="1:25" s="46" customFormat="1" ht="15" thickBot="1" x14ac:dyDescent="0.35">
      <c r="A154" s="230"/>
      <c r="B154" s="216"/>
      <c r="C154" s="202"/>
      <c r="D154" s="203"/>
      <c r="E154" s="80"/>
      <c r="F154" s="80" t="s">
        <v>172</v>
      </c>
      <c r="G154" s="80" t="s">
        <v>171</v>
      </c>
      <c r="H154" s="80"/>
      <c r="I154" s="84"/>
      <c r="J154" s="48"/>
      <c r="K154" s="191"/>
      <c r="S154" s="117" t="s">
        <v>101</v>
      </c>
      <c r="T154" s="213" t="s">
        <v>21</v>
      </c>
      <c r="U154" s="213">
        <v>3</v>
      </c>
      <c r="V154" s="213">
        <v>4</v>
      </c>
      <c r="W154" s="200"/>
      <c r="X154" s="126">
        <f t="shared" si="18"/>
        <v>2</v>
      </c>
      <c r="Y154" s="125">
        <f t="shared" si="19"/>
        <v>3</v>
      </c>
    </row>
    <row r="155" spans="1:25" s="46" customFormat="1" x14ac:dyDescent="0.3">
      <c r="A155" s="230"/>
      <c r="B155" s="216"/>
      <c r="C155" s="231">
        <v>31578</v>
      </c>
      <c r="D155" s="43" t="s">
        <v>101</v>
      </c>
      <c r="E155" s="44" t="s">
        <v>21</v>
      </c>
      <c r="F155" s="43">
        <v>3</v>
      </c>
      <c r="G155" s="44">
        <v>4</v>
      </c>
      <c r="H155" s="43" t="s">
        <v>30</v>
      </c>
      <c r="I155" s="48" t="s">
        <v>146</v>
      </c>
      <c r="J155" s="48"/>
      <c r="K155" s="191"/>
      <c r="S155" s="117" t="s">
        <v>9</v>
      </c>
      <c r="T155" s="213" t="s">
        <v>61</v>
      </c>
      <c r="U155" s="213">
        <v>4</v>
      </c>
      <c r="V155" s="213">
        <v>0</v>
      </c>
      <c r="W155" s="166"/>
      <c r="X155" s="126">
        <f t="shared" si="18"/>
        <v>3</v>
      </c>
      <c r="Y155" s="125">
        <f t="shared" si="19"/>
        <v>2</v>
      </c>
    </row>
    <row r="156" spans="1:25" s="46" customFormat="1" x14ac:dyDescent="0.3">
      <c r="A156" s="230"/>
      <c r="B156" s="216"/>
      <c r="C156" s="231"/>
      <c r="D156" s="43"/>
      <c r="E156" s="44"/>
      <c r="F156" s="43">
        <v>2</v>
      </c>
      <c r="G156" s="43">
        <v>2</v>
      </c>
      <c r="H156" s="43"/>
      <c r="I156" s="48"/>
      <c r="J156" s="48"/>
      <c r="K156" s="191"/>
      <c r="S156" s="117" t="s">
        <v>5</v>
      </c>
      <c r="T156" s="213" t="s">
        <v>18</v>
      </c>
      <c r="U156" s="213">
        <v>1</v>
      </c>
      <c r="V156" s="213">
        <v>0</v>
      </c>
      <c r="W156" s="200"/>
      <c r="X156" s="126">
        <f t="shared" si="18"/>
        <v>3</v>
      </c>
      <c r="Y156" s="125">
        <f t="shared" si="19"/>
        <v>2</v>
      </c>
    </row>
    <row r="157" spans="1:25" s="46" customFormat="1" ht="15" thickBot="1" x14ac:dyDescent="0.35">
      <c r="A157" s="230"/>
      <c r="B157" s="216"/>
      <c r="C157" s="202"/>
      <c r="D157" s="80"/>
      <c r="E157" s="203"/>
      <c r="F157" s="80" t="s">
        <v>172</v>
      </c>
      <c r="G157" s="80" t="s">
        <v>171</v>
      </c>
      <c r="H157" s="80"/>
      <c r="I157" s="84"/>
      <c r="J157" s="48"/>
      <c r="K157" s="191"/>
      <c r="S157" s="117" t="s">
        <v>37</v>
      </c>
      <c r="T157" s="213" t="s">
        <v>3</v>
      </c>
      <c r="U157" s="213">
        <v>0</v>
      </c>
      <c r="V157" s="213">
        <v>2</v>
      </c>
      <c r="W157" s="200"/>
      <c r="X157" s="126">
        <f t="shared" si="18"/>
        <v>2</v>
      </c>
      <c r="Y157" s="125">
        <f t="shared" si="19"/>
        <v>3</v>
      </c>
    </row>
    <row r="158" spans="1:25" s="47" customFormat="1" x14ac:dyDescent="0.3">
      <c r="A158" s="230"/>
      <c r="B158" s="232"/>
      <c r="C158" s="82">
        <v>31579</v>
      </c>
      <c r="D158" s="50" t="s">
        <v>9</v>
      </c>
      <c r="E158" s="49" t="s">
        <v>61</v>
      </c>
      <c r="F158" s="50">
        <v>4</v>
      </c>
      <c r="G158" s="49">
        <v>0</v>
      </c>
      <c r="H158" s="49"/>
      <c r="I158" s="51" t="s">
        <v>145</v>
      </c>
      <c r="J158" s="51"/>
      <c r="K158" s="233"/>
      <c r="S158" s="117" t="s">
        <v>147</v>
      </c>
      <c r="T158" s="213" t="s">
        <v>88</v>
      </c>
      <c r="U158" s="213">
        <v>0</v>
      </c>
      <c r="V158" s="213">
        <v>1</v>
      </c>
      <c r="W158" s="166"/>
      <c r="X158" s="126">
        <f t="shared" si="18"/>
        <v>2</v>
      </c>
      <c r="Y158" s="125">
        <f t="shared" si="19"/>
        <v>3</v>
      </c>
    </row>
    <row r="159" spans="1:25" s="47" customFormat="1" ht="15" thickBot="1" x14ac:dyDescent="0.35">
      <c r="A159" s="230"/>
      <c r="B159" s="232"/>
      <c r="C159" s="83"/>
      <c r="D159" s="204"/>
      <c r="E159" s="79"/>
      <c r="F159" s="79" t="s">
        <v>172</v>
      </c>
      <c r="G159" s="79" t="s">
        <v>171</v>
      </c>
      <c r="H159" s="79"/>
      <c r="I159" s="81"/>
      <c r="J159" s="51"/>
      <c r="K159" s="233"/>
      <c r="S159" s="117" t="s">
        <v>74</v>
      </c>
      <c r="T159" s="213" t="s">
        <v>22</v>
      </c>
      <c r="U159" s="213">
        <v>3</v>
      </c>
      <c r="V159" s="213">
        <v>0</v>
      </c>
      <c r="W159" s="200"/>
      <c r="X159" s="126">
        <f t="shared" si="18"/>
        <v>3</v>
      </c>
      <c r="Y159" s="125">
        <f t="shared" si="19"/>
        <v>2</v>
      </c>
    </row>
    <row r="160" spans="1:25" s="46" customFormat="1" x14ac:dyDescent="0.3">
      <c r="A160" s="230"/>
      <c r="B160" s="216"/>
      <c r="C160" s="231">
        <v>31579</v>
      </c>
      <c r="D160" s="44" t="s">
        <v>5</v>
      </c>
      <c r="E160" s="43" t="s">
        <v>18</v>
      </c>
      <c r="F160" s="44">
        <v>1</v>
      </c>
      <c r="G160" s="43">
        <v>0</v>
      </c>
      <c r="H160" s="43"/>
      <c r="I160" s="48" t="s">
        <v>143</v>
      </c>
      <c r="J160" s="48"/>
      <c r="K160" s="191"/>
      <c r="S160" s="117" t="s">
        <v>258</v>
      </c>
      <c r="T160" s="213" t="s">
        <v>35</v>
      </c>
      <c r="U160" s="213">
        <v>1</v>
      </c>
      <c r="V160" s="213">
        <v>5</v>
      </c>
      <c r="W160" s="166"/>
      <c r="X160" s="126">
        <f t="shared" si="18"/>
        <v>2</v>
      </c>
      <c r="Y160" s="125">
        <f t="shared" si="19"/>
        <v>3</v>
      </c>
    </row>
    <row r="161" spans="1:25" s="46" customFormat="1" ht="15" thickBot="1" x14ac:dyDescent="0.35">
      <c r="A161" s="230"/>
      <c r="B161" s="216"/>
      <c r="C161" s="202"/>
      <c r="D161" s="203"/>
      <c r="E161" s="80"/>
      <c r="F161" s="80" t="s">
        <v>172</v>
      </c>
      <c r="G161" s="80" t="s">
        <v>171</v>
      </c>
      <c r="H161" s="80"/>
      <c r="I161" s="84"/>
      <c r="J161" s="48"/>
      <c r="K161" s="191"/>
      <c r="S161" s="117"/>
      <c r="T161" s="213"/>
      <c r="U161" s="213"/>
      <c r="V161" s="213"/>
      <c r="W161" s="200"/>
      <c r="X161" s="126"/>
      <c r="Y161" s="125"/>
    </row>
    <row r="162" spans="1:25" s="46" customFormat="1" x14ac:dyDescent="0.3">
      <c r="A162" s="230"/>
      <c r="B162" s="216"/>
      <c r="C162" s="231">
        <v>31580</v>
      </c>
      <c r="D162" s="43" t="s">
        <v>37</v>
      </c>
      <c r="E162" s="44" t="s">
        <v>3</v>
      </c>
      <c r="F162" s="43">
        <v>0</v>
      </c>
      <c r="G162" s="44">
        <v>2</v>
      </c>
      <c r="H162" s="43"/>
      <c r="I162" s="234" t="s">
        <v>249</v>
      </c>
      <c r="J162" s="48"/>
      <c r="K162" s="191"/>
      <c r="S162" s="117"/>
      <c r="T162" s="213"/>
      <c r="U162" s="213"/>
      <c r="V162" s="213"/>
      <c r="W162" s="166"/>
      <c r="X162" s="126"/>
      <c r="Y162" s="125"/>
    </row>
    <row r="163" spans="1:25" s="46" customFormat="1" ht="15" thickBot="1" x14ac:dyDescent="0.35">
      <c r="A163" s="230"/>
      <c r="B163" s="216"/>
      <c r="C163" s="202"/>
      <c r="D163" s="80"/>
      <c r="E163" s="203"/>
      <c r="F163" s="80" t="s">
        <v>170</v>
      </c>
      <c r="G163" s="80" t="s">
        <v>183</v>
      </c>
      <c r="H163" s="80"/>
      <c r="I163" s="205"/>
      <c r="J163" s="48"/>
      <c r="K163" s="191"/>
      <c r="S163" s="117"/>
      <c r="T163" s="213"/>
      <c r="U163" s="213"/>
      <c r="V163" s="213"/>
      <c r="W163" s="200"/>
      <c r="X163" s="126"/>
      <c r="Y163" s="125"/>
    </row>
    <row r="164" spans="1:25" s="47" customFormat="1" x14ac:dyDescent="0.3">
      <c r="A164" s="230"/>
      <c r="B164" s="232"/>
      <c r="C164" s="82">
        <v>31580</v>
      </c>
      <c r="D164" s="49" t="s">
        <v>147</v>
      </c>
      <c r="E164" s="50" t="s">
        <v>88</v>
      </c>
      <c r="F164" s="49">
        <v>0</v>
      </c>
      <c r="G164" s="50">
        <v>1</v>
      </c>
      <c r="H164" s="49"/>
      <c r="I164" s="235" t="s">
        <v>259</v>
      </c>
      <c r="J164" s="51"/>
      <c r="K164" s="233"/>
      <c r="S164" s="117"/>
      <c r="T164" s="213"/>
      <c r="U164" s="213"/>
      <c r="V164" s="213"/>
      <c r="W164" s="166"/>
      <c r="X164" s="126"/>
      <c r="Y164" s="125"/>
    </row>
    <row r="165" spans="1:25" s="47" customFormat="1" ht="15" thickBot="1" x14ac:dyDescent="0.35">
      <c r="A165" s="230"/>
      <c r="B165" s="232"/>
      <c r="C165" s="83"/>
      <c r="D165" s="79"/>
      <c r="E165" s="204"/>
      <c r="F165" s="79" t="s">
        <v>170</v>
      </c>
      <c r="G165" s="79" t="s">
        <v>171</v>
      </c>
      <c r="H165" s="79"/>
      <c r="I165" s="206"/>
      <c r="J165" s="51"/>
      <c r="K165" s="233"/>
      <c r="S165" s="117"/>
      <c r="T165" s="213"/>
      <c r="U165" s="213"/>
      <c r="V165" s="213"/>
      <c r="W165" s="200"/>
      <c r="X165" s="126"/>
      <c r="Y165" s="125"/>
    </row>
    <row r="166" spans="1:25" s="46" customFormat="1" x14ac:dyDescent="0.3">
      <c r="A166" s="230"/>
      <c r="B166" s="216"/>
      <c r="C166" s="231">
        <v>31581</v>
      </c>
      <c r="D166" s="44" t="s">
        <v>74</v>
      </c>
      <c r="E166" s="43" t="s">
        <v>22</v>
      </c>
      <c r="F166" s="44">
        <v>3</v>
      </c>
      <c r="G166" s="43">
        <v>0</v>
      </c>
      <c r="H166" s="43"/>
      <c r="I166" s="48" t="s">
        <v>261</v>
      </c>
      <c r="J166" s="48"/>
      <c r="K166" s="191"/>
      <c r="S166" s="117"/>
      <c r="T166" s="213"/>
      <c r="U166" s="213"/>
      <c r="V166" s="213"/>
      <c r="W166" s="166"/>
      <c r="X166" s="166"/>
      <c r="Y166" s="118"/>
    </row>
    <row r="167" spans="1:25" s="46" customFormat="1" ht="15" thickBot="1" x14ac:dyDescent="0.35">
      <c r="A167" s="230"/>
      <c r="B167" s="216"/>
      <c r="C167" s="202"/>
      <c r="D167" s="203"/>
      <c r="E167" s="80"/>
      <c r="F167" s="80" t="s">
        <v>172</v>
      </c>
      <c r="G167" s="80" t="s">
        <v>171</v>
      </c>
      <c r="H167" s="80"/>
      <c r="I167" s="84"/>
      <c r="J167" s="48"/>
      <c r="K167" s="191"/>
      <c r="S167" s="117"/>
      <c r="T167" s="213"/>
      <c r="U167" s="213"/>
      <c r="V167" s="213"/>
      <c r="W167" s="200"/>
      <c r="X167" s="200"/>
      <c r="Y167" s="118"/>
    </row>
    <row r="168" spans="1:25" s="47" customFormat="1" x14ac:dyDescent="0.3">
      <c r="A168" s="230"/>
      <c r="B168" s="232"/>
      <c r="C168" s="82">
        <v>31581</v>
      </c>
      <c r="D168" s="49" t="s">
        <v>258</v>
      </c>
      <c r="E168" s="50" t="s">
        <v>35</v>
      </c>
      <c r="F168" s="49">
        <v>1</v>
      </c>
      <c r="G168" s="50">
        <v>5</v>
      </c>
      <c r="H168" s="49"/>
      <c r="I168" s="51" t="s">
        <v>256</v>
      </c>
      <c r="J168" s="51"/>
      <c r="K168" s="233"/>
      <c r="S168" s="117"/>
      <c r="T168" s="213"/>
      <c r="U168" s="213"/>
      <c r="V168" s="213"/>
      <c r="W168" s="166"/>
      <c r="X168" s="166"/>
      <c r="Y168" s="118"/>
    </row>
    <row r="169" spans="1:25" x14ac:dyDescent="0.3">
      <c r="A169" s="194"/>
      <c r="B169" s="220"/>
      <c r="C169" s="220"/>
      <c r="D169" s="220"/>
      <c r="E169" s="220"/>
      <c r="F169" s="220" t="s">
        <v>172</v>
      </c>
      <c r="G169" s="5" t="s">
        <v>183</v>
      </c>
      <c r="H169" s="5"/>
      <c r="I169" s="5"/>
      <c r="J169" s="5"/>
      <c r="K169" s="108"/>
      <c r="S169" s="117"/>
      <c r="T169" s="213"/>
      <c r="U169" s="213"/>
      <c r="V169" s="213"/>
      <c r="W169" s="166"/>
      <c r="X169" s="126"/>
      <c r="Y169" s="125"/>
    </row>
    <row r="170" spans="1:25" x14ac:dyDescent="0.3">
      <c r="A170" s="194"/>
      <c r="B170" s="220"/>
      <c r="C170" s="220"/>
      <c r="D170" s="220"/>
      <c r="E170" s="220"/>
      <c r="F170" s="220"/>
      <c r="G170" s="5"/>
      <c r="H170" s="5"/>
      <c r="I170" s="5"/>
      <c r="J170" s="5"/>
      <c r="K170" s="108"/>
      <c r="S170" s="117"/>
      <c r="T170" s="213"/>
      <c r="U170" s="213"/>
      <c r="V170" s="213"/>
      <c r="W170" s="166"/>
      <c r="X170" s="126"/>
      <c r="Y170" s="125"/>
    </row>
    <row r="171" spans="1:25" x14ac:dyDescent="0.3">
      <c r="A171" s="194"/>
      <c r="B171" s="220"/>
      <c r="C171" s="220"/>
      <c r="D171" s="220"/>
      <c r="E171" s="220"/>
      <c r="F171" s="220"/>
      <c r="G171" s="5"/>
      <c r="H171" s="5"/>
      <c r="I171" s="5"/>
      <c r="J171" s="5"/>
      <c r="K171" s="108"/>
      <c r="S171" s="117"/>
      <c r="T171" s="213"/>
      <c r="U171" s="213"/>
      <c r="V171" s="213"/>
      <c r="W171" s="166"/>
      <c r="X171" s="126"/>
      <c r="Y171" s="125"/>
    </row>
    <row r="172" spans="1:25" ht="21" x14ac:dyDescent="0.4">
      <c r="A172" s="194"/>
      <c r="B172" s="220"/>
      <c r="C172" s="220"/>
      <c r="D172" s="220"/>
      <c r="E172" s="220"/>
      <c r="F172" s="219" t="s">
        <v>47</v>
      </c>
      <c r="G172" s="5"/>
      <c r="H172" s="5"/>
      <c r="I172" s="5"/>
      <c r="J172" s="5"/>
      <c r="K172" s="108"/>
      <c r="S172" s="117"/>
      <c r="T172" s="213"/>
      <c r="U172" s="213"/>
      <c r="V172" s="213"/>
      <c r="W172" s="166"/>
      <c r="X172" s="126"/>
      <c r="Y172" s="125"/>
    </row>
    <row r="173" spans="1:25" ht="14.4" customHeight="1" x14ac:dyDescent="0.4">
      <c r="A173" s="194"/>
      <c r="B173" s="229"/>
      <c r="C173" s="220"/>
      <c r="D173" s="220"/>
      <c r="E173" s="220"/>
      <c r="F173" s="220"/>
      <c r="G173" s="5"/>
      <c r="H173" s="5"/>
      <c r="I173" s="5"/>
      <c r="J173" s="5"/>
      <c r="K173" s="108"/>
      <c r="S173" s="117"/>
      <c r="T173" s="213"/>
      <c r="U173" s="213"/>
      <c r="V173" s="213"/>
      <c r="W173" s="166"/>
      <c r="X173" s="126"/>
      <c r="Y173" s="125"/>
    </row>
    <row r="174" spans="1:25" s="46" customFormat="1" x14ac:dyDescent="0.3">
      <c r="A174" s="230"/>
      <c r="B174" s="216"/>
      <c r="C174" s="231">
        <v>31584</v>
      </c>
      <c r="D174" s="43" t="s">
        <v>9</v>
      </c>
      <c r="E174" s="44" t="s">
        <v>3</v>
      </c>
      <c r="F174" s="43">
        <v>3</v>
      </c>
      <c r="G174" s="44">
        <v>4</v>
      </c>
      <c r="H174" s="43" t="s">
        <v>214</v>
      </c>
      <c r="I174" s="48" t="s">
        <v>145</v>
      </c>
      <c r="J174" s="48"/>
      <c r="K174" s="191"/>
      <c r="S174" s="122" t="s">
        <v>9</v>
      </c>
      <c r="T174" s="17" t="s">
        <v>3</v>
      </c>
      <c r="U174" s="17">
        <v>4</v>
      </c>
      <c r="V174" s="17">
        <v>5</v>
      </c>
      <c r="W174" s="95"/>
      <c r="X174" s="126">
        <f t="shared" ref="X174:X177" si="20">(IF(U174&gt;V174,3,IF(U174=V174,1,2)))</f>
        <v>2</v>
      </c>
      <c r="Y174" s="125">
        <f t="shared" ref="Y174:Y177" si="21">(IF(V174&gt;U174,3,IF(U174=V174,1,2)))</f>
        <v>3</v>
      </c>
    </row>
    <row r="175" spans="1:25" s="47" customFormat="1" x14ac:dyDescent="0.3">
      <c r="A175" s="230"/>
      <c r="B175" s="232"/>
      <c r="C175" s="82"/>
      <c r="D175" s="49"/>
      <c r="E175" s="49"/>
      <c r="F175" s="49">
        <v>1</v>
      </c>
      <c r="G175" s="43">
        <v>1</v>
      </c>
      <c r="H175" s="49" t="s">
        <v>30</v>
      </c>
      <c r="I175" s="51"/>
      <c r="J175" s="51"/>
      <c r="K175" s="233"/>
      <c r="S175" s="117" t="s">
        <v>88</v>
      </c>
      <c r="T175" s="213" t="s">
        <v>4</v>
      </c>
      <c r="U175" s="213">
        <v>4</v>
      </c>
      <c r="V175" s="213">
        <v>1</v>
      </c>
      <c r="W175" s="166"/>
      <c r="X175" s="126">
        <f t="shared" si="20"/>
        <v>3</v>
      </c>
      <c r="Y175" s="125">
        <f t="shared" si="21"/>
        <v>2</v>
      </c>
    </row>
    <row r="176" spans="1:25" s="47" customFormat="1" x14ac:dyDescent="0.3">
      <c r="A176" s="230"/>
      <c r="B176" s="232"/>
      <c r="C176" s="82"/>
      <c r="D176" s="49"/>
      <c r="E176" s="49"/>
      <c r="F176" s="49">
        <v>1</v>
      </c>
      <c r="G176" s="43">
        <v>1</v>
      </c>
      <c r="H176" s="49"/>
      <c r="I176" s="51"/>
      <c r="J176" s="51"/>
      <c r="K176" s="233"/>
      <c r="S176" s="117" t="s">
        <v>5</v>
      </c>
      <c r="T176" s="213" t="s">
        <v>74</v>
      </c>
      <c r="U176" s="213">
        <v>2</v>
      </c>
      <c r="V176" s="213">
        <v>1</v>
      </c>
      <c r="W176" s="200"/>
      <c r="X176" s="126">
        <f t="shared" si="20"/>
        <v>3</v>
      </c>
      <c r="Y176" s="125">
        <f t="shared" si="21"/>
        <v>2</v>
      </c>
    </row>
    <row r="177" spans="1:25" s="47" customFormat="1" ht="15" thickBot="1" x14ac:dyDescent="0.35">
      <c r="A177" s="230"/>
      <c r="B177" s="232"/>
      <c r="C177" s="83"/>
      <c r="D177" s="79"/>
      <c r="E177" s="79"/>
      <c r="F177" s="79" t="s">
        <v>172</v>
      </c>
      <c r="G177" s="80" t="s">
        <v>183</v>
      </c>
      <c r="H177" s="79"/>
      <c r="I177" s="81"/>
      <c r="J177" s="51"/>
      <c r="K177" s="233"/>
      <c r="S177" s="117" t="s">
        <v>35</v>
      </c>
      <c r="T177" s="213" t="s">
        <v>21</v>
      </c>
      <c r="U177" s="213">
        <v>5</v>
      </c>
      <c r="V177" s="213">
        <v>6</v>
      </c>
      <c r="W177" s="200"/>
      <c r="X177" s="126">
        <f t="shared" si="20"/>
        <v>2</v>
      </c>
      <c r="Y177" s="125">
        <f t="shared" si="21"/>
        <v>3</v>
      </c>
    </row>
    <row r="178" spans="1:25" s="46" customFormat="1" x14ac:dyDescent="0.3">
      <c r="A178" s="230"/>
      <c r="B178" s="216"/>
      <c r="C178" s="231">
        <v>31584</v>
      </c>
      <c r="D178" s="44" t="s">
        <v>88</v>
      </c>
      <c r="E178" s="43" t="s">
        <v>4</v>
      </c>
      <c r="F178" s="44">
        <v>4</v>
      </c>
      <c r="G178" s="43">
        <v>1</v>
      </c>
      <c r="H178" s="43" t="s">
        <v>214</v>
      </c>
      <c r="I178" s="234" t="s">
        <v>259</v>
      </c>
      <c r="J178" s="48"/>
      <c r="K178" s="191"/>
      <c r="S178" s="117"/>
      <c r="T178" s="213"/>
      <c r="U178" s="213"/>
      <c r="V178" s="213"/>
      <c r="W178" s="166"/>
      <c r="X178" s="126"/>
      <c r="Y178" s="125"/>
    </row>
    <row r="179" spans="1:25" s="47" customFormat="1" x14ac:dyDescent="0.3">
      <c r="A179" s="230"/>
      <c r="B179" s="232"/>
      <c r="C179" s="82"/>
      <c r="D179" s="49"/>
      <c r="E179" s="49"/>
      <c r="F179" s="49">
        <v>0</v>
      </c>
      <c r="G179" s="49">
        <v>0</v>
      </c>
      <c r="H179" s="49" t="s">
        <v>30</v>
      </c>
      <c r="I179" s="51"/>
      <c r="J179" s="51"/>
      <c r="K179" s="233"/>
      <c r="S179" s="117"/>
      <c r="T179" s="213"/>
      <c r="U179" s="213"/>
      <c r="V179" s="213"/>
      <c r="W179" s="166"/>
      <c r="X179" s="126"/>
      <c r="Y179" s="125"/>
    </row>
    <row r="180" spans="1:25" s="47" customFormat="1" x14ac:dyDescent="0.3">
      <c r="A180" s="230"/>
      <c r="B180" s="232"/>
      <c r="C180" s="82"/>
      <c r="D180" s="49"/>
      <c r="E180" s="49"/>
      <c r="F180" s="49">
        <v>0</v>
      </c>
      <c r="G180" s="49">
        <v>0</v>
      </c>
      <c r="H180" s="49"/>
      <c r="I180" s="51"/>
      <c r="J180" s="51"/>
      <c r="K180" s="233"/>
      <c r="S180" s="117"/>
      <c r="T180" s="213"/>
      <c r="U180" s="213"/>
      <c r="V180" s="213"/>
      <c r="W180" s="200"/>
      <c r="X180" s="126"/>
      <c r="Y180" s="125"/>
    </row>
    <row r="181" spans="1:25" s="47" customFormat="1" ht="15" thickBot="1" x14ac:dyDescent="0.35">
      <c r="A181" s="230"/>
      <c r="B181" s="232"/>
      <c r="C181" s="83"/>
      <c r="D181" s="79"/>
      <c r="E181" s="79"/>
      <c r="F181" s="79" t="s">
        <v>170</v>
      </c>
      <c r="G181" s="79" t="s">
        <v>171</v>
      </c>
      <c r="H181" s="79"/>
      <c r="I181" s="81"/>
      <c r="J181" s="51"/>
      <c r="K181" s="233"/>
      <c r="S181" s="117"/>
      <c r="T181" s="213"/>
      <c r="U181" s="213"/>
      <c r="V181" s="213"/>
      <c r="W181" s="200"/>
      <c r="X181" s="126"/>
      <c r="Y181" s="125"/>
    </row>
    <row r="182" spans="1:25" s="46" customFormat="1" x14ac:dyDescent="0.3">
      <c r="A182" s="230"/>
      <c r="B182" s="216"/>
      <c r="C182" s="231">
        <v>31585</v>
      </c>
      <c r="D182" s="44" t="s">
        <v>5</v>
      </c>
      <c r="E182" s="43" t="s">
        <v>74</v>
      </c>
      <c r="F182" s="44">
        <v>2</v>
      </c>
      <c r="G182" s="43">
        <v>1</v>
      </c>
      <c r="H182" s="43"/>
      <c r="I182" s="48" t="s">
        <v>261</v>
      </c>
      <c r="J182" s="48"/>
      <c r="K182" s="191"/>
      <c r="S182" s="117"/>
      <c r="T182" s="213"/>
      <c r="U182" s="213"/>
      <c r="V182" s="213"/>
      <c r="W182" s="166"/>
      <c r="X182" s="126"/>
      <c r="Y182" s="125"/>
    </row>
    <row r="183" spans="1:25" s="46" customFormat="1" ht="15" thickBot="1" x14ac:dyDescent="0.35">
      <c r="A183" s="230"/>
      <c r="B183" s="216"/>
      <c r="C183" s="202"/>
      <c r="D183" s="203"/>
      <c r="E183" s="80"/>
      <c r="F183" s="80" t="s">
        <v>170</v>
      </c>
      <c r="G183" s="80" t="s">
        <v>171</v>
      </c>
      <c r="H183" s="80"/>
      <c r="I183" s="84"/>
      <c r="J183" s="48"/>
      <c r="K183" s="191"/>
      <c r="S183" s="117"/>
      <c r="T183" s="213"/>
      <c r="U183" s="213"/>
      <c r="V183" s="213"/>
      <c r="W183" s="200"/>
      <c r="X183" s="126"/>
      <c r="Y183" s="125"/>
    </row>
    <row r="184" spans="1:25" s="46" customFormat="1" x14ac:dyDescent="0.3">
      <c r="A184" s="230"/>
      <c r="B184" s="216"/>
      <c r="C184" s="231">
        <v>31585</v>
      </c>
      <c r="D184" s="43" t="s">
        <v>35</v>
      </c>
      <c r="E184" s="44" t="s">
        <v>21</v>
      </c>
      <c r="F184" s="43">
        <v>4</v>
      </c>
      <c r="G184" s="44">
        <v>5</v>
      </c>
      <c r="H184" s="43" t="s">
        <v>214</v>
      </c>
      <c r="I184" s="48" t="s">
        <v>143</v>
      </c>
      <c r="J184" s="48"/>
      <c r="K184" s="191"/>
      <c r="S184" s="117"/>
      <c r="T184" s="213"/>
      <c r="U184" s="213"/>
      <c r="V184" s="213"/>
      <c r="W184" s="166"/>
      <c r="X184" s="126"/>
      <c r="Y184" s="125"/>
    </row>
    <row r="185" spans="1:25" s="47" customFormat="1" x14ac:dyDescent="0.3">
      <c r="A185" s="230"/>
      <c r="B185" s="232"/>
      <c r="C185" s="82"/>
      <c r="D185" s="49"/>
      <c r="E185" s="49"/>
      <c r="F185" s="49">
        <v>1</v>
      </c>
      <c r="G185" s="43">
        <v>1</v>
      </c>
      <c r="H185" s="49" t="s">
        <v>30</v>
      </c>
      <c r="I185" s="51"/>
      <c r="J185" s="51"/>
      <c r="K185" s="233"/>
      <c r="S185" s="117"/>
      <c r="T185" s="213"/>
      <c r="U185" s="213"/>
      <c r="V185" s="213"/>
      <c r="W185" s="166"/>
      <c r="X185" s="126"/>
      <c r="Y185" s="125"/>
    </row>
    <row r="186" spans="1:25" x14ac:dyDescent="0.3">
      <c r="A186" s="194"/>
      <c r="B186" s="220"/>
      <c r="C186" s="220"/>
      <c r="D186" s="220"/>
      <c r="E186" s="41"/>
      <c r="F186" s="220">
        <v>1</v>
      </c>
      <c r="G186" s="5">
        <v>1</v>
      </c>
      <c r="H186" s="5"/>
      <c r="I186" s="5"/>
      <c r="J186" s="5"/>
      <c r="K186" s="108"/>
      <c r="S186" s="117"/>
      <c r="T186" s="213"/>
      <c r="U186" s="213"/>
      <c r="V186" s="213"/>
      <c r="W186" s="166"/>
      <c r="X186" s="126"/>
      <c r="Y186" s="125"/>
    </row>
    <row r="187" spans="1:25" x14ac:dyDescent="0.3">
      <c r="A187" s="194"/>
      <c r="B187" s="220"/>
      <c r="C187" s="220"/>
      <c r="D187" s="220"/>
      <c r="E187" s="41"/>
      <c r="F187" s="220" t="s">
        <v>170</v>
      </c>
      <c r="G187" s="5" t="s">
        <v>183</v>
      </c>
      <c r="H187" s="5"/>
      <c r="I187" s="5"/>
      <c r="J187" s="5"/>
      <c r="K187" s="108"/>
      <c r="S187" s="117"/>
      <c r="T187" s="213"/>
      <c r="U187" s="213"/>
      <c r="V187" s="213"/>
      <c r="W187" s="184"/>
      <c r="X187" s="126"/>
      <c r="Y187" s="125"/>
    </row>
    <row r="188" spans="1:25" x14ac:dyDescent="0.3">
      <c r="A188" s="194"/>
      <c r="B188" s="220"/>
      <c r="C188" s="220"/>
      <c r="D188" s="220"/>
      <c r="E188" s="41"/>
      <c r="F188" s="220"/>
      <c r="G188" s="5"/>
      <c r="H188" s="5"/>
      <c r="I188" s="5"/>
      <c r="J188" s="5"/>
      <c r="K188" s="108"/>
      <c r="S188" s="117"/>
      <c r="T188" s="213"/>
      <c r="U188" s="213"/>
      <c r="V188" s="213"/>
      <c r="W188" s="184"/>
      <c r="X188" s="126"/>
      <c r="Y188" s="125"/>
    </row>
    <row r="189" spans="1:25" x14ac:dyDescent="0.3">
      <c r="A189" s="194"/>
      <c r="B189" s="220"/>
      <c r="C189" s="220"/>
      <c r="D189" s="220"/>
      <c r="E189" s="220"/>
      <c r="F189" s="220"/>
      <c r="G189" s="5"/>
      <c r="H189" s="5"/>
      <c r="I189" s="5"/>
      <c r="J189" s="5"/>
      <c r="K189" s="108"/>
      <c r="S189" s="117"/>
      <c r="T189" s="213"/>
      <c r="U189" s="213"/>
      <c r="V189" s="213"/>
      <c r="W189" s="166"/>
      <c r="X189" s="126"/>
      <c r="Y189" s="125"/>
    </row>
    <row r="190" spans="1:25" ht="21" x14ac:dyDescent="0.4">
      <c r="A190" s="194"/>
      <c r="B190" s="220"/>
      <c r="C190" s="220"/>
      <c r="D190" s="220"/>
      <c r="E190" s="220"/>
      <c r="F190" s="219" t="s">
        <v>48</v>
      </c>
      <c r="G190" s="5"/>
      <c r="H190" s="5"/>
      <c r="I190" s="5"/>
      <c r="J190" s="5"/>
      <c r="K190" s="108"/>
      <c r="S190" s="122"/>
      <c r="T190" s="17"/>
      <c r="U190" s="17"/>
      <c r="V190" s="17"/>
      <c r="W190" s="17"/>
      <c r="X190" s="126"/>
      <c r="Y190" s="125"/>
    </row>
    <row r="191" spans="1:25" ht="14.4" customHeight="1" x14ac:dyDescent="0.4">
      <c r="A191" s="194"/>
      <c r="B191" s="229"/>
      <c r="C191" s="220"/>
      <c r="D191" s="220"/>
      <c r="E191" s="220"/>
      <c r="F191" s="220"/>
      <c r="G191" s="5"/>
      <c r="H191" s="5"/>
      <c r="I191" s="5"/>
      <c r="J191" s="5"/>
      <c r="K191" s="108"/>
      <c r="S191" s="117"/>
      <c r="T191" s="213"/>
      <c r="U191" s="213"/>
      <c r="V191" s="213"/>
      <c r="W191" s="166"/>
      <c r="X191" s="126"/>
      <c r="Y191" s="125"/>
    </row>
    <row r="192" spans="1:25" s="46" customFormat="1" x14ac:dyDescent="0.3">
      <c r="A192" s="230"/>
      <c r="B192" s="216"/>
      <c r="C192" s="231">
        <v>31588</v>
      </c>
      <c r="D192" s="43" t="s">
        <v>3</v>
      </c>
      <c r="E192" s="44" t="s">
        <v>88</v>
      </c>
      <c r="F192" s="43">
        <v>0</v>
      </c>
      <c r="G192" s="44">
        <v>2</v>
      </c>
      <c r="H192" s="43"/>
      <c r="I192" s="48" t="s">
        <v>145</v>
      </c>
      <c r="J192" s="48"/>
      <c r="K192" s="191"/>
      <c r="S192" s="122" t="s">
        <v>3</v>
      </c>
      <c r="T192" s="17" t="s">
        <v>88</v>
      </c>
      <c r="U192" s="17">
        <v>0</v>
      </c>
      <c r="V192" s="17">
        <v>2</v>
      </c>
      <c r="W192" s="17"/>
      <c r="X192" s="126">
        <f t="shared" ref="X192:X193" si="22">(IF(U192&gt;V192,3,IF(U192=V192,1,2)))</f>
        <v>2</v>
      </c>
      <c r="Y192" s="125">
        <f t="shared" ref="Y192:Y193" si="23">(IF(V192&gt;U192,3,IF(U192=V192,1,2)))</f>
        <v>3</v>
      </c>
    </row>
    <row r="193" spans="1:25" s="46" customFormat="1" ht="15" thickBot="1" x14ac:dyDescent="0.35">
      <c r="A193" s="230"/>
      <c r="B193" s="216"/>
      <c r="C193" s="202"/>
      <c r="D193" s="80"/>
      <c r="E193" s="203"/>
      <c r="F193" s="80" t="s">
        <v>170</v>
      </c>
      <c r="G193" s="80" t="s">
        <v>183</v>
      </c>
      <c r="H193" s="80"/>
      <c r="I193" s="84"/>
      <c r="J193" s="48"/>
      <c r="K193" s="191"/>
      <c r="S193" s="117" t="s">
        <v>5</v>
      </c>
      <c r="T193" s="213" t="s">
        <v>21</v>
      </c>
      <c r="U193" s="213">
        <v>2</v>
      </c>
      <c r="V193" s="213">
        <v>0</v>
      </c>
      <c r="W193" s="166"/>
      <c r="X193" s="126">
        <f t="shared" si="22"/>
        <v>3</v>
      </c>
      <c r="Y193" s="125">
        <f t="shared" si="23"/>
        <v>2</v>
      </c>
    </row>
    <row r="194" spans="1:25" s="46" customFormat="1" x14ac:dyDescent="0.3">
      <c r="A194" s="230"/>
      <c r="B194" s="216"/>
      <c r="C194" s="231">
        <v>31588</v>
      </c>
      <c r="D194" s="44" t="s">
        <v>5</v>
      </c>
      <c r="E194" s="43" t="s">
        <v>21</v>
      </c>
      <c r="F194" s="44">
        <v>2</v>
      </c>
      <c r="G194" s="43">
        <v>0</v>
      </c>
      <c r="H194" s="43"/>
      <c r="I194" s="48" t="s">
        <v>261</v>
      </c>
      <c r="J194" s="48"/>
      <c r="K194" s="191"/>
      <c r="S194" s="215"/>
      <c r="T194" s="216"/>
      <c r="U194" s="216"/>
      <c r="V194" s="216"/>
      <c r="W194" s="216"/>
      <c r="X194" s="126"/>
      <c r="Y194" s="125"/>
    </row>
    <row r="195" spans="1:25" s="13" customFormat="1" x14ac:dyDescent="0.3">
      <c r="A195" s="194"/>
      <c r="B195" s="42"/>
      <c r="C195" s="17"/>
      <c r="D195" s="42"/>
      <c r="E195" s="17"/>
      <c r="F195" s="17" t="s">
        <v>170</v>
      </c>
      <c r="G195" s="18" t="s">
        <v>171</v>
      </c>
      <c r="H195" s="18"/>
      <c r="I195" s="18"/>
      <c r="J195" s="18"/>
      <c r="K195" s="109"/>
      <c r="S195" s="117"/>
      <c r="T195" s="213"/>
      <c r="U195" s="213"/>
      <c r="V195" s="213"/>
      <c r="W195" s="213"/>
      <c r="X195" s="126"/>
      <c r="Y195" s="125"/>
    </row>
    <row r="196" spans="1:25" s="13" customFormat="1" x14ac:dyDescent="0.3">
      <c r="A196" s="194"/>
      <c r="B196" s="17"/>
      <c r="C196" s="17"/>
      <c r="D196" s="17"/>
      <c r="E196" s="17"/>
      <c r="F196" s="17"/>
      <c r="G196" s="18"/>
      <c r="H196" s="18"/>
      <c r="I196" s="18"/>
      <c r="J196" s="18"/>
      <c r="K196" s="109"/>
      <c r="S196" s="117"/>
      <c r="T196" s="213"/>
      <c r="U196" s="213"/>
      <c r="V196" s="213"/>
      <c r="W196" s="213"/>
      <c r="X196" s="126"/>
      <c r="Y196" s="125"/>
    </row>
    <row r="197" spans="1:25" s="13" customFormat="1" ht="15" thickBot="1" x14ac:dyDescent="0.35">
      <c r="A197" s="194"/>
      <c r="B197" s="17"/>
      <c r="C197" s="17"/>
      <c r="D197" s="17"/>
      <c r="E197" s="17"/>
      <c r="F197" s="17"/>
      <c r="G197" s="18"/>
      <c r="H197" s="18"/>
      <c r="I197" s="18"/>
      <c r="J197" s="18"/>
      <c r="K197" s="109"/>
      <c r="S197" s="122"/>
      <c r="T197" s="17"/>
      <c r="U197" s="17"/>
      <c r="V197" s="17"/>
      <c r="W197" s="17"/>
      <c r="X197" s="126"/>
      <c r="Y197" s="125"/>
    </row>
    <row r="198" spans="1:25" s="13" customFormat="1" ht="21" x14ac:dyDescent="0.4">
      <c r="A198" s="194"/>
      <c r="B198" s="17"/>
      <c r="C198" s="443" t="s">
        <v>262</v>
      </c>
      <c r="D198" s="446"/>
      <c r="E198" s="446"/>
      <c r="F198" s="446"/>
      <c r="G198" s="446"/>
      <c r="H198" s="446"/>
      <c r="I198" s="422"/>
      <c r="J198" s="18"/>
      <c r="K198" s="35"/>
      <c r="L198" s="10"/>
      <c r="S198" s="117"/>
      <c r="T198" s="213"/>
      <c r="U198" s="213"/>
      <c r="V198" s="213"/>
      <c r="W198" s="213"/>
      <c r="X198" s="126"/>
      <c r="Y198" s="125"/>
    </row>
    <row r="199" spans="1:25" s="13" customFormat="1" x14ac:dyDescent="0.3">
      <c r="A199" s="194"/>
      <c r="B199" s="17"/>
      <c r="C199" s="21"/>
      <c r="D199" s="17"/>
      <c r="E199" s="52" t="s">
        <v>3</v>
      </c>
      <c r="F199" s="95"/>
      <c r="G199" s="43" t="s">
        <v>21</v>
      </c>
      <c r="H199" s="17"/>
      <c r="I199" s="22"/>
      <c r="J199" s="18"/>
      <c r="K199" s="35"/>
      <c r="L199" s="10"/>
      <c r="S199" s="117" t="s">
        <v>3</v>
      </c>
      <c r="T199" s="213" t="s">
        <v>21</v>
      </c>
      <c r="U199" s="213">
        <v>4</v>
      </c>
      <c r="V199" s="213">
        <v>2</v>
      </c>
      <c r="W199" s="213"/>
      <c r="X199" s="126">
        <f t="shared" ref="X199:X208" si="24">(IF(U199&gt;V199,3,IF(U199=V199,1,2)))</f>
        <v>3</v>
      </c>
      <c r="Y199" s="125">
        <f t="shared" ref="Y199:Y208" si="25">(IF(V199&gt;U199,3,IF(U199=V199,1,2)))</f>
        <v>2</v>
      </c>
    </row>
    <row r="200" spans="1:25" s="13" customFormat="1" x14ac:dyDescent="0.3">
      <c r="A200" s="194"/>
      <c r="B200" s="17"/>
      <c r="C200" s="21"/>
      <c r="D200" s="17"/>
      <c r="E200" s="44">
        <v>4</v>
      </c>
      <c r="F200" s="95"/>
      <c r="G200" s="43">
        <v>2</v>
      </c>
      <c r="H200" s="17" t="s">
        <v>30</v>
      </c>
      <c r="I200" s="22"/>
      <c r="J200" s="18"/>
      <c r="K200" s="35"/>
      <c r="L200" s="10"/>
      <c r="S200" s="117"/>
      <c r="T200" s="213"/>
      <c r="U200" s="213"/>
      <c r="V200" s="213"/>
      <c r="W200" s="213"/>
      <c r="X200" s="126"/>
      <c r="Y200" s="125"/>
    </row>
    <row r="201" spans="1:25" s="13" customFormat="1" x14ac:dyDescent="0.3">
      <c r="A201" s="194"/>
      <c r="B201" s="17"/>
      <c r="C201" s="21"/>
      <c r="D201" s="17"/>
      <c r="E201" s="66">
        <v>2</v>
      </c>
      <c r="F201" s="95"/>
      <c r="G201" s="66">
        <v>2</v>
      </c>
      <c r="H201" s="17"/>
      <c r="I201" s="22"/>
      <c r="J201" s="18"/>
      <c r="K201" s="35"/>
      <c r="L201" s="10"/>
      <c r="S201" s="122"/>
      <c r="T201" s="17"/>
      <c r="U201" s="17"/>
      <c r="V201" s="17"/>
      <c r="W201" s="17"/>
      <c r="X201" s="126"/>
      <c r="Y201" s="125"/>
    </row>
    <row r="202" spans="1:25" s="13" customFormat="1" ht="15" thickBot="1" x14ac:dyDescent="0.35">
      <c r="A202" s="194"/>
      <c r="B202" s="17"/>
      <c r="C202" s="29"/>
      <c r="D202" s="30"/>
      <c r="E202" s="30" t="s">
        <v>215</v>
      </c>
      <c r="F202" s="207"/>
      <c r="G202" s="30" t="s">
        <v>183</v>
      </c>
      <c r="H202" s="30"/>
      <c r="I202" s="32"/>
      <c r="J202" s="18"/>
      <c r="K202" s="35"/>
      <c r="L202" s="10"/>
      <c r="S202" s="117"/>
      <c r="T202" s="213"/>
      <c r="U202" s="213"/>
      <c r="V202" s="213"/>
      <c r="W202" s="213"/>
      <c r="X202" s="126"/>
      <c r="Y202" s="125"/>
    </row>
    <row r="203" spans="1:25" s="13" customFormat="1" x14ac:dyDescent="0.3">
      <c r="A203" s="194"/>
      <c r="B203" s="17"/>
      <c r="C203" s="17"/>
      <c r="D203" s="17"/>
      <c r="E203" s="17"/>
      <c r="F203" s="17"/>
      <c r="G203" s="18"/>
      <c r="H203" s="18"/>
      <c r="I203" s="18"/>
      <c r="J203" s="18"/>
      <c r="K203" s="35"/>
      <c r="L203" s="10"/>
      <c r="S203" s="117"/>
      <c r="T203" s="213"/>
      <c r="U203" s="213"/>
      <c r="V203" s="213"/>
      <c r="W203" s="213"/>
      <c r="X203" s="126"/>
      <c r="Y203" s="125"/>
    </row>
    <row r="204" spans="1:25" s="13" customFormat="1" x14ac:dyDescent="0.3">
      <c r="A204" s="194"/>
      <c r="B204" s="17"/>
      <c r="C204" s="17"/>
      <c r="D204" s="17"/>
      <c r="E204" s="17"/>
      <c r="F204" s="17"/>
      <c r="G204" s="18"/>
      <c r="H204" s="18"/>
      <c r="I204" s="18"/>
      <c r="J204" s="18"/>
      <c r="K204" s="35"/>
      <c r="L204" s="10"/>
      <c r="S204" s="117"/>
      <c r="T204" s="213"/>
      <c r="U204" s="213"/>
      <c r="V204" s="213"/>
      <c r="W204" s="213"/>
      <c r="X204" s="126"/>
      <c r="Y204" s="125"/>
    </row>
    <row r="205" spans="1:25" x14ac:dyDescent="0.3">
      <c r="A205" s="194"/>
      <c r="B205" s="220"/>
      <c r="C205" s="220"/>
      <c r="D205" s="220"/>
      <c r="E205" s="220"/>
      <c r="F205" s="220"/>
      <c r="G205" s="5"/>
      <c r="H205" s="5"/>
      <c r="I205" s="5"/>
      <c r="J205" s="5"/>
      <c r="K205" s="93"/>
      <c r="L205" s="1"/>
      <c r="S205" s="117"/>
      <c r="T205" s="213"/>
      <c r="U205" s="213"/>
      <c r="V205" s="213"/>
      <c r="W205" s="213"/>
      <c r="X205" s="126"/>
      <c r="Y205" s="125"/>
    </row>
    <row r="206" spans="1:25" ht="15" thickBot="1" x14ac:dyDescent="0.35">
      <c r="A206" s="194"/>
      <c r="B206" s="220"/>
      <c r="C206" s="220"/>
      <c r="D206" s="220"/>
      <c r="E206" s="220"/>
      <c r="F206" s="220"/>
      <c r="G206" s="5"/>
      <c r="H206" s="5"/>
      <c r="I206" s="5"/>
      <c r="J206" s="5"/>
      <c r="K206" s="93"/>
      <c r="L206" s="1"/>
      <c r="S206" s="117"/>
      <c r="T206" s="213"/>
      <c r="U206" s="213"/>
      <c r="V206" s="213"/>
      <c r="W206" s="213"/>
      <c r="X206" s="126"/>
      <c r="Y206" s="125"/>
    </row>
    <row r="207" spans="1:25" ht="21" x14ac:dyDescent="0.4">
      <c r="A207" s="194"/>
      <c r="B207" s="220"/>
      <c r="C207" s="420" t="s">
        <v>263</v>
      </c>
      <c r="D207" s="433"/>
      <c r="E207" s="433"/>
      <c r="F207" s="433"/>
      <c r="G207" s="433"/>
      <c r="H207" s="433"/>
      <c r="I207" s="422"/>
      <c r="J207" s="5"/>
      <c r="K207" s="93"/>
      <c r="L207" s="1"/>
      <c r="S207" s="117"/>
      <c r="T207" s="213"/>
      <c r="U207" s="213"/>
      <c r="V207" s="213"/>
      <c r="W207" s="213"/>
      <c r="X207" s="126"/>
      <c r="Y207" s="125"/>
    </row>
    <row r="208" spans="1:25" s="13" customFormat="1" x14ac:dyDescent="0.3">
      <c r="A208" s="194"/>
      <c r="B208" s="17"/>
      <c r="C208" s="21"/>
      <c r="D208" s="17"/>
      <c r="E208" s="17" t="s">
        <v>88</v>
      </c>
      <c r="F208" s="95"/>
      <c r="G208" s="52" t="s">
        <v>5</v>
      </c>
      <c r="H208" s="18"/>
      <c r="I208" s="22"/>
      <c r="J208" s="18"/>
      <c r="K208" s="35"/>
      <c r="L208" s="10"/>
      <c r="S208" s="117" t="s">
        <v>88</v>
      </c>
      <c r="T208" s="213" t="s">
        <v>5</v>
      </c>
      <c r="U208" s="213">
        <v>2</v>
      </c>
      <c r="V208" s="213">
        <v>3</v>
      </c>
      <c r="W208" s="213"/>
      <c r="X208" s="126">
        <f t="shared" si="24"/>
        <v>2</v>
      </c>
      <c r="Y208" s="125">
        <f t="shared" si="25"/>
        <v>3</v>
      </c>
    </row>
    <row r="209" spans="1:25" x14ac:dyDescent="0.3">
      <c r="A209" s="194"/>
      <c r="B209" s="220"/>
      <c r="C209" s="3"/>
      <c r="D209" s="220"/>
      <c r="E209" s="33">
        <v>2</v>
      </c>
      <c r="F209" s="220"/>
      <c r="G209" s="28">
        <v>3</v>
      </c>
      <c r="H209" s="5"/>
      <c r="I209" s="6"/>
      <c r="J209" s="5"/>
      <c r="K209" s="93"/>
      <c r="L209" s="1"/>
      <c r="S209" s="117"/>
      <c r="T209" s="213"/>
      <c r="U209" s="213"/>
      <c r="V209" s="213"/>
      <c r="W209" s="213"/>
      <c r="X209" s="213"/>
      <c r="Y209" s="118"/>
    </row>
    <row r="210" spans="1:25" ht="15" thickBot="1" x14ac:dyDescent="0.35">
      <c r="A210" s="194"/>
      <c r="B210" s="220"/>
      <c r="C210" s="7"/>
      <c r="D210" s="223"/>
      <c r="E210" s="223" t="s">
        <v>170</v>
      </c>
      <c r="F210" s="223"/>
      <c r="G210" s="223" t="s">
        <v>183</v>
      </c>
      <c r="H210" s="8"/>
      <c r="I210" s="9"/>
      <c r="J210" s="5"/>
      <c r="K210" s="93"/>
      <c r="L210" s="1"/>
      <c r="S210" s="119"/>
      <c r="T210" s="120"/>
      <c r="U210" s="120"/>
      <c r="V210" s="120"/>
      <c r="W210" s="120"/>
      <c r="X210" s="120"/>
      <c r="Y210" s="121"/>
    </row>
    <row r="211" spans="1:25" x14ac:dyDescent="0.3">
      <c r="A211" s="194"/>
      <c r="B211" s="220"/>
      <c r="C211" s="220"/>
      <c r="D211" s="220"/>
      <c r="E211" s="220"/>
      <c r="F211" s="220"/>
      <c r="G211" s="5"/>
      <c r="H211" s="5"/>
      <c r="I211" s="5"/>
      <c r="J211" s="5"/>
      <c r="K211" s="93"/>
      <c r="L211" s="1"/>
      <c r="S211" s="213"/>
      <c r="T211" s="213"/>
      <c r="U211" s="213"/>
      <c r="V211" s="213"/>
      <c r="W211" s="166"/>
      <c r="X211" s="126"/>
      <c r="Y211" s="126"/>
    </row>
    <row r="212" spans="1:25" x14ac:dyDescent="0.3">
      <c r="A212" s="194"/>
      <c r="B212" s="220"/>
      <c r="C212" s="220"/>
      <c r="D212" s="220"/>
      <c r="E212" s="220"/>
      <c r="F212" s="220"/>
      <c r="G212" s="5"/>
      <c r="H212" s="5"/>
      <c r="I212" s="5"/>
      <c r="J212" s="5"/>
      <c r="K212" s="93"/>
      <c r="L212" s="185"/>
      <c r="S212" s="213"/>
      <c r="T212" s="213"/>
      <c r="U212" s="213"/>
      <c r="V212" s="213"/>
      <c r="W212" s="184"/>
      <c r="X212" s="126"/>
      <c r="Y212" s="126"/>
    </row>
    <row r="213" spans="1:25" x14ac:dyDescent="0.3">
      <c r="A213" s="194"/>
      <c r="B213" s="220"/>
      <c r="C213" s="220"/>
      <c r="D213" s="220"/>
      <c r="E213" s="220"/>
      <c r="F213" s="220"/>
      <c r="G213" s="5"/>
      <c r="H213" s="5"/>
      <c r="I213" s="5"/>
      <c r="J213" s="5"/>
      <c r="K213" s="93"/>
      <c r="L213" s="185"/>
      <c r="S213" s="213"/>
      <c r="T213" s="213"/>
      <c r="U213" s="213"/>
      <c r="V213" s="213"/>
      <c r="W213" s="184"/>
      <c r="X213" s="126"/>
      <c r="Y213" s="126"/>
    </row>
    <row r="214" spans="1:25" s="13" customFormat="1" x14ac:dyDescent="0.3">
      <c r="A214" s="24"/>
      <c r="B214" s="17"/>
      <c r="C214" s="17"/>
      <c r="D214" s="17"/>
      <c r="E214" s="17"/>
      <c r="F214" s="17"/>
      <c r="G214" s="18"/>
      <c r="H214" s="18"/>
      <c r="I214" s="18"/>
      <c r="J214" s="18"/>
      <c r="K214" s="109"/>
      <c r="S214" s="214"/>
      <c r="T214" s="214"/>
      <c r="U214" s="214"/>
      <c r="V214" s="214"/>
      <c r="W214" s="167"/>
      <c r="X214" s="167"/>
      <c r="Y214" s="167"/>
    </row>
    <row r="215" spans="1:25" ht="15" thickBot="1" x14ac:dyDescent="0.35">
      <c r="A215" s="24"/>
      <c r="B215" s="220" t="s">
        <v>298</v>
      </c>
      <c r="C215" s="220" t="s">
        <v>12</v>
      </c>
      <c r="D215" s="220" t="s">
        <v>13</v>
      </c>
      <c r="E215" s="220" t="s">
        <v>14</v>
      </c>
      <c r="F215" s="220" t="s">
        <v>15</v>
      </c>
      <c r="G215" s="5" t="s">
        <v>24</v>
      </c>
      <c r="H215" s="5" t="s">
        <v>25</v>
      </c>
      <c r="I215" s="5" t="s">
        <v>26</v>
      </c>
      <c r="J215" s="5" t="s">
        <v>27</v>
      </c>
      <c r="K215" s="93"/>
      <c r="L215" s="1"/>
      <c r="S215" s="213"/>
      <c r="T215" s="213"/>
      <c r="U215" s="213"/>
      <c r="V215" s="213"/>
      <c r="W215" s="166"/>
      <c r="X215" s="126"/>
      <c r="Y215" s="126"/>
    </row>
    <row r="216" spans="1:25" s="13" customFormat="1" x14ac:dyDescent="0.3">
      <c r="A216" s="24"/>
      <c r="B216" s="14" t="s">
        <v>5</v>
      </c>
      <c r="C216" s="224">
        <f>COUNTIF($S$12:$T$208,"Argentinien")</f>
        <v>7</v>
      </c>
      <c r="D216" s="124">
        <f t="shared" ref="D216:D239" si="26">SUMPRODUCT(($S$12:$T$208=B216)*($X$12:$Y$208=3))</f>
        <v>6</v>
      </c>
      <c r="E216" s="124">
        <f t="shared" ref="E216:E239" si="27">SUMPRODUCT(($S$12:$T$208=B216)*($X$12:$Y$208=1))</f>
        <v>1</v>
      </c>
      <c r="F216" s="124">
        <f t="shared" ref="F216:F239" si="28">SUMPRODUCT(($S$12:$T$208=B216)*($X$12:$Y$208=2))</f>
        <v>0</v>
      </c>
      <c r="G216" s="124">
        <f t="shared" ref="G216:G239" si="29">SUMPRODUCT(($S$12:$S$208=B216)*($U$12:$U$208))+SUMPRODUCT(($T$12:$T$208=B216)*($V$12:$V$208))</f>
        <v>14</v>
      </c>
      <c r="H216" s="124">
        <f t="shared" ref="H216:H239" si="30">SUMPRODUCT(($S$12:$S$208=B216)*($V$12:$V$208))+SUMPRODUCT(($T$12:$T$208=B216)*($U$12:$U$208))</f>
        <v>5</v>
      </c>
      <c r="I216" s="15">
        <f t="shared" ref="I216:I239" si="31">(D216*2)+E216</f>
        <v>13</v>
      </c>
      <c r="J216" s="16">
        <f t="shared" ref="J216:J239" si="32">(F216*2)+E216</f>
        <v>1</v>
      </c>
      <c r="K216" s="35"/>
      <c r="L216" s="10"/>
      <c r="M216" s="10"/>
      <c r="N216" s="10"/>
      <c r="S216" s="213"/>
      <c r="T216" s="213"/>
      <c r="U216" s="213"/>
      <c r="V216" s="213"/>
      <c r="W216" s="166"/>
      <c r="X216" s="166"/>
      <c r="Y216" s="166"/>
    </row>
    <row r="217" spans="1:25" s="13" customFormat="1" x14ac:dyDescent="0.3">
      <c r="A217" s="24"/>
      <c r="B217" s="21" t="s">
        <v>3</v>
      </c>
      <c r="C217" s="17">
        <f>COUNTIF($S$12:$T$208,"Frankreich")</f>
        <v>7</v>
      </c>
      <c r="D217" s="43">
        <f t="shared" si="26"/>
        <v>5</v>
      </c>
      <c r="E217" s="43">
        <f t="shared" si="27"/>
        <v>1</v>
      </c>
      <c r="F217" s="43">
        <f t="shared" si="28"/>
        <v>1</v>
      </c>
      <c r="G217" s="43">
        <f t="shared" si="29"/>
        <v>16</v>
      </c>
      <c r="H217" s="43">
        <f t="shared" si="30"/>
        <v>9</v>
      </c>
      <c r="I217" s="18">
        <f t="shared" si="31"/>
        <v>11</v>
      </c>
      <c r="J217" s="22">
        <f t="shared" si="32"/>
        <v>3</v>
      </c>
      <c r="K217" s="35"/>
      <c r="L217" s="10"/>
      <c r="M217" s="10"/>
      <c r="N217" s="10"/>
      <c r="S217" s="218"/>
      <c r="T217" s="218"/>
      <c r="U217" s="218"/>
      <c r="V217" s="218"/>
      <c r="W217" s="218"/>
      <c r="X217" s="218"/>
      <c r="Y217" s="218"/>
    </row>
    <row r="218" spans="1:25" s="13" customFormat="1" x14ac:dyDescent="0.3">
      <c r="A218" s="24"/>
      <c r="B218" s="21" t="s">
        <v>88</v>
      </c>
      <c r="C218" s="17">
        <f>COUNTIF($S$12:$T$208,"BRD")</f>
        <v>7</v>
      </c>
      <c r="D218" s="43">
        <f t="shared" si="26"/>
        <v>4</v>
      </c>
      <c r="E218" s="43">
        <f t="shared" si="27"/>
        <v>1</v>
      </c>
      <c r="F218" s="43">
        <f t="shared" si="28"/>
        <v>2</v>
      </c>
      <c r="G218" s="43">
        <f t="shared" si="29"/>
        <v>12</v>
      </c>
      <c r="H218" s="43">
        <f t="shared" si="30"/>
        <v>8</v>
      </c>
      <c r="I218" s="18">
        <f t="shared" si="31"/>
        <v>9</v>
      </c>
      <c r="J218" s="22">
        <f t="shared" si="32"/>
        <v>5</v>
      </c>
      <c r="K218" s="35"/>
      <c r="L218" s="10"/>
      <c r="M218" s="10"/>
      <c r="N218" s="10"/>
      <c r="S218" s="10"/>
      <c r="T218" s="10"/>
      <c r="U218" s="10"/>
      <c r="V218" s="10"/>
      <c r="W218" s="10"/>
      <c r="X218" s="10"/>
      <c r="Y218" s="10"/>
    </row>
    <row r="219" spans="1:25" s="13" customFormat="1" x14ac:dyDescent="0.3">
      <c r="A219" s="24"/>
      <c r="B219" s="21" t="s">
        <v>9</v>
      </c>
      <c r="C219" s="17">
        <f>COUNTIF($S$12:$T$208,"Brasilien")</f>
        <v>5</v>
      </c>
      <c r="D219" s="43">
        <f t="shared" si="26"/>
        <v>4</v>
      </c>
      <c r="E219" s="43">
        <f t="shared" si="27"/>
        <v>0</v>
      </c>
      <c r="F219" s="43">
        <f t="shared" si="28"/>
        <v>1</v>
      </c>
      <c r="G219" s="43">
        <f t="shared" si="29"/>
        <v>13</v>
      </c>
      <c r="H219" s="43">
        <f t="shared" si="30"/>
        <v>5</v>
      </c>
      <c r="I219" s="18">
        <f t="shared" si="31"/>
        <v>8</v>
      </c>
      <c r="J219" s="22">
        <f t="shared" si="32"/>
        <v>2</v>
      </c>
      <c r="K219" s="35"/>
      <c r="L219" s="10"/>
      <c r="M219" s="10"/>
      <c r="N219" s="10"/>
      <c r="S219" s="10"/>
      <c r="T219" s="10"/>
      <c r="U219" s="10"/>
      <c r="V219" s="10"/>
      <c r="W219" s="10"/>
      <c r="X219" s="10"/>
      <c r="Y219" s="10"/>
    </row>
    <row r="220" spans="1:25" s="13" customFormat="1" x14ac:dyDescent="0.3">
      <c r="A220" s="24"/>
      <c r="B220" s="21" t="s">
        <v>4</v>
      </c>
      <c r="C220" s="17">
        <f>COUNTIF($S$12:$T$208,"Mexiko")</f>
        <v>5</v>
      </c>
      <c r="D220" s="43">
        <f t="shared" si="26"/>
        <v>3</v>
      </c>
      <c r="E220" s="43">
        <f t="shared" si="27"/>
        <v>1</v>
      </c>
      <c r="F220" s="43">
        <f t="shared" si="28"/>
        <v>1</v>
      </c>
      <c r="G220" s="43">
        <f t="shared" si="29"/>
        <v>7</v>
      </c>
      <c r="H220" s="43">
        <f t="shared" si="30"/>
        <v>6</v>
      </c>
      <c r="I220" s="18">
        <f t="shared" si="31"/>
        <v>7</v>
      </c>
      <c r="J220" s="22">
        <f t="shared" si="32"/>
        <v>3</v>
      </c>
      <c r="K220" s="35"/>
      <c r="L220" s="10"/>
      <c r="M220" s="10"/>
      <c r="N220" s="10"/>
      <c r="S220" s="214"/>
      <c r="T220" s="214"/>
      <c r="U220" s="214"/>
      <c r="V220" s="214"/>
      <c r="W220" s="167"/>
      <c r="X220" s="167"/>
      <c r="Y220" s="167"/>
    </row>
    <row r="221" spans="1:25" s="13" customFormat="1" x14ac:dyDescent="0.3">
      <c r="A221" s="24"/>
      <c r="B221" s="21" t="s">
        <v>21</v>
      </c>
      <c r="C221" s="17">
        <f>COUNTIF($S$12:$T$208,"Belgien")</f>
        <v>7</v>
      </c>
      <c r="D221" s="43">
        <f t="shared" si="26"/>
        <v>3</v>
      </c>
      <c r="E221" s="43">
        <f t="shared" si="27"/>
        <v>1</v>
      </c>
      <c r="F221" s="43">
        <f t="shared" si="28"/>
        <v>3</v>
      </c>
      <c r="G221" s="43">
        <f t="shared" si="29"/>
        <v>17</v>
      </c>
      <c r="H221" s="43">
        <f t="shared" si="30"/>
        <v>19</v>
      </c>
      <c r="I221" s="18">
        <f t="shared" si="31"/>
        <v>7</v>
      </c>
      <c r="J221" s="22">
        <f t="shared" si="32"/>
        <v>7</v>
      </c>
      <c r="K221" s="35"/>
      <c r="L221" s="10"/>
      <c r="M221" s="10"/>
      <c r="N221" s="10"/>
      <c r="S221" s="217"/>
      <c r="T221" s="217"/>
      <c r="U221" s="217"/>
      <c r="V221" s="217"/>
      <c r="W221" s="217"/>
      <c r="X221" s="217"/>
      <c r="Y221" s="217"/>
    </row>
    <row r="222" spans="1:25" s="13" customFormat="1" x14ac:dyDescent="0.3">
      <c r="A222" s="24"/>
      <c r="B222" s="21" t="s">
        <v>258</v>
      </c>
      <c r="C222" s="17">
        <f>COUNTIF($S$12:$T$208,"Dänemark")</f>
        <v>4</v>
      </c>
      <c r="D222" s="43">
        <f t="shared" si="26"/>
        <v>3</v>
      </c>
      <c r="E222" s="43">
        <f t="shared" si="27"/>
        <v>0</v>
      </c>
      <c r="F222" s="43">
        <f t="shared" si="28"/>
        <v>1</v>
      </c>
      <c r="G222" s="43">
        <f t="shared" si="29"/>
        <v>10</v>
      </c>
      <c r="H222" s="43">
        <f t="shared" si="30"/>
        <v>6</v>
      </c>
      <c r="I222" s="18">
        <f t="shared" si="31"/>
        <v>6</v>
      </c>
      <c r="J222" s="22">
        <f t="shared" si="32"/>
        <v>2</v>
      </c>
      <c r="K222" s="35"/>
      <c r="L222" s="10"/>
      <c r="M222" s="10"/>
      <c r="N222" s="10"/>
      <c r="S222" s="218"/>
      <c r="T222" s="218"/>
      <c r="U222" s="218"/>
      <c r="V222" s="218"/>
      <c r="W222" s="218"/>
      <c r="X222" s="218"/>
      <c r="Y222" s="218"/>
    </row>
    <row r="223" spans="1:25" s="13" customFormat="1" x14ac:dyDescent="0.3">
      <c r="A223" s="24"/>
      <c r="B223" s="21" t="s">
        <v>35</v>
      </c>
      <c r="C223" s="17">
        <f>COUNTIF($S$12:$T$208,"Spanien")</f>
        <v>5</v>
      </c>
      <c r="D223" s="43">
        <f t="shared" si="26"/>
        <v>3</v>
      </c>
      <c r="E223" s="43">
        <f t="shared" si="27"/>
        <v>0</v>
      </c>
      <c r="F223" s="43">
        <f t="shared" si="28"/>
        <v>2</v>
      </c>
      <c r="G223" s="43">
        <f t="shared" si="29"/>
        <v>15</v>
      </c>
      <c r="H223" s="43">
        <f t="shared" si="30"/>
        <v>9</v>
      </c>
      <c r="I223" s="18">
        <f t="shared" si="31"/>
        <v>6</v>
      </c>
      <c r="J223" s="22">
        <f t="shared" si="32"/>
        <v>4</v>
      </c>
      <c r="K223" s="109"/>
      <c r="M223" s="10"/>
      <c r="N223" s="10"/>
      <c r="S223" s="214"/>
      <c r="T223" s="214"/>
      <c r="U223" s="214"/>
      <c r="V223" s="214"/>
      <c r="W223" s="167"/>
      <c r="X223" s="167"/>
      <c r="Y223" s="167"/>
    </row>
    <row r="224" spans="1:25" s="13" customFormat="1" x14ac:dyDescent="0.3">
      <c r="A224" s="24"/>
      <c r="B224" s="21" t="s">
        <v>101</v>
      </c>
      <c r="C224" s="17">
        <f>COUNTIF($S$12:$T$208,"UdSSR")</f>
        <v>4</v>
      </c>
      <c r="D224" s="43">
        <f t="shared" si="26"/>
        <v>2</v>
      </c>
      <c r="E224" s="43">
        <f t="shared" si="27"/>
        <v>1</v>
      </c>
      <c r="F224" s="43">
        <f t="shared" si="28"/>
        <v>1</v>
      </c>
      <c r="G224" s="43">
        <f t="shared" si="29"/>
        <v>12</v>
      </c>
      <c r="H224" s="43">
        <f t="shared" si="30"/>
        <v>5</v>
      </c>
      <c r="I224" s="18">
        <f t="shared" si="31"/>
        <v>5</v>
      </c>
      <c r="J224" s="22">
        <f t="shared" si="32"/>
        <v>3</v>
      </c>
      <c r="K224" s="109"/>
      <c r="M224" s="10"/>
      <c r="N224" s="10"/>
      <c r="S224" s="213"/>
      <c r="T224" s="213"/>
      <c r="U224" s="213"/>
      <c r="V224" s="213"/>
      <c r="W224" s="166"/>
      <c r="X224" s="166"/>
      <c r="Y224" s="166"/>
    </row>
    <row r="225" spans="1:25" s="13" customFormat="1" x14ac:dyDescent="0.3">
      <c r="A225" s="24"/>
      <c r="B225" s="21" t="s">
        <v>74</v>
      </c>
      <c r="C225" s="17">
        <f>COUNTIF($S$12:$T$208,"England")</f>
        <v>5</v>
      </c>
      <c r="D225" s="43">
        <f t="shared" si="26"/>
        <v>2</v>
      </c>
      <c r="E225" s="43">
        <f t="shared" si="27"/>
        <v>1</v>
      </c>
      <c r="F225" s="43">
        <f t="shared" si="28"/>
        <v>2</v>
      </c>
      <c r="G225" s="43">
        <f t="shared" si="29"/>
        <v>7</v>
      </c>
      <c r="H225" s="43">
        <f t="shared" si="30"/>
        <v>3</v>
      </c>
      <c r="I225" s="18">
        <f t="shared" si="31"/>
        <v>5</v>
      </c>
      <c r="J225" s="22">
        <f t="shared" si="32"/>
        <v>5</v>
      </c>
      <c r="K225" s="109"/>
      <c r="M225" s="10"/>
      <c r="N225" s="10"/>
      <c r="S225" s="214"/>
      <c r="T225" s="214"/>
      <c r="U225" s="214"/>
      <c r="V225" s="214"/>
      <c r="W225" s="167"/>
      <c r="X225" s="167"/>
      <c r="Y225" s="167"/>
    </row>
    <row r="226" spans="1:25" s="13" customFormat="1" x14ac:dyDescent="0.3">
      <c r="A226" s="24"/>
      <c r="B226" s="21" t="s">
        <v>37</v>
      </c>
      <c r="C226" s="17">
        <f>COUNTIF($S$12:$T$208,"Italien")</f>
        <v>4</v>
      </c>
      <c r="D226" s="43">
        <f t="shared" si="26"/>
        <v>1</v>
      </c>
      <c r="E226" s="43">
        <f t="shared" si="27"/>
        <v>2</v>
      </c>
      <c r="F226" s="43">
        <f t="shared" si="28"/>
        <v>1</v>
      </c>
      <c r="G226" s="43">
        <f t="shared" si="29"/>
        <v>5</v>
      </c>
      <c r="H226" s="43">
        <f t="shared" si="30"/>
        <v>6</v>
      </c>
      <c r="I226" s="18">
        <f t="shared" si="31"/>
        <v>4</v>
      </c>
      <c r="J226" s="22">
        <f t="shared" si="32"/>
        <v>4</v>
      </c>
      <c r="K226" s="35"/>
      <c r="L226" s="10"/>
      <c r="M226" s="10"/>
      <c r="N226" s="10"/>
      <c r="S226" s="213"/>
      <c r="T226" s="213"/>
      <c r="U226" s="213"/>
      <c r="V226" s="213"/>
      <c r="W226" s="166"/>
      <c r="X226" s="166"/>
      <c r="Y226" s="166"/>
    </row>
    <row r="227" spans="1:25" s="13" customFormat="1" x14ac:dyDescent="0.3">
      <c r="A227" s="24"/>
      <c r="B227" s="21" t="s">
        <v>22</v>
      </c>
      <c r="C227" s="17">
        <f>COUNTIF($S$12:$T$208,"Paraguay")</f>
        <v>4</v>
      </c>
      <c r="D227" s="43">
        <f t="shared" si="26"/>
        <v>1</v>
      </c>
      <c r="E227" s="43">
        <f t="shared" si="27"/>
        <v>2</v>
      </c>
      <c r="F227" s="43">
        <f t="shared" si="28"/>
        <v>1</v>
      </c>
      <c r="G227" s="43">
        <f t="shared" si="29"/>
        <v>4</v>
      </c>
      <c r="H227" s="43">
        <f t="shared" si="30"/>
        <v>6</v>
      </c>
      <c r="I227" s="18">
        <f t="shared" si="31"/>
        <v>4</v>
      </c>
      <c r="J227" s="22">
        <f t="shared" si="32"/>
        <v>4</v>
      </c>
      <c r="K227" s="109"/>
      <c r="M227" s="10"/>
      <c r="N227" s="10"/>
      <c r="S227" s="214"/>
      <c r="T227" s="214"/>
      <c r="U227" s="214"/>
      <c r="V227" s="214"/>
      <c r="W227" s="167"/>
      <c r="X227" s="167"/>
      <c r="Y227" s="167"/>
    </row>
    <row r="228" spans="1:25" s="13" customFormat="1" x14ac:dyDescent="0.3">
      <c r="A228" s="24"/>
      <c r="B228" s="21" t="s">
        <v>147</v>
      </c>
      <c r="C228" s="17">
        <f>COUNTIF($S$12:$T$208,"Marokko")</f>
        <v>4</v>
      </c>
      <c r="D228" s="43">
        <f t="shared" si="26"/>
        <v>1</v>
      </c>
      <c r="E228" s="43">
        <f t="shared" si="27"/>
        <v>2</v>
      </c>
      <c r="F228" s="43">
        <f t="shared" si="28"/>
        <v>1</v>
      </c>
      <c r="G228" s="43">
        <f t="shared" si="29"/>
        <v>3</v>
      </c>
      <c r="H228" s="43">
        <f t="shared" si="30"/>
        <v>2</v>
      </c>
      <c r="I228" s="18">
        <f t="shared" si="31"/>
        <v>4</v>
      </c>
      <c r="J228" s="22">
        <f t="shared" si="32"/>
        <v>4</v>
      </c>
      <c r="K228" s="35"/>
      <c r="L228" s="10"/>
      <c r="M228" s="10"/>
      <c r="N228" s="10"/>
      <c r="S228" s="214"/>
      <c r="T228" s="214"/>
      <c r="U228" s="214"/>
      <c r="V228" s="214"/>
      <c r="W228" s="167"/>
      <c r="X228" s="167"/>
      <c r="Y228" s="167"/>
    </row>
    <row r="229" spans="1:25" s="13" customFormat="1" x14ac:dyDescent="0.3">
      <c r="A229" s="24"/>
      <c r="B229" s="21" t="s">
        <v>61</v>
      </c>
      <c r="C229" s="17">
        <f>COUNTIF($S$12:$T$208,"Polen")</f>
        <v>4</v>
      </c>
      <c r="D229" s="43">
        <f t="shared" si="26"/>
        <v>1</v>
      </c>
      <c r="E229" s="43">
        <f t="shared" si="27"/>
        <v>1</v>
      </c>
      <c r="F229" s="43">
        <f t="shared" si="28"/>
        <v>2</v>
      </c>
      <c r="G229" s="43">
        <f t="shared" si="29"/>
        <v>1</v>
      </c>
      <c r="H229" s="43">
        <f t="shared" si="30"/>
        <v>7</v>
      </c>
      <c r="I229" s="18">
        <f t="shared" si="31"/>
        <v>3</v>
      </c>
      <c r="J229" s="22">
        <f t="shared" si="32"/>
        <v>5</v>
      </c>
      <c r="K229" s="35"/>
      <c r="L229" s="10"/>
      <c r="M229" s="10"/>
      <c r="N229" s="10"/>
      <c r="S229" s="214"/>
      <c r="T229" s="214"/>
      <c r="U229" s="214"/>
      <c r="V229" s="214"/>
      <c r="W229" s="167"/>
      <c r="X229" s="167"/>
      <c r="Y229" s="167"/>
    </row>
    <row r="230" spans="1:25" s="13" customFormat="1" x14ac:dyDescent="0.3">
      <c r="A230" s="24"/>
      <c r="B230" s="21" t="s">
        <v>133</v>
      </c>
      <c r="C230" s="17">
        <f>COUNTIF($S$12:$T$208,"Portugal")</f>
        <v>3</v>
      </c>
      <c r="D230" s="43">
        <f t="shared" si="26"/>
        <v>1</v>
      </c>
      <c r="E230" s="43">
        <f t="shared" si="27"/>
        <v>0</v>
      </c>
      <c r="F230" s="43">
        <f t="shared" si="28"/>
        <v>2</v>
      </c>
      <c r="G230" s="43">
        <f t="shared" si="29"/>
        <v>2</v>
      </c>
      <c r="H230" s="43">
        <f t="shared" si="30"/>
        <v>4</v>
      </c>
      <c r="I230" s="18">
        <f t="shared" si="31"/>
        <v>2</v>
      </c>
      <c r="J230" s="22">
        <f t="shared" si="32"/>
        <v>4</v>
      </c>
      <c r="K230" s="35"/>
      <c r="L230" s="10"/>
      <c r="M230" s="10"/>
      <c r="N230" s="10"/>
      <c r="S230" s="214"/>
      <c r="T230" s="214"/>
      <c r="U230" s="214"/>
      <c r="V230" s="214"/>
      <c r="W230" s="167"/>
      <c r="X230" s="167"/>
      <c r="Y230" s="167"/>
    </row>
    <row r="231" spans="1:25" s="13" customFormat="1" x14ac:dyDescent="0.3">
      <c r="A231" s="24"/>
      <c r="B231" s="21" t="s">
        <v>32</v>
      </c>
      <c r="C231" s="17">
        <f>COUNTIF($S$12:$T$208,"Ungarn")</f>
        <v>3</v>
      </c>
      <c r="D231" s="43">
        <f t="shared" si="26"/>
        <v>1</v>
      </c>
      <c r="E231" s="43">
        <f t="shared" si="27"/>
        <v>0</v>
      </c>
      <c r="F231" s="43">
        <f t="shared" si="28"/>
        <v>2</v>
      </c>
      <c r="G231" s="43">
        <f t="shared" si="29"/>
        <v>2</v>
      </c>
      <c r="H231" s="43">
        <f t="shared" si="30"/>
        <v>9</v>
      </c>
      <c r="I231" s="18">
        <f t="shared" si="31"/>
        <v>2</v>
      </c>
      <c r="J231" s="22">
        <f t="shared" si="32"/>
        <v>4</v>
      </c>
      <c r="K231" s="35"/>
      <c r="L231" s="10"/>
      <c r="M231" s="10"/>
      <c r="N231" s="10"/>
      <c r="S231" s="217"/>
      <c r="T231" s="217"/>
      <c r="U231" s="217"/>
      <c r="V231" s="217"/>
      <c r="W231" s="217"/>
      <c r="X231" s="217"/>
      <c r="Y231" s="217"/>
    </row>
    <row r="232" spans="1:25" s="13" customFormat="1" x14ac:dyDescent="0.3">
      <c r="A232" s="24"/>
      <c r="B232" s="21" t="s">
        <v>125</v>
      </c>
      <c r="C232" s="17">
        <f>COUNTIF($S$12:$T$208,"Bulgarien")</f>
        <v>4</v>
      </c>
      <c r="D232" s="43">
        <f t="shared" si="26"/>
        <v>0</v>
      </c>
      <c r="E232" s="43">
        <f t="shared" si="27"/>
        <v>2</v>
      </c>
      <c r="F232" s="43">
        <f t="shared" si="28"/>
        <v>2</v>
      </c>
      <c r="G232" s="43">
        <f t="shared" si="29"/>
        <v>2</v>
      </c>
      <c r="H232" s="43">
        <f t="shared" si="30"/>
        <v>6</v>
      </c>
      <c r="I232" s="18">
        <f t="shared" si="31"/>
        <v>2</v>
      </c>
      <c r="J232" s="22">
        <f t="shared" si="32"/>
        <v>6</v>
      </c>
      <c r="K232" s="109"/>
      <c r="M232" s="10"/>
      <c r="N232" s="10"/>
      <c r="S232" s="217"/>
      <c r="T232" s="217"/>
      <c r="U232" s="217"/>
      <c r="V232" s="217"/>
      <c r="W232" s="217"/>
      <c r="X232" s="217"/>
      <c r="Y232" s="217"/>
    </row>
    <row r="233" spans="1:25" s="13" customFormat="1" x14ac:dyDescent="0.3">
      <c r="A233" s="24"/>
      <c r="B233" s="21" t="s">
        <v>18</v>
      </c>
      <c r="C233" s="17">
        <f>COUNTIF($S$12:$T$208,"Uruguay")</f>
        <v>4</v>
      </c>
      <c r="D233" s="43">
        <f t="shared" si="26"/>
        <v>0</v>
      </c>
      <c r="E233" s="43">
        <f t="shared" si="27"/>
        <v>2</v>
      </c>
      <c r="F233" s="43">
        <f t="shared" si="28"/>
        <v>2</v>
      </c>
      <c r="G233" s="43">
        <f t="shared" si="29"/>
        <v>2</v>
      </c>
      <c r="H233" s="43">
        <f t="shared" si="30"/>
        <v>8</v>
      </c>
      <c r="I233" s="18">
        <f t="shared" si="31"/>
        <v>2</v>
      </c>
      <c r="J233" s="22">
        <f t="shared" si="32"/>
        <v>6</v>
      </c>
      <c r="K233" s="109"/>
      <c r="M233" s="10"/>
      <c r="N233" s="10"/>
      <c r="S233" s="214"/>
      <c r="T233" s="214"/>
      <c r="U233" s="214"/>
      <c r="V233" s="214"/>
      <c r="W233" s="167"/>
      <c r="X233" s="167"/>
      <c r="Y233" s="167"/>
    </row>
    <row r="234" spans="1:25" s="13" customFormat="1" x14ac:dyDescent="0.3">
      <c r="A234" s="24"/>
      <c r="B234" s="21" t="s">
        <v>90</v>
      </c>
      <c r="C234" s="17">
        <f>COUNTIF($S$12:$T$208,"Südkorea")</f>
        <v>3</v>
      </c>
      <c r="D234" s="43">
        <f t="shared" si="26"/>
        <v>0</v>
      </c>
      <c r="E234" s="43">
        <f t="shared" si="27"/>
        <v>1</v>
      </c>
      <c r="F234" s="43">
        <f t="shared" si="28"/>
        <v>2</v>
      </c>
      <c r="G234" s="43">
        <f t="shared" si="29"/>
        <v>4</v>
      </c>
      <c r="H234" s="43">
        <f t="shared" si="30"/>
        <v>7</v>
      </c>
      <c r="I234" s="18">
        <f t="shared" si="31"/>
        <v>1</v>
      </c>
      <c r="J234" s="22">
        <f t="shared" si="32"/>
        <v>5</v>
      </c>
      <c r="K234" s="109"/>
      <c r="M234" s="10"/>
      <c r="N234" s="10"/>
      <c r="S234" s="214"/>
      <c r="T234" s="214"/>
      <c r="U234" s="214"/>
      <c r="V234" s="214"/>
      <c r="W234" s="167"/>
      <c r="X234" s="167"/>
      <c r="Y234" s="167"/>
    </row>
    <row r="235" spans="1:25" s="13" customFormat="1" x14ac:dyDescent="0.3">
      <c r="A235" s="24"/>
      <c r="B235" s="21" t="s">
        <v>98</v>
      </c>
      <c r="C235" s="17">
        <f>COUNTIF($S$12:$T$208,"Nordirland")</f>
        <v>3</v>
      </c>
      <c r="D235" s="43">
        <f t="shared" si="26"/>
        <v>0</v>
      </c>
      <c r="E235" s="43">
        <f t="shared" si="27"/>
        <v>1</v>
      </c>
      <c r="F235" s="43">
        <f t="shared" si="28"/>
        <v>2</v>
      </c>
      <c r="G235" s="43">
        <f t="shared" si="29"/>
        <v>2</v>
      </c>
      <c r="H235" s="43">
        <f t="shared" si="30"/>
        <v>6</v>
      </c>
      <c r="I235" s="18">
        <f t="shared" si="31"/>
        <v>1</v>
      </c>
      <c r="J235" s="22">
        <f t="shared" si="32"/>
        <v>5</v>
      </c>
      <c r="K235" s="35"/>
      <c r="L235" s="10"/>
      <c r="M235" s="10"/>
      <c r="N235" s="10"/>
      <c r="S235" s="214"/>
      <c r="T235" s="214"/>
      <c r="U235" s="214"/>
      <c r="V235" s="214"/>
      <c r="W235" s="167"/>
      <c r="X235" s="167"/>
      <c r="Y235" s="167"/>
    </row>
    <row r="236" spans="1:25" s="13" customFormat="1" x14ac:dyDescent="0.3">
      <c r="A236" s="24"/>
      <c r="B236" s="21" t="s">
        <v>81</v>
      </c>
      <c r="C236" s="17">
        <f>COUNTIF($S$12:$T$208,"Schottland")</f>
        <v>3</v>
      </c>
      <c r="D236" s="43">
        <f t="shared" si="26"/>
        <v>0</v>
      </c>
      <c r="E236" s="43">
        <f t="shared" si="27"/>
        <v>1</v>
      </c>
      <c r="F236" s="43">
        <f t="shared" si="28"/>
        <v>2</v>
      </c>
      <c r="G236" s="43">
        <f t="shared" si="29"/>
        <v>1</v>
      </c>
      <c r="H236" s="43">
        <f t="shared" si="30"/>
        <v>3</v>
      </c>
      <c r="I236" s="18">
        <f t="shared" si="31"/>
        <v>1</v>
      </c>
      <c r="J236" s="22">
        <f t="shared" si="32"/>
        <v>5</v>
      </c>
      <c r="K236" s="109"/>
      <c r="M236" s="10"/>
      <c r="N236" s="10"/>
      <c r="S236" s="214"/>
      <c r="T236" s="214"/>
      <c r="U236" s="214"/>
      <c r="V236" s="214"/>
      <c r="W236" s="167"/>
      <c r="X236" s="167"/>
      <c r="Y236" s="167"/>
    </row>
    <row r="237" spans="1:25" s="13" customFormat="1" x14ac:dyDescent="0.3">
      <c r="A237" s="24"/>
      <c r="B237" s="21" t="s">
        <v>192</v>
      </c>
      <c r="C237" s="17">
        <f>COUNTIF($S$12:$T$208,"Algerien")</f>
        <v>3</v>
      </c>
      <c r="D237" s="43">
        <f t="shared" si="26"/>
        <v>0</v>
      </c>
      <c r="E237" s="43">
        <f t="shared" si="27"/>
        <v>1</v>
      </c>
      <c r="F237" s="43">
        <f t="shared" si="28"/>
        <v>2</v>
      </c>
      <c r="G237" s="43">
        <f t="shared" si="29"/>
        <v>1</v>
      </c>
      <c r="H237" s="43">
        <f t="shared" si="30"/>
        <v>5</v>
      </c>
      <c r="I237" s="18">
        <f t="shared" si="31"/>
        <v>1</v>
      </c>
      <c r="J237" s="22">
        <f t="shared" si="32"/>
        <v>5</v>
      </c>
      <c r="K237" s="35"/>
      <c r="L237" s="10"/>
      <c r="M237" s="10"/>
      <c r="N237" s="10"/>
      <c r="S237" s="10"/>
      <c r="T237" s="10"/>
      <c r="U237" s="10"/>
      <c r="V237" s="10"/>
      <c r="W237" s="10"/>
      <c r="X237" s="10"/>
      <c r="Y237" s="10"/>
    </row>
    <row r="238" spans="1:25" s="13" customFormat="1" x14ac:dyDescent="0.3">
      <c r="A238" s="24"/>
      <c r="B238" s="21" t="s">
        <v>250</v>
      </c>
      <c r="C238" s="17">
        <f>COUNTIF($S$12:$T$208,"Irak")</f>
        <v>3</v>
      </c>
      <c r="D238" s="43">
        <f t="shared" si="26"/>
        <v>0</v>
      </c>
      <c r="E238" s="43">
        <f t="shared" si="27"/>
        <v>0</v>
      </c>
      <c r="F238" s="43">
        <f t="shared" si="28"/>
        <v>3</v>
      </c>
      <c r="G238" s="43">
        <f t="shared" si="29"/>
        <v>1</v>
      </c>
      <c r="H238" s="43">
        <f t="shared" si="30"/>
        <v>4</v>
      </c>
      <c r="I238" s="18">
        <f t="shared" si="31"/>
        <v>0</v>
      </c>
      <c r="J238" s="22">
        <f t="shared" si="32"/>
        <v>6</v>
      </c>
      <c r="K238" s="35"/>
      <c r="L238" s="10"/>
      <c r="M238" s="10"/>
      <c r="N238" s="10"/>
      <c r="S238" s="214"/>
      <c r="T238" s="214"/>
      <c r="U238" s="214"/>
      <c r="V238" s="214"/>
      <c r="W238" s="167"/>
      <c r="X238" s="167"/>
      <c r="Y238" s="167"/>
    </row>
    <row r="239" spans="1:25" s="13" customFormat="1" ht="15" thickBot="1" x14ac:dyDescent="0.35">
      <c r="A239" s="24"/>
      <c r="B239" s="29" t="s">
        <v>251</v>
      </c>
      <c r="C239" s="30">
        <f>COUNTIF($S$12:$T$208,"Kanada")</f>
        <v>3</v>
      </c>
      <c r="D239" s="80">
        <f t="shared" si="26"/>
        <v>0</v>
      </c>
      <c r="E239" s="80">
        <f t="shared" si="27"/>
        <v>0</v>
      </c>
      <c r="F239" s="80">
        <f t="shared" si="28"/>
        <v>3</v>
      </c>
      <c r="G239" s="80">
        <f t="shared" si="29"/>
        <v>0</v>
      </c>
      <c r="H239" s="80">
        <f t="shared" si="30"/>
        <v>5</v>
      </c>
      <c r="I239" s="31">
        <f t="shared" si="31"/>
        <v>0</v>
      </c>
      <c r="J239" s="32">
        <f t="shared" si="32"/>
        <v>6</v>
      </c>
      <c r="K239" s="35"/>
      <c r="L239" s="10"/>
      <c r="M239" s="10"/>
      <c r="N239" s="10"/>
      <c r="S239" s="214"/>
      <c r="T239" s="214"/>
      <c r="U239" s="214"/>
      <c r="V239" s="214"/>
      <c r="W239" s="167"/>
      <c r="X239" s="167"/>
      <c r="Y239" s="167"/>
    </row>
    <row r="240" spans="1:25" x14ac:dyDescent="0.3">
      <c r="A240" s="24"/>
      <c r="B240" s="17"/>
      <c r="C240" s="220"/>
      <c r="D240" s="220"/>
      <c r="E240" s="220"/>
      <c r="F240" s="220"/>
      <c r="G240" s="5"/>
      <c r="H240" s="5"/>
      <c r="I240" s="5"/>
      <c r="J240" s="5"/>
      <c r="K240" s="108"/>
    </row>
    <row r="241" spans="1:11" ht="15" thickBot="1" x14ac:dyDescent="0.35">
      <c r="A241" s="192"/>
      <c r="B241" s="36"/>
      <c r="C241" s="36"/>
      <c r="D241" s="36"/>
      <c r="E241" s="36"/>
      <c r="F241" s="36"/>
      <c r="G241" s="37"/>
      <c r="H241" s="37"/>
      <c r="I241" s="37"/>
      <c r="J241" s="37"/>
      <c r="K241" s="193"/>
    </row>
    <row r="242" spans="1:11" ht="15" thickTop="1" x14ac:dyDescent="0.3"/>
  </sheetData>
  <sortState ref="A142:Z148">
    <sortCondition descending="1" ref="I142:I148"/>
    <sortCondition ref="J142:J148"/>
    <sortCondition descending="1" ref="G142:G148"/>
    <sortCondition ref="H142:H148"/>
  </sortState>
  <mergeCells count="5">
    <mergeCell ref="A2:K2"/>
    <mergeCell ref="A4:K4"/>
    <mergeCell ref="A5:K5"/>
    <mergeCell ref="C198:I198"/>
    <mergeCell ref="C207:I207"/>
  </mergeCells>
  <pageMargins left="0.7" right="0.7" top="0.78740157499999996" bottom="0.78740157499999996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A254"/>
  <sheetViews>
    <sheetView topLeftCell="A225" workbookViewId="0">
      <selection activeCell="M242" sqref="M242"/>
    </sheetView>
  </sheetViews>
  <sheetFormatPr baseColWidth="10" defaultRowHeight="14.4" x14ac:dyDescent="0.3"/>
  <cols>
    <col min="1" max="6" width="11.77734375" style="1" customWidth="1"/>
    <col min="7" max="10" width="11.77734375" style="2" customWidth="1"/>
    <col min="11" max="18" width="11.77734375" customWidth="1"/>
    <col min="19" max="25" width="11.77734375" style="167" customWidth="1"/>
  </cols>
  <sheetData>
    <row r="1" spans="1:27" ht="15" thickTop="1" x14ac:dyDescent="0.3">
      <c r="A1" s="106"/>
      <c r="B1" s="25"/>
      <c r="C1" s="25"/>
      <c r="D1" s="25"/>
      <c r="E1" s="25"/>
      <c r="F1" s="25"/>
      <c r="G1" s="26"/>
      <c r="H1" s="26"/>
      <c r="I1" s="26"/>
      <c r="J1" s="26"/>
      <c r="K1" s="107"/>
      <c r="S1" s="114"/>
      <c r="T1" s="115"/>
      <c r="U1" s="115"/>
      <c r="V1" s="115"/>
      <c r="W1" s="115"/>
      <c r="X1" s="115"/>
      <c r="Y1" s="116"/>
    </row>
    <row r="2" spans="1:27" ht="46.2" x14ac:dyDescent="0.85">
      <c r="A2" s="425" t="s">
        <v>218</v>
      </c>
      <c r="B2" s="426"/>
      <c r="C2" s="426"/>
      <c r="D2" s="426"/>
      <c r="E2" s="426"/>
      <c r="F2" s="426"/>
      <c r="G2" s="426"/>
      <c r="H2" s="426"/>
      <c r="I2" s="426"/>
      <c r="J2" s="426"/>
      <c r="K2" s="427"/>
      <c r="S2" s="117"/>
      <c r="T2" s="166"/>
      <c r="U2" s="166"/>
      <c r="V2" s="166"/>
      <c r="W2" s="166"/>
      <c r="X2" s="166"/>
      <c r="Y2" s="118"/>
    </row>
    <row r="3" spans="1:27" x14ac:dyDescent="0.3">
      <c r="A3" s="240"/>
      <c r="B3" s="238"/>
      <c r="C3" s="238"/>
      <c r="D3" s="238"/>
      <c r="E3" s="238"/>
      <c r="F3" s="238"/>
      <c r="G3" s="5"/>
      <c r="H3" s="5"/>
      <c r="I3" s="5"/>
      <c r="J3" s="5"/>
      <c r="K3" s="108"/>
      <c r="S3" s="117"/>
      <c r="T3" s="166"/>
      <c r="U3" s="166"/>
      <c r="V3" s="166"/>
      <c r="W3" s="166"/>
      <c r="X3" s="166"/>
      <c r="Y3" s="118"/>
    </row>
    <row r="4" spans="1:27" ht="28.8" x14ac:dyDescent="0.55000000000000004">
      <c r="A4" s="428" t="s">
        <v>227</v>
      </c>
      <c r="B4" s="429"/>
      <c r="C4" s="429"/>
      <c r="D4" s="429"/>
      <c r="E4" s="429"/>
      <c r="F4" s="429"/>
      <c r="G4" s="429"/>
      <c r="H4" s="429"/>
      <c r="I4" s="429"/>
      <c r="J4" s="429"/>
      <c r="K4" s="427"/>
      <c r="S4" s="117"/>
      <c r="T4" s="166"/>
      <c r="U4" s="166"/>
      <c r="V4" s="166"/>
      <c r="W4" s="166"/>
      <c r="X4" s="166"/>
      <c r="Y4" s="118"/>
    </row>
    <row r="5" spans="1:27" ht="21" x14ac:dyDescent="0.4">
      <c r="A5" s="430" t="s">
        <v>228</v>
      </c>
      <c r="B5" s="431"/>
      <c r="C5" s="431"/>
      <c r="D5" s="431"/>
      <c r="E5" s="431"/>
      <c r="F5" s="431"/>
      <c r="G5" s="431"/>
      <c r="H5" s="431"/>
      <c r="I5" s="431"/>
      <c r="J5" s="431"/>
      <c r="K5" s="427"/>
      <c r="S5" s="117"/>
      <c r="T5" s="166"/>
      <c r="U5" s="166"/>
      <c r="V5" s="166"/>
      <c r="W5" s="166"/>
      <c r="X5" s="166"/>
      <c r="Y5" s="118"/>
    </row>
    <row r="6" spans="1:27" x14ac:dyDescent="0.3">
      <c r="A6" s="240"/>
      <c r="B6" s="238"/>
      <c r="C6" s="238"/>
      <c r="D6" s="238"/>
      <c r="E6" s="238"/>
      <c r="F6" s="238"/>
      <c r="G6" s="5"/>
      <c r="H6" s="5"/>
      <c r="I6" s="5"/>
      <c r="J6" s="5"/>
      <c r="K6" s="108"/>
      <c r="S6" s="117"/>
      <c r="T6" s="166"/>
      <c r="U6" s="166"/>
      <c r="V6" s="166"/>
      <c r="W6" s="166"/>
      <c r="X6" s="166"/>
      <c r="Y6" s="118"/>
    </row>
    <row r="7" spans="1:27" x14ac:dyDescent="0.3">
      <c r="A7" s="240"/>
      <c r="B7" s="238"/>
      <c r="C7" s="238"/>
      <c r="D7" s="238"/>
      <c r="E7" s="238"/>
      <c r="F7" s="238"/>
      <c r="G7" s="5"/>
      <c r="H7" s="5"/>
      <c r="I7" s="5"/>
      <c r="J7" s="5"/>
      <c r="K7" s="108"/>
      <c r="S7" s="117"/>
      <c r="T7" s="220"/>
      <c r="U7" s="220"/>
      <c r="V7" s="220"/>
      <c r="W7" s="220"/>
      <c r="X7" s="220"/>
      <c r="Y7" s="118"/>
    </row>
    <row r="8" spans="1:27" x14ac:dyDescent="0.3">
      <c r="A8" s="240"/>
      <c r="B8" s="238"/>
      <c r="C8" s="238"/>
      <c r="D8" s="238"/>
      <c r="E8" s="238"/>
      <c r="F8" s="238"/>
      <c r="G8" s="5"/>
      <c r="H8" s="5"/>
      <c r="I8" s="5"/>
      <c r="J8" s="5"/>
      <c r="K8" s="108"/>
      <c r="S8" s="117"/>
      <c r="T8" s="220"/>
      <c r="U8" s="220"/>
      <c r="V8" s="220"/>
      <c r="W8" s="220"/>
      <c r="X8" s="220"/>
      <c r="Y8" s="118"/>
    </row>
    <row r="9" spans="1:27" x14ac:dyDescent="0.3">
      <c r="A9" s="240"/>
      <c r="B9" s="238"/>
      <c r="C9" s="238"/>
      <c r="D9" s="238"/>
      <c r="E9" s="238"/>
      <c r="F9" s="238"/>
      <c r="G9" s="5"/>
      <c r="H9" s="5"/>
      <c r="I9" s="5"/>
      <c r="J9" s="5"/>
      <c r="K9" s="108"/>
      <c r="S9" s="117"/>
      <c r="T9" s="166"/>
      <c r="U9" s="166"/>
      <c r="V9" s="166"/>
      <c r="W9" s="166"/>
      <c r="X9" s="166"/>
      <c r="Y9" s="118"/>
    </row>
    <row r="10" spans="1:27" ht="21" x14ac:dyDescent="0.4">
      <c r="A10" s="240"/>
      <c r="B10" s="238"/>
      <c r="C10" s="238"/>
      <c r="D10" s="238"/>
      <c r="E10" s="238"/>
      <c r="F10" s="237" t="s">
        <v>119</v>
      </c>
      <c r="G10" s="5"/>
      <c r="H10" s="5"/>
      <c r="I10" s="5"/>
      <c r="J10" s="5"/>
      <c r="K10" s="108"/>
      <c r="S10" s="117"/>
      <c r="T10" s="166"/>
      <c r="U10" s="166"/>
      <c r="V10" s="166"/>
      <c r="W10" s="166"/>
      <c r="X10" s="166"/>
      <c r="Y10" s="118"/>
    </row>
    <row r="11" spans="1:27" x14ac:dyDescent="0.3">
      <c r="A11" s="240"/>
      <c r="B11" s="238"/>
      <c r="C11" s="238"/>
      <c r="D11" s="238"/>
      <c r="E11" s="238"/>
      <c r="F11" s="28"/>
      <c r="G11" s="5"/>
      <c r="H11" s="5"/>
      <c r="I11" s="5"/>
      <c r="J11" s="5"/>
      <c r="K11" s="108"/>
      <c r="S11" s="117"/>
      <c r="T11" s="166"/>
      <c r="U11" s="166"/>
      <c r="V11" s="166"/>
      <c r="W11" s="166"/>
      <c r="X11" s="166"/>
      <c r="Y11" s="118"/>
    </row>
    <row r="12" spans="1:27" x14ac:dyDescent="0.3">
      <c r="A12" s="240"/>
      <c r="B12" s="238"/>
      <c r="C12" s="40">
        <v>33033</v>
      </c>
      <c r="D12" s="49" t="s">
        <v>37</v>
      </c>
      <c r="E12" s="49" t="s">
        <v>29</v>
      </c>
      <c r="F12" s="49">
        <v>1</v>
      </c>
      <c r="G12" s="49">
        <v>0</v>
      </c>
      <c r="H12" s="238"/>
      <c r="I12" s="238" t="s">
        <v>38</v>
      </c>
      <c r="J12" s="5"/>
      <c r="K12" s="108"/>
      <c r="S12" s="117" t="s">
        <v>37</v>
      </c>
      <c r="T12" s="166" t="s">
        <v>29</v>
      </c>
      <c r="U12" s="166">
        <v>1</v>
      </c>
      <c r="V12" s="166">
        <v>0</v>
      </c>
      <c r="W12" s="166"/>
      <c r="X12" s="126">
        <f t="shared" ref="X12:X13" si="0">(IF(U12&gt;V12,3,IF(U12=V12,1,2)))</f>
        <v>3</v>
      </c>
      <c r="Y12" s="125">
        <f t="shared" ref="Y12:Y13" si="1">(IF(V12&gt;U12,3,IF(U12=V12,1,2)))</f>
        <v>2</v>
      </c>
      <c r="AA12" t="s">
        <v>88</v>
      </c>
    </row>
    <row r="13" spans="1:27" ht="15" thickBot="1" x14ac:dyDescent="0.35">
      <c r="A13" s="240"/>
      <c r="B13" s="238"/>
      <c r="C13" s="58"/>
      <c r="D13" s="79"/>
      <c r="E13" s="79"/>
      <c r="F13" s="79" t="s">
        <v>170</v>
      </c>
      <c r="G13" s="79" t="s">
        <v>171</v>
      </c>
      <c r="H13" s="242"/>
      <c r="I13" s="242"/>
      <c r="J13" s="5"/>
      <c r="K13" s="108"/>
      <c r="S13" s="117" t="s">
        <v>20</v>
      </c>
      <c r="T13" s="166" t="s">
        <v>295</v>
      </c>
      <c r="U13" s="166">
        <v>1</v>
      </c>
      <c r="V13" s="166">
        <v>5</v>
      </c>
      <c r="W13" s="166"/>
      <c r="X13" s="126">
        <f t="shared" si="0"/>
        <v>2</v>
      </c>
      <c r="Y13" s="125">
        <f t="shared" si="1"/>
        <v>3</v>
      </c>
      <c r="AA13" t="s">
        <v>37</v>
      </c>
    </row>
    <row r="14" spans="1:27" x14ac:dyDescent="0.3">
      <c r="A14" s="240"/>
      <c r="B14" s="238"/>
      <c r="C14" s="40">
        <v>33034</v>
      </c>
      <c r="D14" s="49" t="s">
        <v>20</v>
      </c>
      <c r="E14" s="49" t="s">
        <v>453</v>
      </c>
      <c r="F14" s="49">
        <v>1</v>
      </c>
      <c r="G14" s="49">
        <v>5</v>
      </c>
      <c r="H14" s="238"/>
      <c r="I14" s="5" t="s">
        <v>40</v>
      </c>
      <c r="J14" s="5"/>
      <c r="K14" s="108"/>
      <c r="S14" s="117" t="s">
        <v>37</v>
      </c>
      <c r="T14" s="166" t="s">
        <v>20</v>
      </c>
      <c r="U14" s="166">
        <v>1</v>
      </c>
      <c r="V14" s="166">
        <v>0</v>
      </c>
      <c r="W14" s="166"/>
      <c r="X14" s="126">
        <f t="shared" ref="X14:X17" si="2">(IF(U14&gt;V14,3,IF(U14=V14,1,2)))</f>
        <v>3</v>
      </c>
      <c r="Y14" s="125">
        <f t="shared" ref="Y14:Y17" si="3">(IF(V14&gt;U14,3,IF(U14=V14,1,2)))</f>
        <v>2</v>
      </c>
      <c r="AA14" t="s">
        <v>5</v>
      </c>
    </row>
    <row r="15" spans="1:27" ht="15" thickBot="1" x14ac:dyDescent="0.35">
      <c r="A15" s="240"/>
      <c r="B15" s="238"/>
      <c r="C15" s="58"/>
      <c r="D15" s="79"/>
      <c r="E15" s="79"/>
      <c r="F15" s="79" t="s">
        <v>170</v>
      </c>
      <c r="G15" s="79" t="s">
        <v>173</v>
      </c>
      <c r="H15" s="242"/>
      <c r="I15" s="8"/>
      <c r="J15" s="5"/>
      <c r="K15" s="108"/>
      <c r="S15" s="117" t="s">
        <v>29</v>
      </c>
      <c r="T15" s="166" t="s">
        <v>295</v>
      </c>
      <c r="U15" s="166">
        <v>0</v>
      </c>
      <c r="V15" s="166">
        <v>1</v>
      </c>
      <c r="W15" s="166"/>
      <c r="X15" s="126">
        <f t="shared" si="2"/>
        <v>2</v>
      </c>
      <c r="Y15" s="125">
        <f t="shared" si="3"/>
        <v>3</v>
      </c>
      <c r="AA15" t="s">
        <v>74</v>
      </c>
    </row>
    <row r="16" spans="1:27" x14ac:dyDescent="0.3">
      <c r="A16" s="240"/>
      <c r="B16" s="238"/>
      <c r="C16" s="40">
        <v>33038</v>
      </c>
      <c r="D16" s="49" t="s">
        <v>37</v>
      </c>
      <c r="E16" s="49" t="s">
        <v>20</v>
      </c>
      <c r="F16" s="49">
        <v>1</v>
      </c>
      <c r="G16" s="49">
        <v>0</v>
      </c>
      <c r="H16" s="238"/>
      <c r="I16" s="5" t="s">
        <v>38</v>
      </c>
      <c r="J16" s="5"/>
      <c r="K16" s="108"/>
      <c r="S16" s="117" t="s">
        <v>37</v>
      </c>
      <c r="T16" s="166" t="s">
        <v>295</v>
      </c>
      <c r="U16" s="166">
        <v>2</v>
      </c>
      <c r="V16" s="166">
        <v>0</v>
      </c>
      <c r="W16" s="166"/>
      <c r="X16" s="126">
        <f t="shared" si="2"/>
        <v>3</v>
      </c>
      <c r="Y16" s="125">
        <f t="shared" si="3"/>
        <v>2</v>
      </c>
      <c r="AA16" t="s">
        <v>9</v>
      </c>
    </row>
    <row r="17" spans="1:27" ht="15" thickBot="1" x14ac:dyDescent="0.35">
      <c r="A17" s="240"/>
      <c r="B17" s="238"/>
      <c r="C17" s="58"/>
      <c r="D17" s="79"/>
      <c r="E17" s="79"/>
      <c r="F17" s="79" t="s">
        <v>172</v>
      </c>
      <c r="G17" s="79" t="s">
        <v>171</v>
      </c>
      <c r="H17" s="242"/>
      <c r="I17" s="8"/>
      <c r="J17" s="5"/>
      <c r="K17" s="108"/>
      <c r="S17" s="117" t="s">
        <v>29</v>
      </c>
      <c r="T17" s="166" t="s">
        <v>20</v>
      </c>
      <c r="U17" s="166">
        <v>2</v>
      </c>
      <c r="V17" s="166">
        <v>1</v>
      </c>
      <c r="W17" s="166"/>
      <c r="X17" s="126">
        <f t="shared" si="2"/>
        <v>3</v>
      </c>
      <c r="Y17" s="125">
        <f t="shared" si="3"/>
        <v>2</v>
      </c>
      <c r="AA17" t="s">
        <v>284</v>
      </c>
    </row>
    <row r="18" spans="1:27" x14ac:dyDescent="0.3">
      <c r="A18" s="240"/>
      <c r="B18" s="238"/>
      <c r="C18" s="40">
        <v>33039</v>
      </c>
      <c r="D18" s="49" t="s">
        <v>29</v>
      </c>
      <c r="E18" s="49" t="s">
        <v>284</v>
      </c>
      <c r="F18" s="49">
        <v>0</v>
      </c>
      <c r="G18" s="49">
        <v>1</v>
      </c>
      <c r="H18" s="238"/>
      <c r="I18" s="5" t="s">
        <v>40</v>
      </c>
      <c r="J18" s="5"/>
      <c r="K18" s="108"/>
      <c r="S18" s="117"/>
      <c r="T18" s="166"/>
      <c r="U18" s="166"/>
      <c r="V18" s="166"/>
      <c r="W18" s="166"/>
      <c r="X18" s="126"/>
      <c r="Y18" s="125"/>
      <c r="AA18" t="s">
        <v>8</v>
      </c>
    </row>
    <row r="19" spans="1:27" ht="15" thickBot="1" x14ac:dyDescent="0.35">
      <c r="A19" s="240"/>
      <c r="B19" s="238"/>
      <c r="C19" s="58"/>
      <c r="D19" s="79"/>
      <c r="E19" s="79"/>
      <c r="F19" s="79" t="s">
        <v>170</v>
      </c>
      <c r="G19" s="79" t="s">
        <v>183</v>
      </c>
      <c r="H19" s="242"/>
      <c r="I19" s="8"/>
      <c r="J19" s="5"/>
      <c r="K19" s="108"/>
      <c r="S19" s="117"/>
      <c r="T19" s="166"/>
      <c r="U19" s="166"/>
      <c r="V19" s="166"/>
      <c r="W19" s="166"/>
      <c r="X19" s="126"/>
      <c r="Y19" s="125"/>
      <c r="AA19" t="s">
        <v>190</v>
      </c>
    </row>
    <row r="20" spans="1:27" x14ac:dyDescent="0.3">
      <c r="A20" s="240"/>
      <c r="B20" s="238"/>
      <c r="C20" s="40">
        <v>33043</v>
      </c>
      <c r="D20" s="49" t="s">
        <v>37</v>
      </c>
      <c r="E20" s="49" t="s">
        <v>284</v>
      </c>
      <c r="F20" s="49">
        <v>2</v>
      </c>
      <c r="G20" s="49">
        <v>0</v>
      </c>
      <c r="H20" s="238"/>
      <c r="I20" s="5" t="s">
        <v>38</v>
      </c>
      <c r="J20" s="5"/>
      <c r="K20" s="108"/>
      <c r="S20" s="117"/>
      <c r="T20" s="166"/>
      <c r="U20" s="166"/>
      <c r="V20" s="166"/>
      <c r="W20" s="166"/>
      <c r="X20" s="166"/>
      <c r="Y20" s="118"/>
      <c r="AA20" t="s">
        <v>35</v>
      </c>
    </row>
    <row r="21" spans="1:27" ht="15" thickBot="1" x14ac:dyDescent="0.35">
      <c r="A21" s="240"/>
      <c r="B21" s="238"/>
      <c r="C21" s="58"/>
      <c r="D21" s="79"/>
      <c r="E21" s="79"/>
      <c r="F21" s="79" t="s">
        <v>172</v>
      </c>
      <c r="G21" s="79" t="s">
        <v>171</v>
      </c>
      <c r="H21" s="242"/>
      <c r="I21" s="8"/>
      <c r="J21" s="5"/>
      <c r="K21" s="108"/>
      <c r="S21" s="117"/>
      <c r="T21" s="166"/>
      <c r="U21" s="166"/>
      <c r="V21" s="166"/>
      <c r="W21" s="166"/>
      <c r="X21" s="166"/>
      <c r="Y21" s="118"/>
      <c r="AA21" t="s">
        <v>290</v>
      </c>
    </row>
    <row r="22" spans="1:27" x14ac:dyDescent="0.3">
      <c r="A22" s="240"/>
      <c r="B22" s="238"/>
      <c r="C22" s="40">
        <v>33043</v>
      </c>
      <c r="D22" s="49" t="s">
        <v>29</v>
      </c>
      <c r="E22" s="49" t="s">
        <v>20</v>
      </c>
      <c r="F22" s="49">
        <v>2</v>
      </c>
      <c r="G22" s="49">
        <v>1</v>
      </c>
      <c r="H22" s="238"/>
      <c r="I22" s="5" t="s">
        <v>40</v>
      </c>
      <c r="J22" s="5"/>
      <c r="K22" s="108"/>
      <c r="S22" s="117"/>
      <c r="T22" s="166"/>
      <c r="U22" s="166"/>
      <c r="V22" s="166"/>
      <c r="W22" s="166"/>
      <c r="X22" s="166"/>
      <c r="Y22" s="118"/>
      <c r="AA22" t="s">
        <v>21</v>
      </c>
    </row>
    <row r="23" spans="1:27" x14ac:dyDescent="0.3">
      <c r="A23" s="240"/>
      <c r="B23" s="238"/>
      <c r="C23" s="40"/>
      <c r="D23" s="49"/>
      <c r="E23" s="49"/>
      <c r="F23" s="49" t="s">
        <v>170</v>
      </c>
      <c r="G23" s="49" t="s">
        <v>171</v>
      </c>
      <c r="H23" s="238"/>
      <c r="I23" s="5"/>
      <c r="J23" s="5"/>
      <c r="K23" s="108"/>
      <c r="S23" s="117"/>
      <c r="T23" s="166"/>
      <c r="U23" s="166"/>
      <c r="V23" s="166"/>
      <c r="W23" s="166"/>
      <c r="X23" s="166"/>
      <c r="Y23" s="118"/>
      <c r="AA23" t="s">
        <v>286</v>
      </c>
    </row>
    <row r="24" spans="1:27" x14ac:dyDescent="0.3">
      <c r="A24" s="240"/>
      <c r="B24" s="238"/>
      <c r="C24" s="40"/>
      <c r="D24" s="238"/>
      <c r="E24" s="238"/>
      <c r="F24" s="238"/>
      <c r="G24" s="238"/>
      <c r="H24" s="238"/>
      <c r="I24" s="5"/>
      <c r="J24" s="5"/>
      <c r="K24" s="108"/>
      <c r="S24" s="117"/>
      <c r="T24" s="166"/>
      <c r="U24" s="166"/>
      <c r="V24" s="166"/>
      <c r="W24" s="166"/>
      <c r="X24" s="166"/>
      <c r="Y24" s="118"/>
      <c r="AA24" t="s">
        <v>16</v>
      </c>
    </row>
    <row r="25" spans="1:27" x14ac:dyDescent="0.3">
      <c r="A25" s="240"/>
      <c r="B25" s="238"/>
      <c r="C25" s="40"/>
      <c r="D25" s="238"/>
      <c r="E25" s="238"/>
      <c r="F25" s="238"/>
      <c r="G25" s="238"/>
      <c r="H25" s="238"/>
      <c r="I25" s="5"/>
      <c r="J25" s="5"/>
      <c r="K25" s="108"/>
      <c r="S25" s="117"/>
      <c r="T25" s="166"/>
      <c r="U25" s="166"/>
      <c r="V25" s="166"/>
      <c r="W25" s="166"/>
      <c r="X25" s="166"/>
      <c r="Y25" s="118"/>
      <c r="AA25" t="s">
        <v>117</v>
      </c>
    </row>
    <row r="26" spans="1:27" ht="15" thickBot="1" x14ac:dyDescent="0.35">
      <c r="A26" s="240"/>
      <c r="B26" s="238" t="s">
        <v>298</v>
      </c>
      <c r="C26" s="238" t="s">
        <v>12</v>
      </c>
      <c r="D26" s="238" t="s">
        <v>13</v>
      </c>
      <c r="E26" s="238" t="s">
        <v>14</v>
      </c>
      <c r="F26" s="238" t="s">
        <v>15</v>
      </c>
      <c r="G26" s="5" t="s">
        <v>24</v>
      </c>
      <c r="H26" s="5" t="s">
        <v>25</v>
      </c>
      <c r="I26" s="5" t="s">
        <v>26</v>
      </c>
      <c r="J26" s="5" t="s">
        <v>27</v>
      </c>
      <c r="K26" s="108"/>
      <c r="S26" s="117"/>
      <c r="T26" s="166"/>
      <c r="U26" s="166"/>
      <c r="V26" s="166"/>
      <c r="W26" s="166"/>
      <c r="X26" s="126"/>
      <c r="Y26" s="125"/>
      <c r="AA26" t="s">
        <v>63</v>
      </c>
    </row>
    <row r="27" spans="1:27" x14ac:dyDescent="0.3">
      <c r="A27" s="240"/>
      <c r="B27" s="14" t="s">
        <v>37</v>
      </c>
      <c r="C27" s="241">
        <f>COUNTIF($S$12:$T$17,"Italien")</f>
        <v>3</v>
      </c>
      <c r="D27" s="124">
        <f>SUMPRODUCT(($S$12:$T$17=B27)*($X$12:$Y$17=3))</f>
        <v>3</v>
      </c>
      <c r="E27" s="124">
        <f>SUMPRODUCT(($S$12:$T$17=B27)*($X$12:$Y$17=1))</f>
        <v>0</v>
      </c>
      <c r="F27" s="124">
        <f>SUMPRODUCT(($S$12:$T$17=B27)*($X$12:$Y$17=2))</f>
        <v>0</v>
      </c>
      <c r="G27" s="124">
        <f>SUMPRODUCT(($S$12:$S$17=B27)*($U$12:$U$17))+SUMPRODUCT(($T$12:$T$17=B27)*($V$12:$V$17))</f>
        <v>4</v>
      </c>
      <c r="H27" s="124">
        <f>SUMPRODUCT(($S$12:$S$17=B27)*($V$12:$V$17))+SUMPRODUCT(($T$12:$T$17=B27)*($U$12:$U$17))</f>
        <v>0</v>
      </c>
      <c r="I27" s="15">
        <f>(D27*2)+E27</f>
        <v>6</v>
      </c>
      <c r="J27" s="16">
        <f>(F27*2)+E27</f>
        <v>0</v>
      </c>
      <c r="K27" s="108"/>
      <c r="S27" s="117"/>
      <c r="T27" s="166"/>
      <c r="U27" s="166"/>
      <c r="V27" s="166"/>
      <c r="W27" s="166"/>
      <c r="X27" s="166"/>
      <c r="Y27" s="118"/>
      <c r="AA27" t="s">
        <v>18</v>
      </c>
    </row>
    <row r="28" spans="1:27" x14ac:dyDescent="0.3">
      <c r="A28" s="240"/>
      <c r="B28" s="21" t="s">
        <v>284</v>
      </c>
      <c r="C28" s="238">
        <f>COUNTIF($S$12:$T$17,"ČSFR")</f>
        <v>3</v>
      </c>
      <c r="D28" s="43">
        <f t="shared" ref="D28:D30" si="4">SUMPRODUCT(($S$12:$T$17=B28)*($X$12:$Y$17=3))</f>
        <v>2</v>
      </c>
      <c r="E28" s="43">
        <f t="shared" ref="E28:E30" si="5">SUMPRODUCT(($S$12:$T$17=B28)*($X$12:$Y$17=1))</f>
        <v>0</v>
      </c>
      <c r="F28" s="43">
        <f t="shared" ref="F28:F30" si="6">SUMPRODUCT(($S$12:$T$17=B28)*($X$12:$Y$17=2))</f>
        <v>1</v>
      </c>
      <c r="G28" s="43">
        <f t="shared" ref="G28:G30" si="7">SUMPRODUCT(($S$12:$S$17=B28)*($U$12:$U$17))+SUMPRODUCT(($T$12:$T$17=B28)*($V$12:$V$17))</f>
        <v>6</v>
      </c>
      <c r="H28" s="43">
        <f t="shared" ref="H28:H30" si="8">SUMPRODUCT(($S$12:$S$17=B28)*($V$12:$V$17))+SUMPRODUCT(($T$12:$T$17=B28)*($U$12:$U$17))</f>
        <v>3</v>
      </c>
      <c r="I28" s="18">
        <f t="shared" ref="I28:I30" si="9">(D28*2)+E28</f>
        <v>4</v>
      </c>
      <c r="J28" s="22">
        <f t="shared" ref="J28:J30" si="10">(F28*2)+E28</f>
        <v>2</v>
      </c>
      <c r="K28" s="108"/>
      <c r="S28" s="117"/>
      <c r="T28" s="166"/>
      <c r="U28" s="166"/>
      <c r="V28" s="166"/>
      <c r="W28" s="166"/>
      <c r="X28" s="166"/>
      <c r="Y28" s="118"/>
      <c r="AA28" t="s">
        <v>101</v>
      </c>
    </row>
    <row r="29" spans="1:27" x14ac:dyDescent="0.3">
      <c r="A29" s="24"/>
      <c r="B29" s="3" t="s">
        <v>29</v>
      </c>
      <c r="C29" s="238">
        <f>COUNTIF($S$12:$T$17,"Österreich")</f>
        <v>3</v>
      </c>
      <c r="D29" s="43">
        <f t="shared" si="4"/>
        <v>1</v>
      </c>
      <c r="E29" s="43">
        <f t="shared" si="5"/>
        <v>0</v>
      </c>
      <c r="F29" s="43">
        <f t="shared" si="6"/>
        <v>2</v>
      </c>
      <c r="G29" s="43">
        <f t="shared" si="7"/>
        <v>2</v>
      </c>
      <c r="H29" s="43">
        <f t="shared" si="8"/>
        <v>3</v>
      </c>
      <c r="I29" s="18">
        <f t="shared" si="9"/>
        <v>2</v>
      </c>
      <c r="J29" s="22">
        <f t="shared" si="10"/>
        <v>4</v>
      </c>
      <c r="K29" s="108"/>
      <c r="S29" s="117"/>
      <c r="T29" s="166"/>
      <c r="U29" s="166"/>
      <c r="V29" s="166"/>
      <c r="W29" s="166"/>
      <c r="X29" s="126"/>
      <c r="Y29" s="125"/>
      <c r="AA29" t="s">
        <v>29</v>
      </c>
    </row>
    <row r="30" spans="1:27" ht="15" thickBot="1" x14ac:dyDescent="0.35">
      <c r="A30" s="240"/>
      <c r="B30" s="7" t="s">
        <v>20</v>
      </c>
      <c r="C30" s="242">
        <f>COUNTIF($S$12:$T$17,"USA")</f>
        <v>3</v>
      </c>
      <c r="D30" s="80">
        <f t="shared" si="4"/>
        <v>0</v>
      </c>
      <c r="E30" s="80">
        <f t="shared" si="5"/>
        <v>0</v>
      </c>
      <c r="F30" s="80">
        <f t="shared" si="6"/>
        <v>3</v>
      </c>
      <c r="G30" s="80">
        <f t="shared" si="7"/>
        <v>2</v>
      </c>
      <c r="H30" s="80">
        <f t="shared" si="8"/>
        <v>8</v>
      </c>
      <c r="I30" s="31">
        <f t="shared" si="9"/>
        <v>0</v>
      </c>
      <c r="J30" s="32">
        <f t="shared" si="10"/>
        <v>6</v>
      </c>
      <c r="K30" s="108"/>
      <c r="S30" s="117"/>
      <c r="T30" s="166"/>
      <c r="U30" s="166"/>
      <c r="V30" s="166"/>
      <c r="W30" s="166"/>
      <c r="X30" s="126"/>
      <c r="Y30" s="125"/>
      <c r="AA30" t="s">
        <v>81</v>
      </c>
    </row>
    <row r="31" spans="1:27" ht="15" thickBot="1" x14ac:dyDescent="0.35">
      <c r="A31" s="240"/>
      <c r="B31" s="238"/>
      <c r="C31" s="238"/>
      <c r="D31" s="238"/>
      <c r="E31" s="238"/>
      <c r="F31" s="238"/>
      <c r="G31" s="5"/>
      <c r="H31" s="5"/>
      <c r="I31" s="5"/>
      <c r="J31" s="5"/>
      <c r="K31" s="193"/>
      <c r="S31" s="117"/>
      <c r="T31" s="166"/>
      <c r="U31" s="166"/>
      <c r="V31" s="166"/>
      <c r="W31" s="166"/>
      <c r="X31" s="126"/>
      <c r="Y31" s="125"/>
      <c r="AA31" t="s">
        <v>33</v>
      </c>
    </row>
    <row r="32" spans="1:27" ht="15" thickTop="1" x14ac:dyDescent="0.3">
      <c r="A32" s="106"/>
      <c r="B32" s="25"/>
      <c r="C32" s="25"/>
      <c r="D32" s="25"/>
      <c r="E32" s="25"/>
      <c r="F32" s="25"/>
      <c r="G32" s="26"/>
      <c r="H32" s="26"/>
      <c r="I32" s="26"/>
      <c r="J32" s="26"/>
      <c r="K32" s="108"/>
      <c r="S32" s="122"/>
      <c r="T32" s="17"/>
      <c r="U32" s="17"/>
      <c r="V32" s="17"/>
      <c r="X32" s="126"/>
      <c r="Y32" s="125"/>
      <c r="AA32" t="s">
        <v>41</v>
      </c>
    </row>
    <row r="33" spans="1:27" ht="21" x14ac:dyDescent="0.4">
      <c r="A33" s="240"/>
      <c r="B33" s="238"/>
      <c r="C33" s="238"/>
      <c r="D33" s="238"/>
      <c r="E33" s="238"/>
      <c r="F33" s="237" t="s">
        <v>120</v>
      </c>
      <c r="G33" s="5"/>
      <c r="H33" s="5"/>
      <c r="I33" s="5"/>
      <c r="J33" s="5"/>
      <c r="K33" s="108"/>
      <c r="S33" s="117"/>
      <c r="T33" s="166"/>
      <c r="U33" s="166"/>
      <c r="V33" s="166"/>
      <c r="X33" s="126"/>
      <c r="Y33" s="125"/>
      <c r="AA33" t="s">
        <v>20</v>
      </c>
    </row>
    <row r="34" spans="1:27" x14ac:dyDescent="0.3">
      <c r="A34" s="240"/>
      <c r="B34" s="238"/>
      <c r="C34" s="238"/>
      <c r="D34" s="238"/>
      <c r="E34" s="238"/>
      <c r="F34" s="28"/>
      <c r="G34" s="5"/>
      <c r="H34" s="5"/>
      <c r="I34" s="5"/>
      <c r="J34" s="5"/>
      <c r="K34" s="108"/>
      <c r="S34" s="117"/>
      <c r="T34" s="166"/>
      <c r="U34" s="166"/>
      <c r="V34" s="166"/>
      <c r="X34" s="126"/>
      <c r="Y34" s="125"/>
      <c r="AA34" t="s">
        <v>287</v>
      </c>
    </row>
    <row r="35" spans="1:27" x14ac:dyDescent="0.3">
      <c r="A35" s="240"/>
      <c r="B35" s="238"/>
      <c r="C35" s="40">
        <v>33032</v>
      </c>
      <c r="D35" s="49" t="s">
        <v>5</v>
      </c>
      <c r="E35" s="49" t="s">
        <v>190</v>
      </c>
      <c r="F35" s="49">
        <v>0</v>
      </c>
      <c r="G35" s="49">
        <v>1</v>
      </c>
      <c r="H35" s="238"/>
      <c r="I35" s="5" t="s">
        <v>44</v>
      </c>
      <c r="J35" s="5"/>
      <c r="K35" s="108"/>
      <c r="S35" s="117" t="s">
        <v>5</v>
      </c>
      <c r="T35" s="166" t="s">
        <v>190</v>
      </c>
      <c r="U35" s="166">
        <v>0</v>
      </c>
      <c r="V35" s="166">
        <v>1</v>
      </c>
      <c r="X35" s="126">
        <f t="shared" ref="X35" si="11">(IF(U35&gt;V35,3,IF(U35=V35,1,2)))</f>
        <v>2</v>
      </c>
      <c r="Y35" s="125">
        <f t="shared" ref="Y35" si="12">(IF(V35&gt;U35,3,IF(U35=V35,1,2)))</f>
        <v>3</v>
      </c>
      <c r="AA35" t="s">
        <v>90</v>
      </c>
    </row>
    <row r="36" spans="1:27" ht="15" thickBot="1" x14ac:dyDescent="0.35">
      <c r="A36" s="240"/>
      <c r="B36" s="238"/>
      <c r="C36" s="58"/>
      <c r="D36" s="79"/>
      <c r="E36" s="79"/>
      <c r="F36" s="79" t="s">
        <v>170</v>
      </c>
      <c r="G36" s="79" t="s">
        <v>171</v>
      </c>
      <c r="H36" s="242"/>
      <c r="I36" s="8"/>
      <c r="J36" s="5"/>
      <c r="K36" s="108"/>
      <c r="S36" s="117" t="s">
        <v>101</v>
      </c>
      <c r="T36" s="166" t="s">
        <v>16</v>
      </c>
      <c r="U36" s="166">
        <v>0</v>
      </c>
      <c r="V36" s="166">
        <v>2</v>
      </c>
      <c r="X36" s="126">
        <f t="shared" ref="X36:X40" si="13">(IF(U36&gt;V36,3,IF(U36=V36,1,2)))</f>
        <v>2</v>
      </c>
      <c r="Y36" s="125">
        <f t="shared" ref="Y36:Y40" si="14">(IF(V36&gt;U36,3,IF(U36=V36,1,2)))</f>
        <v>3</v>
      </c>
    </row>
    <row r="37" spans="1:27" x14ac:dyDescent="0.3">
      <c r="A37" s="240"/>
      <c r="B37" s="238"/>
      <c r="C37" s="40">
        <v>33033</v>
      </c>
      <c r="D37" s="49" t="s">
        <v>101</v>
      </c>
      <c r="E37" s="49" t="s">
        <v>16</v>
      </c>
      <c r="F37" s="49">
        <v>0</v>
      </c>
      <c r="G37" s="49">
        <v>2</v>
      </c>
      <c r="H37" s="238"/>
      <c r="I37" s="5" t="s">
        <v>285</v>
      </c>
      <c r="J37" s="5"/>
      <c r="K37" s="108"/>
      <c r="S37" s="117" t="s">
        <v>5</v>
      </c>
      <c r="T37" s="166" t="s">
        <v>101</v>
      </c>
      <c r="U37" s="166">
        <v>2</v>
      </c>
      <c r="V37" s="166">
        <v>0</v>
      </c>
      <c r="X37" s="126">
        <f t="shared" si="13"/>
        <v>3</v>
      </c>
      <c r="Y37" s="125">
        <f t="shared" si="14"/>
        <v>2</v>
      </c>
    </row>
    <row r="38" spans="1:27" ht="15" thickBot="1" x14ac:dyDescent="0.35">
      <c r="A38" s="240"/>
      <c r="B38" s="238"/>
      <c r="C38" s="58"/>
      <c r="D38" s="79"/>
      <c r="E38" s="79"/>
      <c r="F38" s="79" t="s">
        <v>170</v>
      </c>
      <c r="G38" s="79" t="s">
        <v>183</v>
      </c>
      <c r="H38" s="242"/>
      <c r="I38" s="8"/>
      <c r="J38" s="5"/>
      <c r="K38" s="108"/>
      <c r="S38" s="117" t="s">
        <v>190</v>
      </c>
      <c r="T38" s="166" t="s">
        <v>16</v>
      </c>
      <c r="U38" s="166">
        <v>2</v>
      </c>
      <c r="V38" s="166">
        <v>1</v>
      </c>
      <c r="X38" s="126">
        <f t="shared" si="13"/>
        <v>3</v>
      </c>
      <c r="Y38" s="125">
        <f t="shared" si="14"/>
        <v>2</v>
      </c>
    </row>
    <row r="39" spans="1:27" x14ac:dyDescent="0.3">
      <c r="A39" s="240"/>
      <c r="B39" s="238"/>
      <c r="C39" s="40">
        <v>33037</v>
      </c>
      <c r="D39" s="49" t="s">
        <v>5</v>
      </c>
      <c r="E39" s="49" t="s">
        <v>101</v>
      </c>
      <c r="F39" s="49">
        <v>2</v>
      </c>
      <c r="G39" s="49">
        <v>0</v>
      </c>
      <c r="H39" s="238"/>
      <c r="I39" s="5" t="s">
        <v>34</v>
      </c>
      <c r="J39" s="5"/>
      <c r="K39" s="108"/>
      <c r="S39" s="117" t="s">
        <v>5</v>
      </c>
      <c r="T39" s="166" t="s">
        <v>16</v>
      </c>
      <c r="U39" s="166">
        <v>1</v>
      </c>
      <c r="V39" s="166">
        <v>1</v>
      </c>
      <c r="X39" s="126">
        <f t="shared" si="13"/>
        <v>1</v>
      </c>
      <c r="Y39" s="125">
        <f t="shared" si="14"/>
        <v>1</v>
      </c>
    </row>
    <row r="40" spans="1:27" ht="15" thickBot="1" x14ac:dyDescent="0.35">
      <c r="A40" s="240"/>
      <c r="B40" s="238"/>
      <c r="C40" s="58"/>
      <c r="D40" s="79"/>
      <c r="E40" s="79"/>
      <c r="F40" s="79" t="s">
        <v>172</v>
      </c>
      <c r="G40" s="79" t="s">
        <v>171</v>
      </c>
      <c r="H40" s="242"/>
      <c r="I40" s="8"/>
      <c r="J40" s="5"/>
      <c r="K40" s="108"/>
      <c r="S40" s="117" t="s">
        <v>190</v>
      </c>
      <c r="T40" s="166" t="s">
        <v>101</v>
      </c>
      <c r="U40" s="166">
        <v>0</v>
      </c>
      <c r="V40" s="166">
        <v>4</v>
      </c>
      <c r="X40" s="126">
        <f t="shared" si="13"/>
        <v>2</v>
      </c>
      <c r="Y40" s="125">
        <f t="shared" si="14"/>
        <v>3</v>
      </c>
    </row>
    <row r="41" spans="1:27" x14ac:dyDescent="0.3">
      <c r="A41" s="240"/>
      <c r="B41" s="238"/>
      <c r="C41" s="40">
        <v>33038</v>
      </c>
      <c r="D41" s="49" t="s">
        <v>190</v>
      </c>
      <c r="E41" s="49" t="s">
        <v>16</v>
      </c>
      <c r="F41" s="49">
        <v>2</v>
      </c>
      <c r="G41" s="49">
        <v>1</v>
      </c>
      <c r="H41" s="238"/>
      <c r="I41" s="5" t="s">
        <v>285</v>
      </c>
      <c r="J41" s="5"/>
      <c r="K41" s="108"/>
      <c r="S41" s="117"/>
      <c r="T41" s="166"/>
      <c r="U41" s="166"/>
      <c r="V41" s="166"/>
      <c r="X41" s="126"/>
      <c r="Y41" s="125"/>
    </row>
    <row r="42" spans="1:27" ht="15" thickBot="1" x14ac:dyDescent="0.35">
      <c r="A42" s="240"/>
      <c r="B42" s="238"/>
      <c r="C42" s="58"/>
      <c r="D42" s="79"/>
      <c r="E42" s="79"/>
      <c r="F42" s="79" t="s">
        <v>170</v>
      </c>
      <c r="G42" s="79" t="s">
        <v>171</v>
      </c>
      <c r="H42" s="242"/>
      <c r="I42" s="8"/>
      <c r="J42" s="5"/>
      <c r="K42" s="108"/>
      <c r="S42" s="117"/>
      <c r="T42" s="166"/>
      <c r="U42" s="166"/>
      <c r="V42" s="166"/>
      <c r="X42" s="126"/>
      <c r="Y42" s="125"/>
    </row>
    <row r="43" spans="1:27" x14ac:dyDescent="0.3">
      <c r="A43" s="240"/>
      <c r="B43" s="238"/>
      <c r="C43" s="40">
        <v>33042</v>
      </c>
      <c r="D43" s="43" t="s">
        <v>5</v>
      </c>
      <c r="E43" s="43" t="s">
        <v>16</v>
      </c>
      <c r="F43" s="43">
        <v>1</v>
      </c>
      <c r="G43" s="43">
        <v>1</v>
      </c>
      <c r="H43" s="17"/>
      <c r="I43" s="5" t="s">
        <v>34</v>
      </c>
      <c r="J43" s="5"/>
      <c r="K43" s="108"/>
      <c r="S43" s="117"/>
      <c r="T43" s="166"/>
      <c r="U43" s="166"/>
      <c r="V43" s="166"/>
      <c r="W43" s="166"/>
      <c r="X43" s="126"/>
      <c r="Y43" s="125"/>
    </row>
    <row r="44" spans="1:27" ht="15" thickBot="1" x14ac:dyDescent="0.35">
      <c r="A44" s="240"/>
      <c r="B44" s="238"/>
      <c r="C44" s="58"/>
      <c r="D44" s="80"/>
      <c r="E44" s="80"/>
      <c r="F44" s="80" t="s">
        <v>170</v>
      </c>
      <c r="G44" s="80" t="s">
        <v>171</v>
      </c>
      <c r="H44" s="30"/>
      <c r="I44" s="8"/>
      <c r="J44" s="5"/>
      <c r="K44" s="108"/>
      <c r="S44" s="117"/>
      <c r="T44" s="166"/>
      <c r="U44" s="166"/>
      <c r="V44" s="166"/>
      <c r="W44" s="166"/>
      <c r="X44" s="126"/>
      <c r="Y44" s="125"/>
    </row>
    <row r="45" spans="1:27" x14ac:dyDescent="0.3">
      <c r="A45" s="240"/>
      <c r="B45" s="238"/>
      <c r="C45" s="40">
        <v>33042</v>
      </c>
      <c r="D45" s="43" t="s">
        <v>190</v>
      </c>
      <c r="E45" s="43" t="s">
        <v>101</v>
      </c>
      <c r="F45" s="43">
        <v>0</v>
      </c>
      <c r="G45" s="43">
        <v>4</v>
      </c>
      <c r="H45" s="17"/>
      <c r="I45" s="5" t="s">
        <v>285</v>
      </c>
      <c r="J45" s="5"/>
      <c r="K45" s="108"/>
      <c r="S45" s="117"/>
      <c r="T45" s="166"/>
      <c r="U45" s="166"/>
      <c r="V45" s="166"/>
      <c r="W45" s="166"/>
      <c r="X45" s="126"/>
      <c r="Y45" s="125"/>
    </row>
    <row r="46" spans="1:27" x14ac:dyDescent="0.3">
      <c r="A46" s="240"/>
      <c r="B46" s="238"/>
      <c r="C46" s="40"/>
      <c r="D46" s="43"/>
      <c r="E46" s="43"/>
      <c r="F46" s="43" t="s">
        <v>170</v>
      </c>
      <c r="G46" s="43" t="s">
        <v>173</v>
      </c>
      <c r="H46" s="17"/>
      <c r="I46" s="5"/>
      <c r="J46" s="5"/>
      <c r="K46" s="108"/>
      <c r="S46" s="117"/>
      <c r="T46" s="166"/>
      <c r="U46" s="166"/>
      <c r="V46" s="166"/>
      <c r="W46" s="166"/>
      <c r="X46" s="126"/>
      <c r="Y46" s="125"/>
    </row>
    <row r="47" spans="1:27" x14ac:dyDescent="0.3">
      <c r="A47" s="156"/>
      <c r="B47" s="17"/>
      <c r="C47" s="17"/>
      <c r="D47" s="17"/>
      <c r="E47" s="17"/>
      <c r="F47" s="17"/>
      <c r="G47" s="18"/>
      <c r="H47" s="5"/>
      <c r="I47" s="5"/>
      <c r="J47" s="5"/>
      <c r="K47" s="108"/>
      <c r="S47" s="117"/>
      <c r="T47" s="166"/>
      <c r="U47" s="166"/>
      <c r="V47" s="166"/>
      <c r="W47" s="166"/>
      <c r="X47" s="126"/>
      <c r="Y47" s="125"/>
    </row>
    <row r="48" spans="1:27" x14ac:dyDescent="0.3">
      <c r="A48" s="156"/>
      <c r="B48" s="17"/>
      <c r="C48" s="17"/>
      <c r="D48" s="17"/>
      <c r="E48" s="17"/>
      <c r="F48" s="17"/>
      <c r="G48" s="18"/>
      <c r="H48" s="5"/>
      <c r="I48" s="5"/>
      <c r="J48" s="5"/>
      <c r="K48" s="108"/>
      <c r="S48" s="117"/>
      <c r="T48" s="166"/>
      <c r="U48" s="166"/>
      <c r="V48" s="166"/>
      <c r="W48" s="166"/>
      <c r="X48" s="126"/>
      <c r="Y48" s="125"/>
    </row>
    <row r="49" spans="1:25" ht="15" thickBot="1" x14ac:dyDescent="0.35">
      <c r="A49" s="240"/>
      <c r="B49" s="238" t="s">
        <v>298</v>
      </c>
      <c r="C49" s="238" t="s">
        <v>12</v>
      </c>
      <c r="D49" s="238" t="s">
        <v>13</v>
      </c>
      <c r="E49" s="238" t="s">
        <v>14</v>
      </c>
      <c r="F49" s="238" t="s">
        <v>15</v>
      </c>
      <c r="G49" s="5" t="s">
        <v>24</v>
      </c>
      <c r="H49" s="5" t="s">
        <v>25</v>
      </c>
      <c r="I49" s="5" t="s">
        <v>26</v>
      </c>
      <c r="J49" s="5" t="s">
        <v>27</v>
      </c>
      <c r="K49" s="108"/>
      <c r="S49" s="117"/>
      <c r="T49" s="166"/>
      <c r="U49" s="166"/>
      <c r="V49" s="166"/>
      <c r="W49" s="166"/>
      <c r="X49" s="126"/>
      <c r="Y49" s="125"/>
    </row>
    <row r="50" spans="1:25" x14ac:dyDescent="0.3">
      <c r="A50" s="240"/>
      <c r="B50" s="14" t="s">
        <v>190</v>
      </c>
      <c r="C50" s="241">
        <f>COUNTIF($S$35:$T$40,"Kamerun")</f>
        <v>3</v>
      </c>
      <c r="D50" s="124">
        <f>SUMPRODUCT(($S$35:$T$40=B50)*($X$35:$Y$40=3))</f>
        <v>2</v>
      </c>
      <c r="E50" s="124">
        <f>SUMPRODUCT(($S$35:$T$40=B50)*($X$35:$Y$40=1))</f>
        <v>0</v>
      </c>
      <c r="F50" s="124">
        <f>SUMPRODUCT(($S$35:$T$40=B50)*($X$35:$Y$40=2))</f>
        <v>1</v>
      </c>
      <c r="G50" s="124">
        <f>SUMPRODUCT(($S$35:$S$40=B50)*($U$35:$U$40))+SUMPRODUCT(($T$35:$T$40=B50)*($V$35:$V$40))</f>
        <v>3</v>
      </c>
      <c r="H50" s="124">
        <f>SUMPRODUCT(($S$35:$S$40=B50)*($V$35:$V$40))+SUMPRODUCT(($T$35:$T$40=B50)*($U$35:$U$40))</f>
        <v>5</v>
      </c>
      <c r="I50" s="15">
        <f>(D50*2)+E50</f>
        <v>4</v>
      </c>
      <c r="J50" s="16">
        <f>(F50*2)+E50</f>
        <v>2</v>
      </c>
      <c r="K50" s="108"/>
      <c r="S50" s="117"/>
      <c r="T50" s="166"/>
      <c r="U50" s="166"/>
      <c r="V50" s="166"/>
      <c r="W50" s="166"/>
      <c r="X50" s="126"/>
      <c r="Y50" s="125"/>
    </row>
    <row r="51" spans="1:25" x14ac:dyDescent="0.3">
      <c r="A51" s="240"/>
      <c r="B51" s="21" t="s">
        <v>16</v>
      </c>
      <c r="C51" s="238">
        <f>COUNTIF($S$35:$T$40,"Rumänien")</f>
        <v>3</v>
      </c>
      <c r="D51" s="43">
        <f t="shared" ref="D51:D53" si="15">SUMPRODUCT(($S$35:$T$40=B51)*($X$35:$Y$40=3))</f>
        <v>1</v>
      </c>
      <c r="E51" s="43">
        <f t="shared" ref="E51:E53" si="16">SUMPRODUCT(($S$35:$T$40=B51)*($X$35:$Y$40=1))</f>
        <v>1</v>
      </c>
      <c r="F51" s="43">
        <f t="shared" ref="F51:F53" si="17">SUMPRODUCT(($S$35:$T$40=B51)*($X$35:$Y$40=2))</f>
        <v>1</v>
      </c>
      <c r="G51" s="43">
        <f t="shared" ref="G51:G53" si="18">SUMPRODUCT(($S$35:$S$40=B51)*($U$35:$U$40))+SUMPRODUCT(($T$35:$T$40=B51)*($V$35:$V$40))</f>
        <v>4</v>
      </c>
      <c r="H51" s="43">
        <f t="shared" ref="H51:H53" si="19">SUMPRODUCT(($S$35:$S$40=B51)*($V$35:$V$40))+SUMPRODUCT(($T$35:$T$40=B51)*($U$35:$U$40))</f>
        <v>3</v>
      </c>
      <c r="I51" s="18">
        <f t="shared" ref="I51:I53" si="20">(D51*2)+E51</f>
        <v>3</v>
      </c>
      <c r="J51" s="22">
        <f t="shared" ref="J51:J53" si="21">(F51*2)+E51</f>
        <v>3</v>
      </c>
      <c r="K51" s="108"/>
      <c r="S51" s="117"/>
      <c r="T51" s="166"/>
      <c r="U51" s="166"/>
      <c r="V51" s="166"/>
      <c r="W51" s="166"/>
      <c r="X51" s="126"/>
      <c r="Y51" s="125"/>
    </row>
    <row r="52" spans="1:25" x14ac:dyDescent="0.3">
      <c r="A52" s="240"/>
      <c r="B52" s="3" t="s">
        <v>5</v>
      </c>
      <c r="C52" s="238">
        <f>COUNTIF($S$35:$T$40,"Argentinien")</f>
        <v>3</v>
      </c>
      <c r="D52" s="43">
        <f t="shared" si="15"/>
        <v>1</v>
      </c>
      <c r="E52" s="43">
        <f t="shared" si="16"/>
        <v>1</v>
      </c>
      <c r="F52" s="43">
        <f t="shared" si="17"/>
        <v>1</v>
      </c>
      <c r="G52" s="43">
        <f t="shared" si="18"/>
        <v>3</v>
      </c>
      <c r="H52" s="43">
        <f t="shared" si="19"/>
        <v>2</v>
      </c>
      <c r="I52" s="18">
        <f t="shared" si="20"/>
        <v>3</v>
      </c>
      <c r="J52" s="22">
        <f t="shared" si="21"/>
        <v>3</v>
      </c>
      <c r="K52" s="108"/>
      <c r="S52" s="117"/>
      <c r="T52" s="166"/>
      <c r="U52" s="166"/>
      <c r="V52" s="166"/>
      <c r="W52" s="166"/>
      <c r="X52" s="126"/>
      <c r="Y52" s="125"/>
    </row>
    <row r="53" spans="1:25" ht="15" thickBot="1" x14ac:dyDescent="0.35">
      <c r="A53" s="240"/>
      <c r="B53" s="7" t="s">
        <v>101</v>
      </c>
      <c r="C53" s="242">
        <f>COUNTIF($S$35:$T$40,"UdSSR")</f>
        <v>3</v>
      </c>
      <c r="D53" s="80">
        <f t="shared" si="15"/>
        <v>1</v>
      </c>
      <c r="E53" s="80">
        <f t="shared" si="16"/>
        <v>0</v>
      </c>
      <c r="F53" s="80">
        <f t="shared" si="17"/>
        <v>2</v>
      </c>
      <c r="G53" s="80">
        <f t="shared" si="18"/>
        <v>4</v>
      </c>
      <c r="H53" s="80">
        <f t="shared" si="19"/>
        <v>4</v>
      </c>
      <c r="I53" s="31">
        <f t="shared" si="20"/>
        <v>2</v>
      </c>
      <c r="J53" s="32">
        <f t="shared" si="21"/>
        <v>4</v>
      </c>
      <c r="K53" s="108"/>
      <c r="S53" s="117"/>
      <c r="T53" s="166"/>
      <c r="U53" s="166"/>
      <c r="V53" s="166"/>
      <c r="W53" s="166"/>
      <c r="X53" s="126"/>
      <c r="Y53" s="125"/>
    </row>
    <row r="54" spans="1:25" ht="15" thickBot="1" x14ac:dyDescent="0.35">
      <c r="A54" s="240"/>
      <c r="B54" s="238"/>
      <c r="C54" s="238"/>
      <c r="D54" s="238"/>
      <c r="E54" s="238"/>
      <c r="F54" s="238"/>
      <c r="G54" s="5"/>
      <c r="H54" s="5"/>
      <c r="I54" s="5"/>
      <c r="J54" s="5"/>
      <c r="K54" s="193"/>
      <c r="S54" s="117"/>
      <c r="T54" s="166"/>
      <c r="U54" s="166"/>
      <c r="V54" s="166"/>
      <c r="W54" s="166"/>
      <c r="X54" s="126"/>
      <c r="Y54" s="125"/>
    </row>
    <row r="55" spans="1:25" ht="15" thickTop="1" x14ac:dyDescent="0.3">
      <c r="A55" s="106"/>
      <c r="B55" s="25"/>
      <c r="C55" s="25"/>
      <c r="D55" s="25"/>
      <c r="E55" s="25"/>
      <c r="F55" s="25"/>
      <c r="G55" s="26"/>
      <c r="H55" s="26"/>
      <c r="I55" s="26"/>
      <c r="J55" s="26"/>
      <c r="K55" s="108"/>
      <c r="S55" s="117"/>
      <c r="T55" s="166"/>
      <c r="U55" s="166"/>
      <c r="V55" s="166"/>
      <c r="W55" s="166"/>
      <c r="X55" s="126"/>
      <c r="Y55" s="125"/>
    </row>
    <row r="56" spans="1:25" ht="21" x14ac:dyDescent="0.4">
      <c r="A56" s="240"/>
      <c r="B56" s="238"/>
      <c r="C56" s="238"/>
      <c r="D56" s="238"/>
      <c r="E56" s="238"/>
      <c r="F56" s="237" t="s">
        <v>121</v>
      </c>
      <c r="G56" s="5"/>
      <c r="H56" s="5"/>
      <c r="I56" s="5"/>
      <c r="J56" s="5"/>
      <c r="K56" s="108"/>
      <c r="S56" s="122"/>
      <c r="T56" s="17"/>
      <c r="U56" s="17"/>
      <c r="V56" s="17"/>
      <c r="W56" s="17"/>
      <c r="X56" s="126"/>
      <c r="Y56" s="125"/>
    </row>
    <row r="57" spans="1:25" x14ac:dyDescent="0.3">
      <c r="A57" s="240"/>
      <c r="B57" s="238"/>
      <c r="C57" s="238"/>
      <c r="D57" s="238"/>
      <c r="E57" s="238"/>
      <c r="F57" s="28"/>
      <c r="G57" s="5"/>
      <c r="H57" s="5"/>
      <c r="I57" s="5"/>
      <c r="J57" s="5"/>
      <c r="K57" s="108"/>
      <c r="S57" s="122"/>
      <c r="T57" s="17"/>
      <c r="U57" s="17"/>
      <c r="V57" s="17"/>
      <c r="W57" s="17"/>
      <c r="X57" s="126"/>
      <c r="Y57" s="125"/>
    </row>
    <row r="58" spans="1:25" x14ac:dyDescent="0.3">
      <c r="A58" s="240"/>
      <c r="B58" s="238"/>
      <c r="C58" s="40">
        <v>33034</v>
      </c>
      <c r="D58" s="49" t="s">
        <v>9</v>
      </c>
      <c r="E58" s="49" t="s">
        <v>41</v>
      </c>
      <c r="F58" s="49">
        <v>2</v>
      </c>
      <c r="G58" s="51">
        <v>1</v>
      </c>
      <c r="H58" s="5"/>
      <c r="I58" s="5" t="s">
        <v>31</v>
      </c>
      <c r="J58" s="5"/>
      <c r="K58" s="108"/>
      <c r="S58" s="122" t="s">
        <v>9</v>
      </c>
      <c r="T58" s="17" t="s">
        <v>41</v>
      </c>
      <c r="U58" s="17">
        <v>2</v>
      </c>
      <c r="V58" s="17">
        <v>1</v>
      </c>
      <c r="W58" s="17"/>
      <c r="X58" s="126">
        <f t="shared" ref="X58:X63" si="22">(IF(U58&gt;V58,3,IF(U58=V58,1,2)))</f>
        <v>3</v>
      </c>
      <c r="Y58" s="125">
        <f t="shared" ref="Y58:Y63" si="23">(IF(V58&gt;U58,3,IF(U58=V58,1,2)))</f>
        <v>2</v>
      </c>
    </row>
    <row r="59" spans="1:25" ht="15" thickBot="1" x14ac:dyDescent="0.35">
      <c r="A59" s="240"/>
      <c r="B59" s="238"/>
      <c r="C59" s="58"/>
      <c r="D59" s="79"/>
      <c r="E59" s="79"/>
      <c r="F59" s="79" t="s">
        <v>172</v>
      </c>
      <c r="G59" s="81" t="s">
        <v>171</v>
      </c>
      <c r="H59" s="8"/>
      <c r="I59" s="8"/>
      <c r="J59" s="5"/>
      <c r="K59" s="108"/>
      <c r="S59" s="122" t="s">
        <v>286</v>
      </c>
      <c r="T59" s="17" t="s">
        <v>81</v>
      </c>
      <c r="U59" s="17">
        <v>1</v>
      </c>
      <c r="V59" s="17">
        <v>0</v>
      </c>
      <c r="W59" s="17"/>
      <c r="X59" s="126">
        <f t="shared" si="22"/>
        <v>3</v>
      </c>
      <c r="Y59" s="125">
        <f t="shared" si="23"/>
        <v>2</v>
      </c>
    </row>
    <row r="60" spans="1:25" x14ac:dyDescent="0.3">
      <c r="A60" s="240"/>
      <c r="B60" s="238"/>
      <c r="C60" s="40">
        <v>33035</v>
      </c>
      <c r="D60" s="49" t="s">
        <v>286</v>
      </c>
      <c r="E60" s="49" t="s">
        <v>81</v>
      </c>
      <c r="F60" s="49">
        <v>1</v>
      </c>
      <c r="G60" s="51">
        <v>0</v>
      </c>
      <c r="H60" s="5"/>
      <c r="I60" s="5" t="s">
        <v>36</v>
      </c>
      <c r="J60" s="5"/>
      <c r="K60" s="108"/>
      <c r="S60" s="122" t="s">
        <v>9</v>
      </c>
      <c r="T60" s="17" t="s">
        <v>286</v>
      </c>
      <c r="U60" s="17">
        <v>1</v>
      </c>
      <c r="V60" s="17">
        <v>0</v>
      </c>
      <c r="W60" s="17"/>
      <c r="X60" s="126">
        <f t="shared" si="22"/>
        <v>3</v>
      </c>
      <c r="Y60" s="125">
        <f t="shared" si="23"/>
        <v>2</v>
      </c>
    </row>
    <row r="61" spans="1:25" ht="15" thickBot="1" x14ac:dyDescent="0.35">
      <c r="A61" s="240"/>
      <c r="B61" s="238"/>
      <c r="C61" s="58"/>
      <c r="D61" s="79"/>
      <c r="E61" s="79"/>
      <c r="F61" s="79" t="s">
        <v>170</v>
      </c>
      <c r="G61" s="81" t="s">
        <v>171</v>
      </c>
      <c r="H61" s="8"/>
      <c r="I61" s="8"/>
      <c r="J61" s="5"/>
      <c r="K61" s="108"/>
      <c r="S61" s="122" t="s">
        <v>41</v>
      </c>
      <c r="T61" s="17" t="s">
        <v>81</v>
      </c>
      <c r="U61" s="17">
        <v>1</v>
      </c>
      <c r="V61" s="17">
        <v>2</v>
      </c>
      <c r="W61" s="17"/>
      <c r="X61" s="126">
        <f t="shared" si="22"/>
        <v>2</v>
      </c>
      <c r="Y61" s="125">
        <f t="shared" si="23"/>
        <v>3</v>
      </c>
    </row>
    <row r="62" spans="1:25" x14ac:dyDescent="0.3">
      <c r="A62" s="240"/>
      <c r="B62" s="238"/>
      <c r="C62" s="40">
        <v>33040</v>
      </c>
      <c r="D62" s="49" t="s">
        <v>9</v>
      </c>
      <c r="E62" s="49" t="s">
        <v>286</v>
      </c>
      <c r="F62" s="49">
        <v>1</v>
      </c>
      <c r="G62" s="51">
        <v>0</v>
      </c>
      <c r="H62" s="5"/>
      <c r="I62" s="5" t="s">
        <v>31</v>
      </c>
      <c r="J62" s="5"/>
      <c r="K62" s="108"/>
      <c r="S62" s="122" t="s">
        <v>9</v>
      </c>
      <c r="T62" s="17" t="s">
        <v>81</v>
      </c>
      <c r="U62" s="17">
        <v>1</v>
      </c>
      <c r="V62" s="17">
        <v>0</v>
      </c>
      <c r="W62" s="17"/>
      <c r="X62" s="126">
        <f t="shared" si="22"/>
        <v>3</v>
      </c>
      <c r="Y62" s="125">
        <f t="shared" si="23"/>
        <v>2</v>
      </c>
    </row>
    <row r="63" spans="1:25" ht="15" thickBot="1" x14ac:dyDescent="0.35">
      <c r="A63" s="240"/>
      <c r="B63" s="238"/>
      <c r="C63" s="58"/>
      <c r="D63" s="79"/>
      <c r="E63" s="79"/>
      <c r="F63" s="79" t="s">
        <v>172</v>
      </c>
      <c r="G63" s="81" t="s">
        <v>171</v>
      </c>
      <c r="H63" s="8"/>
      <c r="I63" s="8"/>
      <c r="J63" s="5"/>
      <c r="K63" s="108"/>
      <c r="S63" s="122" t="s">
        <v>41</v>
      </c>
      <c r="T63" s="17" t="s">
        <v>286</v>
      </c>
      <c r="U63" s="17">
        <v>1</v>
      </c>
      <c r="V63" s="17">
        <v>2</v>
      </c>
      <c r="W63" s="17"/>
      <c r="X63" s="126">
        <f t="shared" si="22"/>
        <v>2</v>
      </c>
      <c r="Y63" s="125">
        <f t="shared" si="23"/>
        <v>3</v>
      </c>
    </row>
    <row r="64" spans="1:25" x14ac:dyDescent="0.3">
      <c r="A64" s="240"/>
      <c r="B64" s="238"/>
      <c r="C64" s="40">
        <v>33040</v>
      </c>
      <c r="D64" s="49" t="s">
        <v>41</v>
      </c>
      <c r="E64" s="49" t="s">
        <v>81</v>
      </c>
      <c r="F64" s="49">
        <v>1</v>
      </c>
      <c r="G64" s="51">
        <v>2</v>
      </c>
      <c r="H64" s="5"/>
      <c r="I64" s="5" t="s">
        <v>36</v>
      </c>
      <c r="J64" s="5"/>
      <c r="K64" s="108"/>
      <c r="S64" s="122"/>
      <c r="T64" s="17"/>
      <c r="U64" s="17"/>
      <c r="V64" s="17"/>
      <c r="W64" s="17"/>
      <c r="X64" s="126"/>
      <c r="Y64" s="125"/>
    </row>
    <row r="65" spans="1:25" ht="15" thickBot="1" x14ac:dyDescent="0.35">
      <c r="A65" s="240"/>
      <c r="B65" s="238"/>
      <c r="C65" s="58"/>
      <c r="D65" s="79"/>
      <c r="E65" s="79"/>
      <c r="F65" s="79" t="s">
        <v>170</v>
      </c>
      <c r="G65" s="81" t="s">
        <v>183</v>
      </c>
      <c r="H65" s="8"/>
      <c r="I65" s="8"/>
      <c r="J65" s="5"/>
      <c r="K65" s="108"/>
      <c r="S65" s="122"/>
      <c r="T65" s="17"/>
      <c r="U65" s="17"/>
      <c r="V65" s="17"/>
      <c r="W65" s="17"/>
      <c r="X65" s="126"/>
      <c r="Y65" s="125"/>
    </row>
    <row r="66" spans="1:25" x14ac:dyDescent="0.3">
      <c r="A66" s="240"/>
      <c r="B66" s="238"/>
      <c r="C66" s="40">
        <v>33044</v>
      </c>
      <c r="D66" s="49" t="s">
        <v>9</v>
      </c>
      <c r="E66" s="49" t="s">
        <v>81</v>
      </c>
      <c r="F66" s="49">
        <v>1</v>
      </c>
      <c r="G66" s="51">
        <v>0</v>
      </c>
      <c r="H66" s="5"/>
      <c r="I66" s="5" t="s">
        <v>31</v>
      </c>
      <c r="J66" s="5"/>
      <c r="K66" s="108"/>
      <c r="S66" s="117"/>
      <c r="T66" s="166"/>
      <c r="U66" s="166"/>
      <c r="V66" s="166"/>
      <c r="W66" s="166"/>
      <c r="X66" s="126"/>
      <c r="Y66" s="125"/>
    </row>
    <row r="67" spans="1:25" ht="15" thickBot="1" x14ac:dyDescent="0.35">
      <c r="A67" s="240"/>
      <c r="B67" s="238"/>
      <c r="C67" s="58"/>
      <c r="D67" s="79"/>
      <c r="E67" s="79"/>
      <c r="F67" s="79" t="s">
        <v>170</v>
      </c>
      <c r="G67" s="81" t="s">
        <v>171</v>
      </c>
      <c r="H67" s="8"/>
      <c r="I67" s="8"/>
      <c r="J67" s="5"/>
      <c r="K67" s="108"/>
      <c r="S67" s="117"/>
      <c r="T67" s="166"/>
      <c r="U67" s="166"/>
      <c r="V67" s="166"/>
      <c r="W67" s="166"/>
      <c r="X67" s="126"/>
      <c r="Y67" s="125"/>
    </row>
    <row r="68" spans="1:25" x14ac:dyDescent="0.3">
      <c r="A68" s="240"/>
      <c r="B68" s="238"/>
      <c r="C68" s="40">
        <v>33044</v>
      </c>
      <c r="D68" s="49" t="s">
        <v>41</v>
      </c>
      <c r="E68" s="49" t="s">
        <v>286</v>
      </c>
      <c r="F68" s="49">
        <v>1</v>
      </c>
      <c r="G68" s="51">
        <v>2</v>
      </c>
      <c r="H68" s="5"/>
      <c r="I68" s="5" t="s">
        <v>36</v>
      </c>
      <c r="J68" s="5"/>
      <c r="K68" s="108"/>
      <c r="S68" s="117"/>
      <c r="T68" s="166"/>
      <c r="U68" s="166"/>
      <c r="V68" s="166"/>
      <c r="W68" s="166"/>
      <c r="X68" s="126"/>
      <c r="Y68" s="125"/>
    </row>
    <row r="69" spans="1:25" x14ac:dyDescent="0.3">
      <c r="A69" s="156"/>
      <c r="B69" s="238"/>
      <c r="C69" s="238"/>
      <c r="D69" s="49"/>
      <c r="E69" s="49"/>
      <c r="F69" s="49" t="s">
        <v>172</v>
      </c>
      <c r="G69" s="51" t="s">
        <v>171</v>
      </c>
      <c r="H69" s="5"/>
      <c r="I69" s="5"/>
      <c r="J69" s="5"/>
      <c r="K69" s="108"/>
      <c r="S69" s="117"/>
      <c r="T69" s="166"/>
      <c r="U69" s="166"/>
      <c r="V69" s="166"/>
      <c r="W69" s="166"/>
      <c r="X69" s="126"/>
      <c r="Y69" s="125"/>
    </row>
    <row r="70" spans="1:25" x14ac:dyDescent="0.3">
      <c r="A70" s="156"/>
      <c r="B70" s="238"/>
      <c r="C70" s="238"/>
      <c r="D70" s="238"/>
      <c r="E70" s="238"/>
      <c r="F70" s="238"/>
      <c r="G70" s="5"/>
      <c r="H70" s="5"/>
      <c r="I70" s="5"/>
      <c r="J70" s="5"/>
      <c r="K70" s="108"/>
      <c r="S70" s="117"/>
      <c r="T70" s="166"/>
      <c r="U70" s="166"/>
      <c r="V70" s="166"/>
      <c r="W70" s="166"/>
      <c r="X70" s="126"/>
      <c r="Y70" s="125"/>
    </row>
    <row r="71" spans="1:25" x14ac:dyDescent="0.3">
      <c r="A71" s="156"/>
      <c r="B71" s="238"/>
      <c r="C71" s="238"/>
      <c r="D71" s="238"/>
      <c r="E71" s="238"/>
      <c r="F71" s="238"/>
      <c r="G71" s="5"/>
      <c r="H71" s="5"/>
      <c r="I71" s="5"/>
      <c r="J71" s="5"/>
      <c r="K71" s="108"/>
      <c r="S71" s="117"/>
      <c r="T71" s="166"/>
      <c r="U71" s="166"/>
      <c r="V71" s="166"/>
      <c r="W71" s="166"/>
      <c r="X71" s="126"/>
      <c r="Y71" s="125"/>
    </row>
    <row r="72" spans="1:25" ht="15" thickBot="1" x14ac:dyDescent="0.35">
      <c r="A72" s="240"/>
      <c r="B72" s="238" t="s">
        <v>298</v>
      </c>
      <c r="C72" s="238" t="s">
        <v>12</v>
      </c>
      <c r="D72" s="238" t="s">
        <v>13</v>
      </c>
      <c r="E72" s="238" t="s">
        <v>14</v>
      </c>
      <c r="F72" s="238" t="s">
        <v>15</v>
      </c>
      <c r="G72" s="5" t="s">
        <v>24</v>
      </c>
      <c r="H72" s="5" t="s">
        <v>25</v>
      </c>
      <c r="I72" s="5" t="s">
        <v>26</v>
      </c>
      <c r="J72" s="5" t="s">
        <v>27</v>
      </c>
      <c r="K72" s="108"/>
      <c r="S72" s="117"/>
      <c r="T72" s="166"/>
      <c r="U72" s="166"/>
      <c r="V72" s="166"/>
      <c r="W72" s="166"/>
      <c r="X72" s="126"/>
      <c r="Y72" s="125"/>
    </row>
    <row r="73" spans="1:25" x14ac:dyDescent="0.3">
      <c r="A73" s="240"/>
      <c r="B73" s="14" t="s">
        <v>9</v>
      </c>
      <c r="C73" s="241">
        <f>COUNTIF($S$58:$T$63,"Brasilien")</f>
        <v>3</v>
      </c>
      <c r="D73" s="124">
        <f>SUMPRODUCT(($S$58:$T$63=B73)*($X$58:$Y$63=3))</f>
        <v>3</v>
      </c>
      <c r="E73" s="124">
        <f>SUMPRODUCT(($S$58:$T$63=B73)*($X$58:$Y$63=1))</f>
        <v>0</v>
      </c>
      <c r="F73" s="124">
        <f>SUMPRODUCT(($S$58:$T$63=B73)*($X$58:$Y$63=2))</f>
        <v>0</v>
      </c>
      <c r="G73" s="124">
        <f>SUMPRODUCT(($S$58:$S$63=B73)*($U$58:$U$63))+SUMPRODUCT(($T$58:$T$63=B73)*($V$58:$V$63))</f>
        <v>4</v>
      </c>
      <c r="H73" s="124">
        <f>SUMPRODUCT(($S$58:$S$63=B73)*($V$58:$V$63))+SUMPRODUCT(($T$58:$T$63=B73)*($U$58:$U$63))</f>
        <v>1</v>
      </c>
      <c r="I73" s="15">
        <f>(D73*2)+E73</f>
        <v>6</v>
      </c>
      <c r="J73" s="16">
        <f>(F73*2)+E73</f>
        <v>0</v>
      </c>
      <c r="K73" s="108"/>
      <c r="S73" s="117"/>
      <c r="T73" s="166"/>
      <c r="U73" s="166"/>
      <c r="V73" s="166"/>
      <c r="W73" s="166"/>
      <c r="X73" s="126"/>
      <c r="Y73" s="125"/>
    </row>
    <row r="74" spans="1:25" x14ac:dyDescent="0.3">
      <c r="A74" s="240"/>
      <c r="B74" s="21" t="s">
        <v>286</v>
      </c>
      <c r="C74" s="238">
        <f>COUNTIF($S$58:$T$63,"Costa Rica")</f>
        <v>3</v>
      </c>
      <c r="D74" s="43">
        <f t="shared" ref="D74:D76" si="24">SUMPRODUCT(($S$58:$T$63=B74)*($X$58:$Y$63=3))</f>
        <v>2</v>
      </c>
      <c r="E74" s="43">
        <f t="shared" ref="E74:E76" si="25">SUMPRODUCT(($S$58:$T$63=B74)*($X$58:$Y$63=1))</f>
        <v>0</v>
      </c>
      <c r="F74" s="43">
        <f t="shared" ref="F74:F76" si="26">SUMPRODUCT(($S$58:$T$63=B74)*($X$58:$Y$63=2))</f>
        <v>1</v>
      </c>
      <c r="G74" s="43">
        <f t="shared" ref="G74:G76" si="27">SUMPRODUCT(($S$58:$S$63=B74)*($U$58:$U$63))+SUMPRODUCT(($T$58:$T$63=B74)*($V$58:$V$63))</f>
        <v>3</v>
      </c>
      <c r="H74" s="43">
        <f t="shared" ref="H74:H76" si="28">SUMPRODUCT(($S$58:$S$63=B74)*($V$58:$V$63))+SUMPRODUCT(($T$58:$T$63=B74)*($U$58:$U$63))</f>
        <v>2</v>
      </c>
      <c r="I74" s="18">
        <f t="shared" ref="I74:I76" si="29">(D74*2)+E74</f>
        <v>4</v>
      </c>
      <c r="J74" s="22">
        <f t="shared" ref="J74:J76" si="30">(F74*2)+E74</f>
        <v>2</v>
      </c>
      <c r="K74" s="108"/>
      <c r="S74" s="117"/>
      <c r="T74" s="166"/>
      <c r="U74" s="166"/>
      <c r="V74" s="166"/>
      <c r="W74" s="166"/>
      <c r="X74" s="126"/>
      <c r="Y74" s="125"/>
    </row>
    <row r="75" spans="1:25" x14ac:dyDescent="0.3">
      <c r="A75" s="240"/>
      <c r="B75" s="3" t="s">
        <v>81</v>
      </c>
      <c r="C75" s="238">
        <f>COUNTIF($S$58:$T$63,"Schottland")</f>
        <v>3</v>
      </c>
      <c r="D75" s="43">
        <f t="shared" si="24"/>
        <v>1</v>
      </c>
      <c r="E75" s="43">
        <f t="shared" si="25"/>
        <v>0</v>
      </c>
      <c r="F75" s="43">
        <f t="shared" si="26"/>
        <v>2</v>
      </c>
      <c r="G75" s="43">
        <f t="shared" si="27"/>
        <v>2</v>
      </c>
      <c r="H75" s="43">
        <f t="shared" si="28"/>
        <v>3</v>
      </c>
      <c r="I75" s="18">
        <f t="shared" si="29"/>
        <v>2</v>
      </c>
      <c r="J75" s="22">
        <f t="shared" si="30"/>
        <v>4</v>
      </c>
      <c r="K75" s="108"/>
      <c r="S75" s="117"/>
      <c r="T75" s="166"/>
      <c r="U75" s="166"/>
      <c r="V75" s="166"/>
      <c r="W75" s="166"/>
      <c r="X75" s="126"/>
      <c r="Y75" s="125"/>
    </row>
    <row r="76" spans="1:25" ht="15" thickBot="1" x14ac:dyDescent="0.35">
      <c r="A76" s="240"/>
      <c r="B76" s="7" t="s">
        <v>41</v>
      </c>
      <c r="C76" s="242">
        <f>COUNTIF($S$58:$T$63,"Schweden")</f>
        <v>3</v>
      </c>
      <c r="D76" s="80">
        <f t="shared" si="24"/>
        <v>0</v>
      </c>
      <c r="E76" s="80">
        <f t="shared" si="25"/>
        <v>0</v>
      </c>
      <c r="F76" s="80">
        <f t="shared" si="26"/>
        <v>3</v>
      </c>
      <c r="G76" s="80">
        <f t="shared" si="27"/>
        <v>3</v>
      </c>
      <c r="H76" s="80">
        <f t="shared" si="28"/>
        <v>6</v>
      </c>
      <c r="I76" s="31">
        <f t="shared" si="29"/>
        <v>0</v>
      </c>
      <c r="J76" s="32">
        <f t="shared" si="30"/>
        <v>6</v>
      </c>
      <c r="K76" s="108"/>
      <c r="S76" s="117"/>
      <c r="T76" s="166"/>
      <c r="U76" s="166"/>
      <c r="V76" s="166"/>
      <c r="W76" s="166"/>
      <c r="X76" s="126"/>
      <c r="Y76" s="125"/>
    </row>
    <row r="77" spans="1:25" ht="15" thickBot="1" x14ac:dyDescent="0.35">
      <c r="A77" s="240"/>
      <c r="B77" s="238"/>
      <c r="C77" s="238"/>
      <c r="D77" s="238"/>
      <c r="E77" s="238"/>
      <c r="F77" s="238"/>
      <c r="G77" s="5"/>
      <c r="H77" s="5"/>
      <c r="I77" s="5"/>
      <c r="J77" s="5"/>
      <c r="K77" s="193"/>
      <c r="S77" s="117"/>
      <c r="T77" s="166"/>
      <c r="U77" s="166"/>
      <c r="V77" s="166"/>
      <c r="W77" s="166"/>
      <c r="X77" s="126"/>
      <c r="Y77" s="125"/>
    </row>
    <row r="78" spans="1:25" ht="15" thickTop="1" x14ac:dyDescent="0.3">
      <c r="A78" s="106"/>
      <c r="B78" s="25"/>
      <c r="C78" s="25"/>
      <c r="D78" s="25"/>
      <c r="E78" s="25"/>
      <c r="F78" s="25"/>
      <c r="G78" s="26"/>
      <c r="H78" s="26"/>
      <c r="I78" s="26"/>
      <c r="J78" s="26"/>
      <c r="K78" s="108"/>
      <c r="S78" s="117"/>
      <c r="T78" s="166"/>
      <c r="U78" s="166"/>
      <c r="V78" s="166"/>
      <c r="W78" s="166"/>
      <c r="X78" s="126"/>
      <c r="Y78" s="125"/>
    </row>
    <row r="79" spans="1:25" ht="21" x14ac:dyDescent="0.4">
      <c r="A79" s="240"/>
      <c r="B79" s="238"/>
      <c r="C79" s="238"/>
      <c r="D79" s="238"/>
      <c r="E79" s="238"/>
      <c r="F79" s="237" t="s">
        <v>122</v>
      </c>
      <c r="G79" s="5"/>
      <c r="H79" s="5"/>
      <c r="I79" s="5"/>
      <c r="J79" s="5"/>
      <c r="K79" s="108"/>
      <c r="S79" s="117"/>
      <c r="T79" s="166"/>
      <c r="U79" s="166"/>
      <c r="V79" s="166"/>
      <c r="W79" s="166"/>
      <c r="X79" s="126"/>
      <c r="Y79" s="125"/>
    </row>
    <row r="80" spans="1:25" x14ac:dyDescent="0.3">
      <c r="A80" s="240"/>
      <c r="B80" s="238"/>
      <c r="C80" s="238"/>
      <c r="D80" s="238"/>
      <c r="E80" s="238"/>
      <c r="F80" s="28"/>
      <c r="G80" s="5"/>
      <c r="H80" s="5"/>
      <c r="I80" s="5"/>
      <c r="J80" s="5"/>
      <c r="K80" s="108"/>
      <c r="S80" s="117"/>
      <c r="T80" s="166"/>
      <c r="U80" s="166"/>
      <c r="V80" s="166"/>
      <c r="W80" s="166"/>
      <c r="X80" s="126"/>
      <c r="Y80" s="125"/>
    </row>
    <row r="81" spans="1:25" x14ac:dyDescent="0.3">
      <c r="A81" s="240"/>
      <c r="B81" s="238"/>
      <c r="C81" s="40">
        <v>33033</v>
      </c>
      <c r="D81" s="49" t="s">
        <v>287</v>
      </c>
      <c r="E81" s="49" t="s">
        <v>117</v>
      </c>
      <c r="F81" s="49">
        <v>0</v>
      </c>
      <c r="G81" s="51">
        <v>2</v>
      </c>
      <c r="H81" s="51"/>
      <c r="I81" s="5" t="s">
        <v>42</v>
      </c>
      <c r="J81" s="5"/>
      <c r="K81" s="108"/>
      <c r="S81" s="117" t="s">
        <v>287</v>
      </c>
      <c r="T81" s="166" t="s">
        <v>117</v>
      </c>
      <c r="U81" s="166">
        <v>0</v>
      </c>
      <c r="V81" s="166">
        <v>2</v>
      </c>
      <c r="W81" s="166"/>
      <c r="X81" s="126">
        <f t="shared" ref="X81:X86" si="31">(IF(U81&gt;V81,3,IF(U81=V81,1,2)))</f>
        <v>2</v>
      </c>
      <c r="Y81" s="125">
        <f t="shared" ref="Y81:Y86" si="32">(IF(V81&gt;U81,3,IF(U81=V81,1,2)))</f>
        <v>3</v>
      </c>
    </row>
    <row r="82" spans="1:25" ht="15" thickBot="1" x14ac:dyDescent="0.35">
      <c r="A82" s="240"/>
      <c r="B82" s="238"/>
      <c r="C82" s="58"/>
      <c r="D82" s="79"/>
      <c r="E82" s="79"/>
      <c r="F82" s="79" t="s">
        <v>170</v>
      </c>
      <c r="G82" s="81" t="s">
        <v>171</v>
      </c>
      <c r="H82" s="81"/>
      <c r="I82" s="8"/>
      <c r="J82" s="5"/>
      <c r="K82" s="108"/>
      <c r="S82" s="117" t="s">
        <v>88</v>
      </c>
      <c r="T82" s="166" t="s">
        <v>8</v>
      </c>
      <c r="U82" s="166">
        <v>4</v>
      </c>
      <c r="V82" s="166">
        <v>1</v>
      </c>
      <c r="W82" s="166"/>
      <c r="X82" s="126">
        <f t="shared" si="31"/>
        <v>3</v>
      </c>
      <c r="Y82" s="125">
        <f t="shared" si="32"/>
        <v>2</v>
      </c>
    </row>
    <row r="83" spans="1:25" x14ac:dyDescent="0.3">
      <c r="A83" s="240"/>
      <c r="B83" s="238"/>
      <c r="C83" s="40">
        <v>33034</v>
      </c>
      <c r="D83" s="49" t="s">
        <v>88</v>
      </c>
      <c r="E83" s="49" t="s">
        <v>8</v>
      </c>
      <c r="F83" s="49">
        <v>4</v>
      </c>
      <c r="G83" s="51">
        <v>1</v>
      </c>
      <c r="H83" s="51"/>
      <c r="I83" s="5" t="s">
        <v>44</v>
      </c>
      <c r="J83" s="5"/>
      <c r="K83" s="108"/>
      <c r="S83" s="117" t="s">
        <v>8</v>
      </c>
      <c r="T83" s="166" t="s">
        <v>117</v>
      </c>
      <c r="U83" s="166">
        <v>1</v>
      </c>
      <c r="V83" s="166">
        <v>0</v>
      </c>
      <c r="W83" s="166"/>
      <c r="X83" s="126">
        <f t="shared" si="31"/>
        <v>3</v>
      </c>
      <c r="Y83" s="125">
        <f t="shared" si="32"/>
        <v>2</v>
      </c>
    </row>
    <row r="84" spans="1:25" ht="15" thickBot="1" x14ac:dyDescent="0.35">
      <c r="A84" s="240"/>
      <c r="B84" s="238"/>
      <c r="C84" s="58"/>
      <c r="D84" s="79"/>
      <c r="E84" s="79"/>
      <c r="F84" s="79" t="s">
        <v>215</v>
      </c>
      <c r="G84" s="81" t="s">
        <v>171</v>
      </c>
      <c r="H84" s="81"/>
      <c r="I84" s="8"/>
      <c r="J84" s="5"/>
      <c r="K84" s="108"/>
      <c r="S84" s="117" t="s">
        <v>88</v>
      </c>
      <c r="T84" s="166" t="s">
        <v>287</v>
      </c>
      <c r="U84" s="166">
        <v>5</v>
      </c>
      <c r="V84" s="166">
        <v>1</v>
      </c>
      <c r="W84" s="166"/>
      <c r="X84" s="126">
        <f t="shared" si="31"/>
        <v>3</v>
      </c>
      <c r="Y84" s="125">
        <f t="shared" si="32"/>
        <v>2</v>
      </c>
    </row>
    <row r="85" spans="1:25" x14ac:dyDescent="0.3">
      <c r="A85" s="240"/>
      <c r="B85" s="238"/>
      <c r="C85" s="40">
        <v>33038</v>
      </c>
      <c r="D85" s="49" t="s">
        <v>8</v>
      </c>
      <c r="E85" s="49" t="s">
        <v>117</v>
      </c>
      <c r="F85" s="49">
        <v>1</v>
      </c>
      <c r="G85" s="51">
        <v>0</v>
      </c>
      <c r="H85" s="51"/>
      <c r="I85" s="5" t="s">
        <v>42</v>
      </c>
      <c r="J85" s="5"/>
      <c r="K85" s="108"/>
      <c r="S85" s="117" t="s">
        <v>88</v>
      </c>
      <c r="T85" s="166" t="s">
        <v>117</v>
      </c>
      <c r="U85" s="166">
        <v>1</v>
      </c>
      <c r="V85" s="166">
        <v>1</v>
      </c>
      <c r="W85" s="166"/>
      <c r="X85" s="126">
        <f t="shared" si="31"/>
        <v>1</v>
      </c>
      <c r="Y85" s="125">
        <f t="shared" si="32"/>
        <v>1</v>
      </c>
    </row>
    <row r="86" spans="1:25" ht="15" thickBot="1" x14ac:dyDescent="0.35">
      <c r="A86" s="240"/>
      <c r="B86" s="238"/>
      <c r="C86" s="58"/>
      <c r="D86" s="79"/>
      <c r="E86" s="79"/>
      <c r="F86" s="79" t="s">
        <v>170</v>
      </c>
      <c r="G86" s="81" t="s">
        <v>171</v>
      </c>
      <c r="H86" s="81"/>
      <c r="I86" s="8"/>
      <c r="J86" s="5"/>
      <c r="K86" s="108"/>
      <c r="S86" s="117" t="s">
        <v>8</v>
      </c>
      <c r="T86" s="166" t="s">
        <v>287</v>
      </c>
      <c r="U86" s="166">
        <v>4</v>
      </c>
      <c r="V86" s="166">
        <v>1</v>
      </c>
      <c r="W86" s="166"/>
      <c r="X86" s="126">
        <f t="shared" si="31"/>
        <v>3</v>
      </c>
      <c r="Y86" s="125">
        <f t="shared" si="32"/>
        <v>2</v>
      </c>
    </row>
    <row r="87" spans="1:25" x14ac:dyDescent="0.3">
      <c r="A87" s="240"/>
      <c r="B87" s="238"/>
      <c r="C87" s="40">
        <v>33039</v>
      </c>
      <c r="D87" s="49" t="s">
        <v>88</v>
      </c>
      <c r="E87" s="49" t="s">
        <v>287</v>
      </c>
      <c r="F87" s="49">
        <v>5</v>
      </c>
      <c r="G87" s="51">
        <v>1</v>
      </c>
      <c r="H87" s="51"/>
      <c r="I87" s="5" t="s">
        <v>44</v>
      </c>
      <c r="J87" s="5"/>
      <c r="K87" s="108"/>
      <c r="S87" s="117"/>
      <c r="T87" s="166"/>
      <c r="U87" s="166"/>
      <c r="V87" s="166"/>
      <c r="W87" s="166"/>
      <c r="X87" s="126"/>
      <c r="Y87" s="125"/>
    </row>
    <row r="88" spans="1:25" ht="15" thickBot="1" x14ac:dyDescent="0.35">
      <c r="A88" s="240"/>
      <c r="B88" s="238"/>
      <c r="C88" s="58"/>
      <c r="D88" s="79"/>
      <c r="E88" s="79"/>
      <c r="F88" s="79" t="s">
        <v>215</v>
      </c>
      <c r="G88" s="81" t="s">
        <v>171</v>
      </c>
      <c r="H88" s="81"/>
      <c r="I88" s="8"/>
      <c r="J88" s="5"/>
      <c r="K88" s="108"/>
      <c r="S88" s="117"/>
      <c r="T88" s="166"/>
      <c r="U88" s="166"/>
      <c r="V88" s="166"/>
      <c r="W88" s="166"/>
      <c r="X88" s="126"/>
      <c r="Y88" s="125"/>
    </row>
    <row r="89" spans="1:25" x14ac:dyDescent="0.3">
      <c r="A89" s="240"/>
      <c r="B89" s="238"/>
      <c r="C89" s="40">
        <v>33043</v>
      </c>
      <c r="D89" s="49" t="s">
        <v>88</v>
      </c>
      <c r="E89" s="49" t="s">
        <v>117</v>
      </c>
      <c r="F89" s="49">
        <v>1</v>
      </c>
      <c r="G89" s="51">
        <v>1</v>
      </c>
      <c r="H89" s="51"/>
      <c r="I89" s="5" t="s">
        <v>44</v>
      </c>
      <c r="J89" s="5"/>
      <c r="K89" s="108"/>
      <c r="S89" s="117"/>
      <c r="T89" s="166"/>
      <c r="U89" s="166"/>
      <c r="V89" s="166"/>
      <c r="W89" s="166"/>
      <c r="X89" s="166"/>
      <c r="Y89" s="118"/>
    </row>
    <row r="90" spans="1:25" ht="15" thickBot="1" x14ac:dyDescent="0.35">
      <c r="A90" s="240"/>
      <c r="B90" s="238"/>
      <c r="C90" s="58"/>
      <c r="D90" s="79"/>
      <c r="E90" s="79"/>
      <c r="F90" s="79" t="s">
        <v>170</v>
      </c>
      <c r="G90" s="81" t="s">
        <v>171</v>
      </c>
      <c r="H90" s="81"/>
      <c r="I90" s="8"/>
      <c r="J90" s="5"/>
      <c r="K90" s="108"/>
      <c r="S90" s="117"/>
      <c r="T90" s="166"/>
      <c r="U90" s="166"/>
      <c r="V90" s="166"/>
      <c r="W90" s="166"/>
      <c r="X90" s="126"/>
      <c r="Y90" s="125"/>
    </row>
    <row r="91" spans="1:25" x14ac:dyDescent="0.3">
      <c r="A91" s="240"/>
      <c r="B91" s="17"/>
      <c r="C91" s="40">
        <v>33043</v>
      </c>
      <c r="D91" s="43" t="s">
        <v>8</v>
      </c>
      <c r="E91" s="43" t="s">
        <v>287</v>
      </c>
      <c r="F91" s="49">
        <v>4</v>
      </c>
      <c r="G91" s="51">
        <v>1</v>
      </c>
      <c r="H91" s="51"/>
      <c r="I91" s="5" t="s">
        <v>42</v>
      </c>
      <c r="J91" s="5"/>
      <c r="K91" s="108"/>
      <c r="S91" s="117"/>
      <c r="T91" s="166"/>
      <c r="U91" s="166"/>
      <c r="V91" s="166"/>
      <c r="W91" s="166"/>
      <c r="X91" s="126"/>
      <c r="Y91" s="125"/>
    </row>
    <row r="92" spans="1:25" x14ac:dyDescent="0.3">
      <c r="A92" s="156"/>
      <c r="B92" s="17"/>
      <c r="C92" s="17"/>
      <c r="D92" s="43"/>
      <c r="E92" s="43"/>
      <c r="F92" s="49" t="s">
        <v>215</v>
      </c>
      <c r="G92" s="51" t="s">
        <v>183</v>
      </c>
      <c r="H92" s="51"/>
      <c r="I92" s="5"/>
      <c r="J92" s="5"/>
      <c r="K92" s="108"/>
      <c r="S92" s="117"/>
      <c r="T92" s="166"/>
      <c r="U92" s="166"/>
      <c r="V92" s="166"/>
      <c r="W92" s="166"/>
      <c r="X92" s="126"/>
      <c r="Y92" s="125"/>
    </row>
    <row r="93" spans="1:25" x14ac:dyDescent="0.3">
      <c r="A93" s="156"/>
      <c r="B93" s="17"/>
      <c r="C93" s="17"/>
      <c r="D93" s="17"/>
      <c r="E93" s="17"/>
      <c r="F93" s="238"/>
      <c r="G93" s="5"/>
      <c r="H93" s="5"/>
      <c r="I93" s="5"/>
      <c r="J93" s="5"/>
      <c r="K93" s="108"/>
      <c r="S93" s="117"/>
      <c r="T93" s="166"/>
      <c r="U93" s="166"/>
      <c r="V93" s="166"/>
      <c r="W93" s="166"/>
      <c r="X93" s="126"/>
      <c r="Y93" s="125"/>
    </row>
    <row r="94" spans="1:25" x14ac:dyDescent="0.3">
      <c r="A94" s="156"/>
      <c r="B94" s="17"/>
      <c r="C94" s="17"/>
      <c r="D94" s="17"/>
      <c r="E94" s="17"/>
      <c r="F94" s="238"/>
      <c r="G94" s="5"/>
      <c r="H94" s="5"/>
      <c r="I94" s="5"/>
      <c r="J94" s="5"/>
      <c r="K94" s="108"/>
      <c r="S94" s="117"/>
      <c r="T94" s="166"/>
      <c r="U94" s="166"/>
      <c r="V94" s="166"/>
      <c r="W94" s="166"/>
      <c r="X94" s="126"/>
      <c r="Y94" s="125"/>
    </row>
    <row r="95" spans="1:25" ht="15" thickBot="1" x14ac:dyDescent="0.35">
      <c r="A95" s="240"/>
      <c r="B95" s="238" t="s">
        <v>298</v>
      </c>
      <c r="C95" s="238" t="s">
        <v>12</v>
      </c>
      <c r="D95" s="238" t="s">
        <v>13</v>
      </c>
      <c r="E95" s="238" t="s">
        <v>14</v>
      </c>
      <c r="F95" s="238" t="s">
        <v>15</v>
      </c>
      <c r="G95" s="5" t="s">
        <v>24</v>
      </c>
      <c r="H95" s="5" t="s">
        <v>25</v>
      </c>
      <c r="I95" s="5" t="s">
        <v>26</v>
      </c>
      <c r="J95" s="5" t="s">
        <v>27</v>
      </c>
      <c r="K95" s="108"/>
      <c r="S95" s="117"/>
      <c r="T95" s="166"/>
      <c r="U95" s="166"/>
      <c r="V95" s="166"/>
      <c r="W95" s="166"/>
      <c r="X95" s="166"/>
      <c r="Y95" s="118"/>
    </row>
    <row r="96" spans="1:25" x14ac:dyDescent="0.3">
      <c r="A96" s="240"/>
      <c r="B96" s="14" t="s">
        <v>88</v>
      </c>
      <c r="C96" s="241">
        <f>COUNTIF($S$81:$T$86,"BRD")</f>
        <v>3</v>
      </c>
      <c r="D96" s="124">
        <f>SUMPRODUCT(($S$81:$T$86=B96)*($X$81:$Y$86=3))</f>
        <v>2</v>
      </c>
      <c r="E96" s="124">
        <f>SUMPRODUCT(($S$81:$T$86=B96)*($X$81:$Y$86=1))</f>
        <v>1</v>
      </c>
      <c r="F96" s="124">
        <f>SUMPRODUCT(($S$81:$T$86=B96)*($X$81:$Y$86=2))</f>
        <v>0</v>
      </c>
      <c r="G96" s="124">
        <f>SUMPRODUCT(($S$81:$S$86=B96)*($U$81:$U$86))+SUMPRODUCT(($T$81:$T$86=B96)*($V$81:$V$86))</f>
        <v>10</v>
      </c>
      <c r="H96" s="124">
        <f>SUMPRODUCT(($S$81:$S$86=B96)*($V$81:$V$86))+SUMPRODUCT(($T$81:$T$86=B96)*($U$81:$U$86))</f>
        <v>3</v>
      </c>
      <c r="I96" s="15">
        <f>(D96*2)+E96</f>
        <v>5</v>
      </c>
      <c r="J96" s="16">
        <f>(F96*2)+E96</f>
        <v>1</v>
      </c>
      <c r="K96" s="108"/>
      <c r="S96" s="117"/>
      <c r="T96" s="166"/>
      <c r="U96" s="166"/>
      <c r="V96" s="166"/>
      <c r="W96" s="166"/>
      <c r="X96" s="166"/>
      <c r="Y96" s="118"/>
    </row>
    <row r="97" spans="1:25" x14ac:dyDescent="0.3">
      <c r="A97" s="240"/>
      <c r="B97" s="21" t="s">
        <v>8</v>
      </c>
      <c r="C97" s="238">
        <f>COUNTIF($S$81:$T$86,"Jugoslawien")</f>
        <v>3</v>
      </c>
      <c r="D97" s="43">
        <f t="shared" ref="D97:D99" si="33">SUMPRODUCT(($S$81:$T$86=B97)*($X$81:$Y$86=3))</f>
        <v>2</v>
      </c>
      <c r="E97" s="43">
        <f t="shared" ref="E97:E99" si="34">SUMPRODUCT(($S$81:$T$86=B97)*($X$81:$Y$86=1))</f>
        <v>0</v>
      </c>
      <c r="F97" s="43">
        <f t="shared" ref="F97:F99" si="35">SUMPRODUCT(($S$81:$T$86=B97)*($X$81:$Y$86=2))</f>
        <v>1</v>
      </c>
      <c r="G97" s="43">
        <f t="shared" ref="G97:G99" si="36">SUMPRODUCT(($S$81:$S$86=B97)*($U$81:$U$86))+SUMPRODUCT(($T$81:$T$86=B97)*($V$81:$V$86))</f>
        <v>6</v>
      </c>
      <c r="H97" s="43">
        <f t="shared" ref="H97:H99" si="37">SUMPRODUCT(($S$81:$S$86=B97)*($V$81:$V$86))+SUMPRODUCT(($T$81:$T$86=B97)*($U$81:$U$86))</f>
        <v>5</v>
      </c>
      <c r="I97" s="18">
        <f t="shared" ref="I97:I99" si="38">(D97*2)+E97</f>
        <v>4</v>
      </c>
      <c r="J97" s="22">
        <f t="shared" ref="J97:J99" si="39">(F97*2)+E97</f>
        <v>2</v>
      </c>
      <c r="K97" s="108"/>
      <c r="S97" s="117"/>
      <c r="T97" s="166"/>
      <c r="U97" s="166"/>
      <c r="V97" s="166"/>
      <c r="W97" s="166"/>
      <c r="X97" s="166"/>
      <c r="Y97" s="118"/>
    </row>
    <row r="98" spans="1:25" x14ac:dyDescent="0.3">
      <c r="A98" s="240"/>
      <c r="B98" s="3" t="s">
        <v>117</v>
      </c>
      <c r="C98" s="238">
        <f>COUNTIF($S$81:$T$86,"Kolumbien")</f>
        <v>3</v>
      </c>
      <c r="D98" s="43">
        <f t="shared" si="33"/>
        <v>1</v>
      </c>
      <c r="E98" s="43">
        <f t="shared" si="34"/>
        <v>1</v>
      </c>
      <c r="F98" s="43">
        <f t="shared" si="35"/>
        <v>1</v>
      </c>
      <c r="G98" s="43">
        <f t="shared" si="36"/>
        <v>3</v>
      </c>
      <c r="H98" s="43">
        <f t="shared" si="37"/>
        <v>2</v>
      </c>
      <c r="I98" s="18">
        <f t="shared" si="38"/>
        <v>3</v>
      </c>
      <c r="J98" s="22">
        <f t="shared" si="39"/>
        <v>3</v>
      </c>
      <c r="K98" s="108"/>
      <c r="S98" s="117"/>
      <c r="T98" s="166"/>
      <c r="U98" s="166"/>
      <c r="V98" s="166"/>
      <c r="W98" s="166"/>
      <c r="X98" s="126"/>
      <c r="Y98" s="125"/>
    </row>
    <row r="99" spans="1:25" ht="15" thickBot="1" x14ac:dyDescent="0.35">
      <c r="A99" s="240"/>
      <c r="B99" s="7" t="s">
        <v>287</v>
      </c>
      <c r="C99" s="242">
        <f>COUNTIF($S$81:$T$86,"VAE")</f>
        <v>3</v>
      </c>
      <c r="D99" s="80">
        <f t="shared" si="33"/>
        <v>0</v>
      </c>
      <c r="E99" s="80">
        <f t="shared" si="34"/>
        <v>0</v>
      </c>
      <c r="F99" s="80">
        <f t="shared" si="35"/>
        <v>3</v>
      </c>
      <c r="G99" s="80">
        <f t="shared" si="36"/>
        <v>2</v>
      </c>
      <c r="H99" s="80">
        <f t="shared" si="37"/>
        <v>11</v>
      </c>
      <c r="I99" s="31">
        <f t="shared" si="38"/>
        <v>0</v>
      </c>
      <c r="J99" s="32">
        <f t="shared" si="39"/>
        <v>6</v>
      </c>
      <c r="K99" s="108"/>
      <c r="S99" s="117"/>
      <c r="T99" s="166"/>
      <c r="U99" s="166"/>
      <c r="V99" s="166"/>
      <c r="W99" s="166"/>
      <c r="X99" s="126"/>
      <c r="Y99" s="125"/>
    </row>
    <row r="100" spans="1:25" ht="15" thickBot="1" x14ac:dyDescent="0.35">
      <c r="A100" s="240"/>
      <c r="B100" s="238"/>
      <c r="C100" s="238"/>
      <c r="D100" s="238"/>
      <c r="E100" s="238"/>
      <c r="F100" s="238"/>
      <c r="G100" s="5"/>
      <c r="H100" s="5"/>
      <c r="I100" s="5"/>
      <c r="J100" s="5"/>
      <c r="K100" s="193"/>
      <c r="S100" s="117"/>
      <c r="T100" s="166"/>
      <c r="U100" s="166"/>
      <c r="V100" s="166"/>
      <c r="W100" s="166"/>
      <c r="X100" s="126"/>
      <c r="Y100" s="125"/>
    </row>
    <row r="101" spans="1:25" ht="15" thickTop="1" x14ac:dyDescent="0.3">
      <c r="A101" s="106"/>
      <c r="B101" s="25"/>
      <c r="C101" s="25"/>
      <c r="D101" s="25"/>
      <c r="E101" s="25"/>
      <c r="F101" s="25"/>
      <c r="G101" s="26"/>
      <c r="H101" s="26"/>
      <c r="I101" s="26"/>
      <c r="J101" s="26"/>
      <c r="K101" s="108"/>
      <c r="S101" s="117"/>
      <c r="T101" s="166"/>
      <c r="U101" s="166"/>
      <c r="V101" s="166"/>
      <c r="W101" s="166"/>
      <c r="X101" s="126"/>
      <c r="Y101" s="125"/>
    </row>
    <row r="102" spans="1:25" ht="21" x14ac:dyDescent="0.4">
      <c r="A102" s="240"/>
      <c r="B102" s="238"/>
      <c r="C102" s="238"/>
      <c r="D102" s="238"/>
      <c r="E102" s="238"/>
      <c r="F102" s="237" t="s">
        <v>246</v>
      </c>
      <c r="G102" s="5"/>
      <c r="H102" s="5"/>
      <c r="I102" s="5"/>
      <c r="J102" s="5"/>
      <c r="K102" s="108"/>
      <c r="S102" s="117"/>
      <c r="T102" s="166"/>
      <c r="U102" s="166"/>
      <c r="V102" s="166"/>
      <c r="W102" s="166"/>
      <c r="X102" s="126"/>
      <c r="Y102" s="125"/>
    </row>
    <row r="103" spans="1:25" x14ac:dyDescent="0.3">
      <c r="A103" s="240"/>
      <c r="B103" s="238"/>
      <c r="C103" s="238"/>
      <c r="D103" s="238"/>
      <c r="E103" s="238"/>
      <c r="F103" s="28"/>
      <c r="G103" s="5"/>
      <c r="H103" s="5"/>
      <c r="I103" s="5"/>
      <c r="J103" s="5"/>
      <c r="K103" s="108"/>
      <c r="S103" s="117"/>
      <c r="T103" s="166"/>
      <c r="U103" s="166"/>
      <c r="V103" s="166"/>
      <c r="W103" s="166"/>
      <c r="X103" s="126"/>
      <c r="Y103" s="125"/>
    </row>
    <row r="104" spans="1:25" x14ac:dyDescent="0.3">
      <c r="A104" s="240"/>
      <c r="B104" s="238"/>
      <c r="C104" s="40">
        <v>33036</v>
      </c>
      <c r="D104" s="49" t="s">
        <v>21</v>
      </c>
      <c r="E104" s="49" t="s">
        <v>90</v>
      </c>
      <c r="F104" s="49">
        <v>2</v>
      </c>
      <c r="G104" s="51">
        <v>0</v>
      </c>
      <c r="H104" s="5"/>
      <c r="I104" s="5" t="s">
        <v>288</v>
      </c>
      <c r="J104" s="5"/>
      <c r="K104" s="108"/>
      <c r="S104" s="117" t="s">
        <v>21</v>
      </c>
      <c r="T104" s="166" t="s">
        <v>90</v>
      </c>
      <c r="U104" s="166">
        <v>2</v>
      </c>
      <c r="V104" s="166">
        <v>0</v>
      </c>
      <c r="W104" s="166"/>
      <c r="X104" s="126">
        <f t="shared" ref="X104:X109" si="40">(IF(U104&gt;V104,3,IF(U104=V104,1,2)))</f>
        <v>3</v>
      </c>
      <c r="Y104" s="125">
        <f t="shared" ref="Y104:Y109" si="41">(IF(V104&gt;U104,3,IF(U104=V104,1,2)))</f>
        <v>2</v>
      </c>
    </row>
    <row r="105" spans="1:25" ht="15" thickBot="1" x14ac:dyDescent="0.35">
      <c r="A105" s="240"/>
      <c r="B105" s="238"/>
      <c r="C105" s="58"/>
      <c r="D105" s="79"/>
      <c r="E105" s="79"/>
      <c r="F105" s="79" t="s">
        <v>170</v>
      </c>
      <c r="G105" s="81" t="s">
        <v>171</v>
      </c>
      <c r="H105" s="8"/>
      <c r="I105" s="8"/>
      <c r="J105" s="5"/>
      <c r="K105" s="108"/>
      <c r="S105" s="117" t="s">
        <v>18</v>
      </c>
      <c r="T105" s="166" t="s">
        <v>35</v>
      </c>
      <c r="U105" s="166">
        <v>0</v>
      </c>
      <c r="V105" s="166">
        <v>0</v>
      </c>
      <c r="W105" s="166"/>
      <c r="X105" s="126">
        <f t="shared" si="40"/>
        <v>1</v>
      </c>
      <c r="Y105" s="125">
        <f t="shared" si="41"/>
        <v>1</v>
      </c>
    </row>
    <row r="106" spans="1:25" ht="15" thickBot="1" x14ac:dyDescent="0.35">
      <c r="A106" s="240"/>
      <c r="B106" s="238"/>
      <c r="C106" s="58">
        <v>33037</v>
      </c>
      <c r="D106" s="79" t="s">
        <v>18</v>
      </c>
      <c r="E106" s="79" t="s">
        <v>35</v>
      </c>
      <c r="F106" s="79">
        <v>0</v>
      </c>
      <c r="G106" s="81">
        <v>0</v>
      </c>
      <c r="H106" s="8"/>
      <c r="I106" s="8" t="s">
        <v>289</v>
      </c>
      <c r="J106" s="5"/>
      <c r="K106" s="108"/>
      <c r="S106" s="117" t="s">
        <v>21</v>
      </c>
      <c r="T106" s="166" t="s">
        <v>18</v>
      </c>
      <c r="U106" s="166">
        <v>3</v>
      </c>
      <c r="V106" s="166">
        <v>1</v>
      </c>
      <c r="W106" s="166"/>
      <c r="X106" s="126">
        <f t="shared" si="40"/>
        <v>3</v>
      </c>
      <c r="Y106" s="125">
        <f t="shared" si="41"/>
        <v>2</v>
      </c>
    </row>
    <row r="107" spans="1:25" x14ac:dyDescent="0.3">
      <c r="A107" s="240"/>
      <c r="B107" s="238"/>
      <c r="C107" s="40">
        <v>33041</v>
      </c>
      <c r="D107" s="49" t="s">
        <v>21</v>
      </c>
      <c r="E107" s="49" t="s">
        <v>18</v>
      </c>
      <c r="F107" s="49">
        <v>3</v>
      </c>
      <c r="G107" s="51">
        <v>1</v>
      </c>
      <c r="H107" s="5"/>
      <c r="I107" s="5" t="s">
        <v>288</v>
      </c>
      <c r="J107" s="5"/>
      <c r="K107" s="108"/>
      <c r="S107" s="117" t="s">
        <v>90</v>
      </c>
      <c r="T107" s="166" t="s">
        <v>35</v>
      </c>
      <c r="U107" s="166">
        <v>1</v>
      </c>
      <c r="V107" s="166">
        <v>3</v>
      </c>
      <c r="W107" s="166"/>
      <c r="X107" s="126">
        <f t="shared" si="40"/>
        <v>2</v>
      </c>
      <c r="Y107" s="125">
        <f t="shared" si="41"/>
        <v>3</v>
      </c>
    </row>
    <row r="108" spans="1:25" ht="15" thickBot="1" x14ac:dyDescent="0.35">
      <c r="A108" s="240"/>
      <c r="B108" s="238"/>
      <c r="C108" s="58"/>
      <c r="D108" s="79"/>
      <c r="E108" s="79"/>
      <c r="F108" s="79" t="s">
        <v>215</v>
      </c>
      <c r="G108" s="81" t="s">
        <v>171</v>
      </c>
      <c r="H108" s="8"/>
      <c r="I108" s="8"/>
      <c r="J108" s="5"/>
      <c r="K108" s="108"/>
      <c r="S108" s="117" t="s">
        <v>21</v>
      </c>
      <c r="T108" s="166" t="s">
        <v>35</v>
      </c>
      <c r="U108" s="166">
        <v>1</v>
      </c>
      <c r="V108" s="166">
        <v>2</v>
      </c>
      <c r="W108" s="166"/>
      <c r="X108" s="126">
        <f t="shared" si="40"/>
        <v>2</v>
      </c>
      <c r="Y108" s="125">
        <f t="shared" si="41"/>
        <v>3</v>
      </c>
    </row>
    <row r="109" spans="1:25" x14ac:dyDescent="0.3">
      <c r="A109" s="240"/>
      <c r="B109" s="238"/>
      <c r="C109" s="40">
        <v>33041</v>
      </c>
      <c r="D109" s="49" t="s">
        <v>90</v>
      </c>
      <c r="E109" s="49" t="s">
        <v>35</v>
      </c>
      <c r="F109" s="49">
        <v>1</v>
      </c>
      <c r="G109" s="51">
        <v>3</v>
      </c>
      <c r="H109" s="5"/>
      <c r="I109" s="5" t="s">
        <v>289</v>
      </c>
      <c r="J109" s="5"/>
      <c r="K109" s="108"/>
      <c r="S109" s="117" t="s">
        <v>90</v>
      </c>
      <c r="T109" s="166" t="s">
        <v>18</v>
      </c>
      <c r="U109" s="166">
        <v>0</v>
      </c>
      <c r="V109" s="166">
        <v>1</v>
      </c>
      <c r="W109" s="166"/>
      <c r="X109" s="126">
        <f t="shared" si="40"/>
        <v>2</v>
      </c>
      <c r="Y109" s="125">
        <f t="shared" si="41"/>
        <v>3</v>
      </c>
    </row>
    <row r="110" spans="1:25" ht="15" thickBot="1" x14ac:dyDescent="0.35">
      <c r="A110" s="240"/>
      <c r="B110" s="238"/>
      <c r="C110" s="58"/>
      <c r="D110" s="79"/>
      <c r="E110" s="79"/>
      <c r="F110" s="79" t="s">
        <v>172</v>
      </c>
      <c r="G110" s="81" t="s">
        <v>183</v>
      </c>
      <c r="H110" s="8"/>
      <c r="I110" s="8"/>
      <c r="J110" s="5"/>
      <c r="K110" s="108"/>
      <c r="S110" s="117"/>
      <c r="T110" s="166"/>
      <c r="U110" s="166"/>
      <c r="V110" s="166"/>
      <c r="W110" s="166"/>
      <c r="X110" s="126"/>
      <c r="Y110" s="125"/>
    </row>
    <row r="111" spans="1:25" x14ac:dyDescent="0.3">
      <c r="A111" s="240"/>
      <c r="B111" s="238"/>
      <c r="C111" s="40">
        <v>33045</v>
      </c>
      <c r="D111" s="49" t="s">
        <v>21</v>
      </c>
      <c r="E111" s="49" t="s">
        <v>35</v>
      </c>
      <c r="F111" s="49">
        <v>1</v>
      </c>
      <c r="G111" s="51">
        <v>2</v>
      </c>
      <c r="H111" s="5"/>
      <c r="I111" s="5" t="s">
        <v>288</v>
      </c>
      <c r="J111" s="5"/>
      <c r="K111" s="108"/>
      <c r="S111" s="117"/>
      <c r="T111" s="166"/>
      <c r="U111" s="166"/>
      <c r="V111" s="166"/>
      <c r="W111" s="166"/>
      <c r="X111" s="126"/>
      <c r="Y111" s="125"/>
    </row>
    <row r="112" spans="1:25" ht="15" thickBot="1" x14ac:dyDescent="0.35">
      <c r="A112" s="240"/>
      <c r="B112" s="238"/>
      <c r="C112" s="58"/>
      <c r="D112" s="79"/>
      <c r="E112" s="79"/>
      <c r="F112" s="79" t="s">
        <v>172</v>
      </c>
      <c r="G112" s="81" t="s">
        <v>173</v>
      </c>
      <c r="H112" s="8"/>
      <c r="I112" s="8"/>
      <c r="J112" s="5"/>
      <c r="K112" s="108"/>
      <c r="S112" s="117"/>
      <c r="T112" s="166"/>
      <c r="U112" s="166"/>
      <c r="V112" s="166"/>
      <c r="W112" s="166"/>
      <c r="X112" s="126"/>
      <c r="Y112" s="125"/>
    </row>
    <row r="113" spans="1:25" x14ac:dyDescent="0.3">
      <c r="A113" s="240"/>
      <c r="B113" s="17"/>
      <c r="C113" s="40">
        <v>33045</v>
      </c>
      <c r="D113" s="43" t="s">
        <v>90</v>
      </c>
      <c r="E113" s="43" t="s">
        <v>18</v>
      </c>
      <c r="F113" s="49">
        <v>0</v>
      </c>
      <c r="G113" s="51">
        <v>1</v>
      </c>
      <c r="H113" s="5"/>
      <c r="I113" s="5" t="s">
        <v>289</v>
      </c>
      <c r="J113" s="5"/>
      <c r="K113" s="108"/>
      <c r="S113" s="117"/>
      <c r="T113" s="166"/>
      <c r="U113" s="166"/>
      <c r="V113" s="166"/>
      <c r="W113" s="166"/>
      <c r="X113" s="126"/>
      <c r="Y113" s="125"/>
    </row>
    <row r="114" spans="1:25" x14ac:dyDescent="0.3">
      <c r="A114" s="156"/>
      <c r="B114" s="17"/>
      <c r="C114" s="17"/>
      <c r="D114" s="43"/>
      <c r="E114" s="43"/>
      <c r="F114" s="49" t="s">
        <v>170</v>
      </c>
      <c r="G114" s="51" t="s">
        <v>171</v>
      </c>
      <c r="H114" s="5"/>
      <c r="I114" s="5"/>
      <c r="J114" s="5"/>
      <c r="K114" s="108"/>
      <c r="S114" s="117"/>
      <c r="T114" s="166"/>
      <c r="U114" s="166"/>
      <c r="V114" s="166"/>
      <c r="W114" s="166"/>
      <c r="X114" s="126"/>
      <c r="Y114" s="125"/>
    </row>
    <row r="115" spans="1:25" x14ac:dyDescent="0.3">
      <c r="A115" s="156"/>
      <c r="B115" s="17"/>
      <c r="C115" s="17"/>
      <c r="D115" s="17"/>
      <c r="E115" s="17"/>
      <c r="F115" s="238"/>
      <c r="G115" s="5"/>
      <c r="H115" s="5"/>
      <c r="I115" s="5"/>
      <c r="J115" s="5"/>
      <c r="K115" s="108"/>
      <c r="S115" s="117"/>
      <c r="T115" s="166"/>
      <c r="U115" s="166"/>
      <c r="V115" s="166"/>
      <c r="W115" s="166"/>
      <c r="X115" s="126"/>
      <c r="Y115" s="125"/>
    </row>
    <row r="116" spans="1:25" x14ac:dyDescent="0.3">
      <c r="A116" s="156"/>
      <c r="B116" s="17"/>
      <c r="C116" s="17"/>
      <c r="D116" s="17"/>
      <c r="E116" s="17"/>
      <c r="F116" s="238"/>
      <c r="G116" s="5"/>
      <c r="H116" s="5"/>
      <c r="I116" s="5"/>
      <c r="J116" s="5"/>
      <c r="K116" s="108"/>
      <c r="S116" s="117"/>
      <c r="T116" s="166"/>
      <c r="U116" s="166"/>
      <c r="V116" s="166"/>
      <c r="W116" s="166"/>
      <c r="X116" s="126"/>
      <c r="Y116" s="125"/>
    </row>
    <row r="117" spans="1:25" ht="15" thickBot="1" x14ac:dyDescent="0.35">
      <c r="A117" s="240"/>
      <c r="B117" s="238" t="s">
        <v>298</v>
      </c>
      <c r="C117" s="238" t="s">
        <v>12</v>
      </c>
      <c r="D117" s="238" t="s">
        <v>13</v>
      </c>
      <c r="E117" s="238" t="s">
        <v>14</v>
      </c>
      <c r="F117" s="238" t="s">
        <v>15</v>
      </c>
      <c r="G117" s="5" t="s">
        <v>24</v>
      </c>
      <c r="H117" s="5" t="s">
        <v>25</v>
      </c>
      <c r="I117" s="5" t="s">
        <v>26</v>
      </c>
      <c r="J117" s="5" t="s">
        <v>27</v>
      </c>
      <c r="K117" s="108"/>
      <c r="S117" s="117"/>
      <c r="T117" s="166"/>
      <c r="U117" s="166"/>
      <c r="V117" s="166"/>
      <c r="W117" s="166"/>
      <c r="X117" s="166"/>
      <c r="Y117" s="118"/>
    </row>
    <row r="118" spans="1:25" x14ac:dyDescent="0.3">
      <c r="A118" s="240"/>
      <c r="B118" s="14" t="s">
        <v>35</v>
      </c>
      <c r="C118" s="241">
        <f>COUNTIF($S$104:$T$109,"Spanien")</f>
        <v>3</v>
      </c>
      <c r="D118" s="124">
        <f>SUMPRODUCT(($S$104:$T$109=B118)*($X$104:$Y$109=3))</f>
        <v>2</v>
      </c>
      <c r="E118" s="124">
        <f>SUMPRODUCT(($S$104:$T$109=B118)*($X$104:$Y$109=1))</f>
        <v>1</v>
      </c>
      <c r="F118" s="124">
        <f>SUMPRODUCT(($S$104:$T$109=B118)*($X$104:$Y$109=2))</f>
        <v>0</v>
      </c>
      <c r="G118" s="124">
        <f>SUMPRODUCT(($S$104:$S$109=B118)*($U$104:$U$109))+SUMPRODUCT(($T$104:$T$109=B118)*($V$104:$V$109))</f>
        <v>5</v>
      </c>
      <c r="H118" s="124">
        <f>SUMPRODUCT(($S$104:$S$109=B118)*($V$104:$V$109))+SUMPRODUCT(($T$104:$T$109=B118)*($U$104:$U$109))</f>
        <v>2</v>
      </c>
      <c r="I118" s="15">
        <f>(D118*2)+E118</f>
        <v>5</v>
      </c>
      <c r="J118" s="16">
        <f>(F118*2)+E118</f>
        <v>1</v>
      </c>
      <c r="K118" s="108"/>
      <c r="S118" s="117"/>
      <c r="T118" s="166"/>
      <c r="U118" s="166"/>
      <c r="V118" s="166"/>
      <c r="W118" s="166"/>
      <c r="X118" s="166"/>
      <c r="Y118" s="118"/>
    </row>
    <row r="119" spans="1:25" x14ac:dyDescent="0.3">
      <c r="A119" s="240"/>
      <c r="B119" s="21" t="s">
        <v>21</v>
      </c>
      <c r="C119" s="238">
        <f>COUNTIF($S$104:$T$109,"Belgien")</f>
        <v>3</v>
      </c>
      <c r="D119" s="43">
        <f t="shared" ref="D119:D121" si="42">SUMPRODUCT(($S$104:$T$109=B119)*($X$104:$Y$109=3))</f>
        <v>2</v>
      </c>
      <c r="E119" s="43">
        <f t="shared" ref="E119:E121" si="43">SUMPRODUCT(($S$104:$T$109=B119)*($X$104:$Y$109=1))</f>
        <v>0</v>
      </c>
      <c r="F119" s="43">
        <f t="shared" ref="F119:F121" si="44">SUMPRODUCT(($S$104:$T$109=B119)*($X$104:$Y$109=2))</f>
        <v>1</v>
      </c>
      <c r="G119" s="43">
        <f t="shared" ref="G119:G121" si="45">SUMPRODUCT(($S$104:$S$109=B119)*($U$104:$U$109))+SUMPRODUCT(($T$104:$T$109=B119)*($V$104:$V$109))</f>
        <v>6</v>
      </c>
      <c r="H119" s="43">
        <f t="shared" ref="H119:H121" si="46">SUMPRODUCT(($S$104:$S$109=B119)*($V$104:$V$109))+SUMPRODUCT(($T$104:$T$109=B119)*($U$104:$U$109))</f>
        <v>3</v>
      </c>
      <c r="I119" s="18">
        <f t="shared" ref="I119:I121" si="47">(D119*2)+E119</f>
        <v>4</v>
      </c>
      <c r="J119" s="22">
        <f t="shared" ref="J119:J121" si="48">(F119*2)+E119</f>
        <v>2</v>
      </c>
      <c r="K119" s="108"/>
      <c r="S119" s="117"/>
      <c r="T119" s="166"/>
      <c r="U119" s="166"/>
      <c r="V119" s="166"/>
      <c r="W119" s="166"/>
      <c r="X119" s="126"/>
      <c r="Y119" s="125"/>
    </row>
    <row r="120" spans="1:25" x14ac:dyDescent="0.3">
      <c r="A120" s="240"/>
      <c r="B120" s="3" t="s">
        <v>18</v>
      </c>
      <c r="C120" s="238">
        <f>COUNTIF($S$104:$T$109,"Uruguay")</f>
        <v>3</v>
      </c>
      <c r="D120" s="43">
        <f t="shared" si="42"/>
        <v>1</v>
      </c>
      <c r="E120" s="43">
        <f t="shared" si="43"/>
        <v>1</v>
      </c>
      <c r="F120" s="43">
        <f t="shared" si="44"/>
        <v>1</v>
      </c>
      <c r="G120" s="43">
        <f t="shared" si="45"/>
        <v>2</v>
      </c>
      <c r="H120" s="43">
        <f t="shared" si="46"/>
        <v>3</v>
      </c>
      <c r="I120" s="18">
        <f t="shared" si="47"/>
        <v>3</v>
      </c>
      <c r="J120" s="22">
        <f t="shared" si="48"/>
        <v>3</v>
      </c>
      <c r="K120" s="108"/>
      <c r="S120" s="117"/>
      <c r="T120" s="166"/>
      <c r="U120" s="166"/>
      <c r="V120" s="166"/>
      <c r="W120" s="166"/>
      <c r="X120" s="126"/>
      <c r="Y120" s="125"/>
    </row>
    <row r="121" spans="1:25" ht="15" thickBot="1" x14ac:dyDescent="0.35">
      <c r="A121" s="240"/>
      <c r="B121" s="7" t="s">
        <v>90</v>
      </c>
      <c r="C121" s="242">
        <f>COUNTIF($S$104:$T$109,"Südkorea")</f>
        <v>3</v>
      </c>
      <c r="D121" s="80">
        <f t="shared" si="42"/>
        <v>0</v>
      </c>
      <c r="E121" s="80">
        <f t="shared" si="43"/>
        <v>0</v>
      </c>
      <c r="F121" s="80">
        <f t="shared" si="44"/>
        <v>3</v>
      </c>
      <c r="G121" s="80">
        <f t="shared" si="45"/>
        <v>1</v>
      </c>
      <c r="H121" s="80">
        <f t="shared" si="46"/>
        <v>6</v>
      </c>
      <c r="I121" s="31">
        <f t="shared" si="47"/>
        <v>0</v>
      </c>
      <c r="J121" s="32">
        <f t="shared" si="48"/>
        <v>6</v>
      </c>
      <c r="K121" s="108"/>
      <c r="S121" s="117"/>
      <c r="T121" s="166"/>
      <c r="U121" s="166"/>
      <c r="V121" s="166"/>
      <c r="W121" s="166"/>
      <c r="X121" s="126"/>
      <c r="Y121" s="125"/>
    </row>
    <row r="122" spans="1:25" ht="15" thickBot="1" x14ac:dyDescent="0.35">
      <c r="A122" s="110"/>
      <c r="B122" s="36"/>
      <c r="C122" s="36"/>
      <c r="D122" s="36"/>
      <c r="E122" s="36"/>
      <c r="F122" s="36"/>
      <c r="G122" s="37"/>
      <c r="H122" s="37"/>
      <c r="I122" s="37"/>
      <c r="J122" s="37"/>
      <c r="K122" s="193"/>
      <c r="S122" s="117"/>
      <c r="T122" s="166"/>
      <c r="U122" s="166"/>
      <c r="V122" s="166"/>
      <c r="W122" s="166"/>
      <c r="X122" s="126"/>
      <c r="Y122" s="125"/>
    </row>
    <row r="123" spans="1:25" ht="15" thickTop="1" x14ac:dyDescent="0.3">
      <c r="A123" s="106"/>
      <c r="B123" s="25"/>
      <c r="C123" s="25"/>
      <c r="D123" s="25"/>
      <c r="E123" s="25"/>
      <c r="F123" s="25"/>
      <c r="G123" s="26"/>
      <c r="H123" s="26"/>
      <c r="I123" s="26"/>
      <c r="J123" s="26"/>
      <c r="K123" s="108"/>
      <c r="S123" s="117"/>
      <c r="T123" s="166"/>
      <c r="U123" s="166"/>
      <c r="V123" s="166"/>
      <c r="W123" s="166"/>
      <c r="X123" s="126"/>
      <c r="Y123" s="125"/>
    </row>
    <row r="124" spans="1:25" ht="21" x14ac:dyDescent="0.4">
      <c r="A124" s="240"/>
      <c r="B124" s="238"/>
      <c r="C124" s="238"/>
      <c r="D124" s="238"/>
      <c r="E124" s="238"/>
      <c r="F124" s="237" t="s">
        <v>247</v>
      </c>
      <c r="G124" s="5"/>
      <c r="H124" s="5"/>
      <c r="I124" s="5"/>
      <c r="J124" s="5"/>
      <c r="K124" s="108"/>
      <c r="S124" s="117"/>
      <c r="T124" s="166"/>
      <c r="U124" s="166"/>
      <c r="V124" s="166"/>
      <c r="W124" s="166"/>
      <c r="X124" s="126"/>
      <c r="Y124" s="125"/>
    </row>
    <row r="125" spans="1:25" x14ac:dyDescent="0.3">
      <c r="A125" s="240"/>
      <c r="B125" s="238"/>
      <c r="C125" s="238"/>
      <c r="D125" s="238"/>
      <c r="E125" s="238"/>
      <c r="F125" s="28"/>
      <c r="G125" s="5"/>
      <c r="H125" s="5"/>
      <c r="I125" s="5"/>
      <c r="J125" s="5"/>
      <c r="K125" s="108"/>
      <c r="S125" s="117"/>
      <c r="T125" s="166"/>
      <c r="U125" s="166"/>
      <c r="V125" s="166"/>
      <c r="W125" s="166"/>
      <c r="X125" s="126"/>
      <c r="Y125" s="125"/>
    </row>
    <row r="126" spans="1:25" x14ac:dyDescent="0.3">
      <c r="A126" s="240"/>
      <c r="B126" s="238"/>
      <c r="C126" s="40">
        <v>33035</v>
      </c>
      <c r="D126" s="49" t="s">
        <v>74</v>
      </c>
      <c r="E126" s="49" t="s">
        <v>290</v>
      </c>
      <c r="F126" s="49">
        <v>1</v>
      </c>
      <c r="G126" s="51">
        <v>1</v>
      </c>
      <c r="H126" s="51"/>
      <c r="I126" s="5" t="s">
        <v>291</v>
      </c>
      <c r="J126" s="5"/>
      <c r="K126" s="108"/>
      <c r="S126" s="117" t="s">
        <v>74</v>
      </c>
      <c r="T126" s="166" t="s">
        <v>290</v>
      </c>
      <c r="U126" s="166">
        <v>1</v>
      </c>
      <c r="V126" s="166">
        <v>1</v>
      </c>
      <c r="W126" s="166"/>
      <c r="X126" s="126">
        <f t="shared" ref="X126:X131" si="49">(IF(U126&gt;V126,3,IF(U126=V126,1,2)))</f>
        <v>1</v>
      </c>
      <c r="Y126" s="125">
        <f t="shared" ref="Y126:Y131" si="50">(IF(V126&gt;U126,3,IF(U126=V126,1,2)))</f>
        <v>1</v>
      </c>
    </row>
    <row r="127" spans="1:25" ht="15" thickBot="1" x14ac:dyDescent="0.35">
      <c r="A127" s="240"/>
      <c r="B127" s="238"/>
      <c r="C127" s="58"/>
      <c r="D127" s="79"/>
      <c r="E127" s="79"/>
      <c r="F127" s="79" t="s">
        <v>172</v>
      </c>
      <c r="G127" s="81" t="s">
        <v>171</v>
      </c>
      <c r="H127" s="81"/>
      <c r="I127" s="8"/>
      <c r="J127" s="5"/>
      <c r="K127" s="108"/>
      <c r="S127" s="117" t="s">
        <v>63</v>
      </c>
      <c r="T127" s="166" t="s">
        <v>33</v>
      </c>
      <c r="U127" s="166">
        <v>1</v>
      </c>
      <c r="V127" s="166">
        <v>1</v>
      </c>
      <c r="W127" s="166"/>
      <c r="X127" s="126">
        <f t="shared" si="49"/>
        <v>1</v>
      </c>
      <c r="Y127" s="125">
        <f t="shared" si="50"/>
        <v>1</v>
      </c>
    </row>
    <row r="128" spans="1:25" x14ac:dyDescent="0.3">
      <c r="A128" s="240"/>
      <c r="B128" s="238"/>
      <c r="C128" s="40">
        <v>33036</v>
      </c>
      <c r="D128" s="49" t="s">
        <v>63</v>
      </c>
      <c r="E128" s="49" t="s">
        <v>33</v>
      </c>
      <c r="F128" s="49">
        <v>1</v>
      </c>
      <c r="G128" s="51">
        <v>1</v>
      </c>
      <c r="H128" s="51"/>
      <c r="I128" s="5" t="s">
        <v>292</v>
      </c>
      <c r="J128" s="5"/>
      <c r="K128" s="108"/>
      <c r="S128" s="117" t="s">
        <v>74</v>
      </c>
      <c r="T128" s="166" t="s">
        <v>63</v>
      </c>
      <c r="U128" s="166">
        <v>0</v>
      </c>
      <c r="V128" s="166">
        <v>0</v>
      </c>
      <c r="W128" s="166"/>
      <c r="X128" s="126">
        <f t="shared" si="49"/>
        <v>1</v>
      </c>
      <c r="Y128" s="125">
        <f t="shared" si="50"/>
        <v>1</v>
      </c>
    </row>
    <row r="129" spans="1:25" ht="15" thickBot="1" x14ac:dyDescent="0.35">
      <c r="A129" s="240"/>
      <c r="B129" s="238"/>
      <c r="C129" s="58"/>
      <c r="D129" s="79"/>
      <c r="E129" s="79"/>
      <c r="F129" s="79" t="s">
        <v>170</v>
      </c>
      <c r="G129" s="81" t="s">
        <v>171</v>
      </c>
      <c r="H129" s="81"/>
      <c r="I129" s="8"/>
      <c r="J129" s="5"/>
      <c r="K129" s="108"/>
      <c r="S129" s="117" t="s">
        <v>290</v>
      </c>
      <c r="T129" s="166" t="s">
        <v>33</v>
      </c>
      <c r="U129" s="166">
        <v>0</v>
      </c>
      <c r="V129" s="166">
        <v>0</v>
      </c>
      <c r="W129" s="166"/>
      <c r="X129" s="126">
        <f t="shared" si="49"/>
        <v>1</v>
      </c>
      <c r="Y129" s="125">
        <f t="shared" si="50"/>
        <v>1</v>
      </c>
    </row>
    <row r="130" spans="1:25" ht="15" thickBot="1" x14ac:dyDescent="0.35">
      <c r="A130" s="240"/>
      <c r="B130" s="238"/>
      <c r="C130" s="58">
        <v>33040</v>
      </c>
      <c r="D130" s="79" t="s">
        <v>74</v>
      </c>
      <c r="E130" s="79" t="s">
        <v>63</v>
      </c>
      <c r="F130" s="79">
        <v>0</v>
      </c>
      <c r="G130" s="81">
        <v>0</v>
      </c>
      <c r="H130" s="81"/>
      <c r="I130" s="8" t="s">
        <v>291</v>
      </c>
      <c r="J130" s="5"/>
      <c r="K130" s="108"/>
      <c r="S130" s="117" t="s">
        <v>74</v>
      </c>
      <c r="T130" s="166" t="s">
        <v>33</v>
      </c>
      <c r="U130" s="166">
        <v>1</v>
      </c>
      <c r="V130" s="166">
        <v>0</v>
      </c>
      <c r="W130" s="166"/>
      <c r="X130" s="126">
        <f t="shared" si="49"/>
        <v>3</v>
      </c>
      <c r="Y130" s="125">
        <f t="shared" si="50"/>
        <v>2</v>
      </c>
    </row>
    <row r="131" spans="1:25" ht="15" thickBot="1" x14ac:dyDescent="0.35">
      <c r="A131" s="240"/>
      <c r="B131" s="238"/>
      <c r="C131" s="58">
        <v>33041</v>
      </c>
      <c r="D131" s="79" t="s">
        <v>290</v>
      </c>
      <c r="E131" s="79" t="s">
        <v>33</v>
      </c>
      <c r="F131" s="79">
        <v>0</v>
      </c>
      <c r="G131" s="81">
        <v>0</v>
      </c>
      <c r="H131" s="81"/>
      <c r="I131" s="8" t="s">
        <v>292</v>
      </c>
      <c r="J131" s="5"/>
      <c r="K131" s="108"/>
      <c r="S131" s="117" t="s">
        <v>290</v>
      </c>
      <c r="T131" s="166" t="s">
        <v>63</v>
      </c>
      <c r="U131" s="166">
        <v>1</v>
      </c>
      <c r="V131" s="166">
        <v>1</v>
      </c>
      <c r="W131" s="166"/>
      <c r="X131" s="126">
        <f t="shared" si="49"/>
        <v>1</v>
      </c>
      <c r="Y131" s="125">
        <f t="shared" si="50"/>
        <v>1</v>
      </c>
    </row>
    <row r="132" spans="1:25" x14ac:dyDescent="0.3">
      <c r="A132" s="240"/>
      <c r="B132" s="238"/>
      <c r="C132" s="40">
        <v>33045</v>
      </c>
      <c r="D132" s="49" t="s">
        <v>74</v>
      </c>
      <c r="E132" s="49" t="s">
        <v>33</v>
      </c>
      <c r="F132" s="49">
        <v>1</v>
      </c>
      <c r="G132" s="51">
        <v>0</v>
      </c>
      <c r="H132" s="51"/>
      <c r="I132" s="5" t="s">
        <v>291</v>
      </c>
      <c r="J132" s="5"/>
      <c r="K132" s="108"/>
      <c r="S132" s="117"/>
      <c r="T132" s="166"/>
      <c r="U132" s="166"/>
      <c r="V132" s="166"/>
      <c r="W132" s="166"/>
      <c r="X132" s="126"/>
      <c r="Y132" s="125"/>
    </row>
    <row r="133" spans="1:25" ht="15" thickBot="1" x14ac:dyDescent="0.35">
      <c r="A133" s="240"/>
      <c r="B133" s="238"/>
      <c r="C133" s="58"/>
      <c r="D133" s="79"/>
      <c r="E133" s="79"/>
      <c r="F133" s="79" t="s">
        <v>170</v>
      </c>
      <c r="G133" s="81" t="s">
        <v>171</v>
      </c>
      <c r="H133" s="81"/>
      <c r="I133" s="8"/>
      <c r="J133" s="5"/>
      <c r="K133" s="108"/>
      <c r="S133" s="117"/>
      <c r="T133" s="166"/>
      <c r="U133" s="166"/>
      <c r="V133" s="166"/>
      <c r="W133" s="166"/>
      <c r="X133" s="126"/>
      <c r="Y133" s="125"/>
    </row>
    <row r="134" spans="1:25" x14ac:dyDescent="0.3">
      <c r="A134" s="240"/>
      <c r="B134" s="17"/>
      <c r="C134" s="40">
        <v>33045</v>
      </c>
      <c r="D134" s="43" t="s">
        <v>290</v>
      </c>
      <c r="E134" s="43" t="s">
        <v>63</v>
      </c>
      <c r="F134" s="49">
        <v>1</v>
      </c>
      <c r="G134" s="51">
        <v>1</v>
      </c>
      <c r="H134" s="51"/>
      <c r="I134" s="5" t="s">
        <v>292</v>
      </c>
      <c r="J134" s="5"/>
      <c r="K134" s="108"/>
      <c r="S134" s="117"/>
      <c r="T134" s="166"/>
      <c r="U134" s="166"/>
      <c r="V134" s="166"/>
      <c r="W134" s="166"/>
      <c r="X134" s="126"/>
      <c r="Y134" s="125"/>
    </row>
    <row r="135" spans="1:25" x14ac:dyDescent="0.3">
      <c r="A135" s="156"/>
      <c r="B135" s="17"/>
      <c r="C135" s="17"/>
      <c r="D135" s="43"/>
      <c r="E135" s="43"/>
      <c r="F135" s="49" t="s">
        <v>170</v>
      </c>
      <c r="G135" s="51" t="s">
        <v>183</v>
      </c>
      <c r="H135" s="51"/>
      <c r="I135" s="5"/>
      <c r="J135" s="5"/>
      <c r="K135" s="108"/>
      <c r="S135" s="117"/>
      <c r="T135" s="166"/>
      <c r="U135" s="166"/>
      <c r="V135" s="166"/>
      <c r="W135" s="166"/>
      <c r="X135" s="126"/>
      <c r="Y135" s="125"/>
    </row>
    <row r="136" spans="1:25" x14ac:dyDescent="0.3">
      <c r="A136" s="156"/>
      <c r="B136" s="17"/>
      <c r="C136" s="17"/>
      <c r="D136" s="17"/>
      <c r="E136" s="17"/>
      <c r="F136" s="238"/>
      <c r="G136" s="5"/>
      <c r="H136" s="5"/>
      <c r="I136" s="5"/>
      <c r="J136" s="5"/>
      <c r="K136" s="108"/>
      <c r="S136" s="117"/>
      <c r="T136" s="166"/>
      <c r="U136" s="166"/>
      <c r="V136" s="166"/>
      <c r="W136" s="166"/>
      <c r="X136" s="126"/>
      <c r="Y136" s="125"/>
    </row>
    <row r="137" spans="1:25" ht="15" thickBot="1" x14ac:dyDescent="0.35">
      <c r="A137" s="240"/>
      <c r="B137" s="238" t="s">
        <v>298</v>
      </c>
      <c r="C137" s="238" t="s">
        <v>12</v>
      </c>
      <c r="D137" s="238" t="s">
        <v>13</v>
      </c>
      <c r="E137" s="238" t="s">
        <v>14</v>
      </c>
      <c r="F137" s="238" t="s">
        <v>15</v>
      </c>
      <c r="G137" s="5" t="s">
        <v>24</v>
      </c>
      <c r="H137" s="5" t="s">
        <v>25</v>
      </c>
      <c r="I137" s="5" t="s">
        <v>26</v>
      </c>
      <c r="J137" s="5" t="s">
        <v>27</v>
      </c>
      <c r="K137" s="108"/>
      <c r="S137" s="117"/>
      <c r="T137" s="166"/>
      <c r="U137" s="166"/>
      <c r="V137" s="166"/>
      <c r="W137" s="166"/>
      <c r="X137" s="126"/>
      <c r="Y137" s="125"/>
    </row>
    <row r="138" spans="1:25" x14ac:dyDescent="0.3">
      <c r="A138" s="240"/>
      <c r="B138" s="14" t="s">
        <v>74</v>
      </c>
      <c r="C138" s="241">
        <f>COUNTIF($S$126:$T$131,"England")</f>
        <v>3</v>
      </c>
      <c r="D138" s="124">
        <f>SUMPRODUCT(($S$126:$T$131=B138)*($X$126:$Y$131=3))</f>
        <v>1</v>
      </c>
      <c r="E138" s="124">
        <f>SUMPRODUCT(($S$126:$T$131=B138)*($X$126:$Y$131=1))</f>
        <v>2</v>
      </c>
      <c r="F138" s="124">
        <f>SUMPRODUCT(($S$126:$T$131=B138)*($X$126:$Y$131=2))</f>
        <v>0</v>
      </c>
      <c r="G138" s="124">
        <f>SUMPRODUCT(($S$126:$S$131=B138)*($U$126:$U$131))+SUMPRODUCT(($T$126:$T$131=B138)*($V$126:$V$131))</f>
        <v>2</v>
      </c>
      <c r="H138" s="124">
        <f>SUMPRODUCT(($S$126:$S$131=B138)*($V$126:$V$131))+SUMPRODUCT(($T$126:$T$131=B138)*($U$126:$U$131))</f>
        <v>1</v>
      </c>
      <c r="I138" s="15">
        <f>(D138*2)+E138</f>
        <v>4</v>
      </c>
      <c r="J138" s="16">
        <f>(F138*2)+E138</f>
        <v>2</v>
      </c>
      <c r="K138" s="108"/>
      <c r="S138" s="117"/>
      <c r="T138" s="166"/>
      <c r="U138" s="166"/>
      <c r="V138" s="166"/>
      <c r="W138" s="166"/>
      <c r="X138" s="126"/>
      <c r="Y138" s="125"/>
    </row>
    <row r="139" spans="1:25" x14ac:dyDescent="0.3">
      <c r="A139" s="240"/>
      <c r="B139" s="21" t="s">
        <v>290</v>
      </c>
      <c r="C139" s="238">
        <f>COUNTIF($S$126:$T$131,"Irland")</f>
        <v>3</v>
      </c>
      <c r="D139" s="43">
        <f t="shared" ref="D139:D141" si="51">SUMPRODUCT(($S$126:$T$131=B139)*($X$126:$Y$131=3))</f>
        <v>0</v>
      </c>
      <c r="E139" s="43">
        <f t="shared" ref="E139:E141" si="52">SUMPRODUCT(($S$126:$T$131=B139)*($X$126:$Y$131=1))</f>
        <v>3</v>
      </c>
      <c r="F139" s="43">
        <f t="shared" ref="F139:F141" si="53">SUMPRODUCT(($S$126:$T$131=B139)*($X$126:$Y$131=2))</f>
        <v>0</v>
      </c>
      <c r="G139" s="43">
        <f t="shared" ref="G139:G141" si="54">SUMPRODUCT(($S$126:$S$131=B139)*($U$126:$U$131))+SUMPRODUCT(($T$126:$T$131=B139)*($V$126:$V$131))</f>
        <v>2</v>
      </c>
      <c r="H139" s="43">
        <f t="shared" ref="H139:H141" si="55">SUMPRODUCT(($S$126:$S$131=B139)*($V$126:$V$131))+SUMPRODUCT(($T$126:$T$131=B139)*($U$126:$U$131))</f>
        <v>2</v>
      </c>
      <c r="I139" s="18">
        <f t="shared" ref="I139:I141" si="56">(D139*2)+E139</f>
        <v>3</v>
      </c>
      <c r="J139" s="22">
        <f t="shared" ref="J139:J141" si="57">(F139*2)+E139</f>
        <v>3</v>
      </c>
      <c r="K139" s="108"/>
      <c r="S139" s="117"/>
      <c r="T139" s="166"/>
      <c r="U139" s="166"/>
      <c r="V139" s="166"/>
      <c r="W139" s="166"/>
      <c r="X139" s="126"/>
      <c r="Y139" s="125"/>
    </row>
    <row r="140" spans="1:25" x14ac:dyDescent="0.3">
      <c r="A140" s="240"/>
      <c r="B140" s="3" t="s">
        <v>63</v>
      </c>
      <c r="C140" s="238">
        <f>COUNTIF($S$126:$T$131,"Niederlande")</f>
        <v>3</v>
      </c>
      <c r="D140" s="43">
        <f t="shared" si="51"/>
        <v>0</v>
      </c>
      <c r="E140" s="43">
        <f t="shared" si="52"/>
        <v>3</v>
      </c>
      <c r="F140" s="43">
        <f t="shared" si="53"/>
        <v>0</v>
      </c>
      <c r="G140" s="43">
        <f t="shared" si="54"/>
        <v>2</v>
      </c>
      <c r="H140" s="43">
        <f t="shared" si="55"/>
        <v>2</v>
      </c>
      <c r="I140" s="18">
        <f t="shared" si="56"/>
        <v>3</v>
      </c>
      <c r="J140" s="22">
        <f t="shared" si="57"/>
        <v>3</v>
      </c>
      <c r="K140" s="108"/>
      <c r="S140" s="168"/>
      <c r="T140" s="95"/>
      <c r="U140" s="95"/>
      <c r="V140" s="95"/>
      <c r="W140" s="95"/>
      <c r="X140" s="95"/>
      <c r="Y140" s="169"/>
    </row>
    <row r="141" spans="1:25" ht="15" thickBot="1" x14ac:dyDescent="0.35">
      <c r="A141" s="240"/>
      <c r="B141" s="7" t="s">
        <v>33</v>
      </c>
      <c r="C141" s="242">
        <f>COUNTIF($S$126:$T$131,"Ägypten")</f>
        <v>3</v>
      </c>
      <c r="D141" s="80">
        <f t="shared" si="51"/>
        <v>0</v>
      </c>
      <c r="E141" s="80">
        <f t="shared" si="52"/>
        <v>2</v>
      </c>
      <c r="F141" s="80">
        <f t="shared" si="53"/>
        <v>1</v>
      </c>
      <c r="G141" s="80">
        <f t="shared" si="54"/>
        <v>1</v>
      </c>
      <c r="H141" s="80">
        <f t="shared" si="55"/>
        <v>2</v>
      </c>
      <c r="I141" s="31">
        <f t="shared" si="56"/>
        <v>2</v>
      </c>
      <c r="J141" s="32">
        <f t="shared" si="57"/>
        <v>4</v>
      </c>
      <c r="K141" s="108"/>
      <c r="S141" s="117"/>
      <c r="T141" s="166"/>
      <c r="U141" s="166"/>
      <c r="V141" s="166"/>
      <c r="W141" s="166"/>
      <c r="X141" s="126"/>
      <c r="Y141" s="125"/>
    </row>
    <row r="142" spans="1:25" x14ac:dyDescent="0.3">
      <c r="A142" s="240"/>
      <c r="B142" s="238"/>
      <c r="C142" s="238"/>
      <c r="D142" s="238"/>
      <c r="E142" s="238"/>
      <c r="F142" s="238"/>
      <c r="G142" s="5"/>
      <c r="H142" s="5"/>
      <c r="I142" s="5"/>
      <c r="J142" s="5"/>
      <c r="K142" s="108"/>
      <c r="S142" s="117"/>
      <c r="T142" s="166"/>
      <c r="U142" s="166"/>
      <c r="V142" s="166"/>
      <c r="W142" s="166"/>
      <c r="X142" s="126"/>
      <c r="Y142" s="125"/>
    </row>
    <row r="143" spans="1:25" x14ac:dyDescent="0.3">
      <c r="A143" s="240"/>
      <c r="B143" s="238"/>
      <c r="C143" s="67" t="s">
        <v>293</v>
      </c>
      <c r="D143" s="238"/>
      <c r="E143" s="238"/>
      <c r="F143" s="238"/>
      <c r="G143" s="5"/>
      <c r="H143" s="5"/>
      <c r="I143" s="5"/>
      <c r="J143" s="5"/>
      <c r="K143" s="108"/>
      <c r="S143" s="117"/>
      <c r="T143" s="166"/>
      <c r="U143" s="166"/>
      <c r="V143" s="166"/>
      <c r="W143" s="166"/>
      <c r="X143" s="126"/>
      <c r="Y143" s="125"/>
    </row>
    <row r="144" spans="1:25" ht="15" thickBot="1" x14ac:dyDescent="0.35">
      <c r="A144" s="110"/>
      <c r="B144" s="36"/>
      <c r="C144" s="36"/>
      <c r="D144" s="36"/>
      <c r="E144" s="36"/>
      <c r="F144" s="36"/>
      <c r="G144" s="37"/>
      <c r="H144" s="37"/>
      <c r="I144" s="37"/>
      <c r="J144" s="37"/>
      <c r="K144" s="193"/>
      <c r="S144" s="117"/>
      <c r="T144" s="227"/>
      <c r="U144" s="227"/>
      <c r="V144" s="227"/>
      <c r="W144" s="227"/>
      <c r="X144" s="126"/>
      <c r="Y144" s="125"/>
    </row>
    <row r="145" spans="1:26" ht="15" thickTop="1" x14ac:dyDescent="0.3">
      <c r="A145" s="240"/>
      <c r="B145" s="238"/>
      <c r="C145" s="238"/>
      <c r="D145" s="238"/>
      <c r="E145" s="238"/>
      <c r="F145" s="238"/>
      <c r="G145" s="5"/>
      <c r="H145" s="5"/>
      <c r="I145" s="5"/>
      <c r="J145" s="5"/>
      <c r="K145" s="108"/>
      <c r="S145" s="117"/>
      <c r="T145" s="227"/>
      <c r="U145" s="227"/>
      <c r="V145" s="227"/>
      <c r="W145" s="227"/>
      <c r="X145" s="126"/>
      <c r="Y145" s="125"/>
    </row>
    <row r="146" spans="1:26" ht="21" x14ac:dyDescent="0.4">
      <c r="A146" s="240"/>
      <c r="B146" s="238"/>
      <c r="C146" s="238"/>
      <c r="D146" s="238"/>
      <c r="E146" s="238"/>
      <c r="F146" s="237" t="s">
        <v>294</v>
      </c>
      <c r="G146" s="5"/>
      <c r="H146" s="5"/>
      <c r="I146" s="5"/>
      <c r="J146" s="5"/>
      <c r="K146" s="108"/>
      <c r="R146" s="39"/>
      <c r="S146" s="117"/>
      <c r="T146" s="227"/>
      <c r="U146" s="227"/>
      <c r="V146" s="227"/>
      <c r="W146" s="227"/>
      <c r="X146" s="227"/>
      <c r="Y146" s="118"/>
      <c r="Z146" s="39"/>
    </row>
    <row r="147" spans="1:26" ht="14.4" customHeight="1" x14ac:dyDescent="0.4">
      <c r="A147" s="240"/>
      <c r="B147" s="238"/>
      <c r="C147" s="238"/>
      <c r="D147" s="238"/>
      <c r="E147" s="238"/>
      <c r="F147" s="239"/>
      <c r="G147" s="5"/>
      <c r="H147" s="5"/>
      <c r="I147" s="5"/>
      <c r="J147" s="5"/>
      <c r="K147" s="108"/>
      <c r="R147" s="39"/>
      <c r="S147" s="117"/>
      <c r="T147" s="227"/>
      <c r="U147" s="227"/>
      <c r="V147" s="227"/>
      <c r="W147" s="227"/>
      <c r="X147" s="227"/>
      <c r="Y147" s="118"/>
      <c r="Z147" s="39"/>
    </row>
    <row r="148" spans="1:26" ht="15" thickBot="1" x14ac:dyDescent="0.35">
      <c r="A148" s="240"/>
      <c r="B148" s="238" t="s">
        <v>298</v>
      </c>
      <c r="C148" s="238" t="s">
        <v>12</v>
      </c>
      <c r="D148" s="238" t="s">
        <v>13</v>
      </c>
      <c r="E148" s="238" t="s">
        <v>14</v>
      </c>
      <c r="F148" s="238" t="s">
        <v>15</v>
      </c>
      <c r="G148" s="5" t="s">
        <v>24</v>
      </c>
      <c r="H148" s="5" t="s">
        <v>25</v>
      </c>
      <c r="I148" s="5" t="s">
        <v>26</v>
      </c>
      <c r="J148" s="5" t="s">
        <v>27</v>
      </c>
      <c r="K148" s="108"/>
      <c r="R148" s="39"/>
      <c r="S148" s="168"/>
      <c r="T148" s="95"/>
      <c r="U148" s="95"/>
      <c r="V148" s="95"/>
      <c r="W148" s="95"/>
      <c r="X148" s="95"/>
      <c r="Y148" s="169"/>
      <c r="Z148" s="39"/>
    </row>
    <row r="149" spans="1:26" x14ac:dyDescent="0.3">
      <c r="A149" s="240"/>
      <c r="B149" s="71" t="s">
        <v>5</v>
      </c>
      <c r="C149" s="72">
        <v>3</v>
      </c>
      <c r="D149" s="72">
        <v>1</v>
      </c>
      <c r="E149" s="72">
        <v>1</v>
      </c>
      <c r="F149" s="72">
        <v>1</v>
      </c>
      <c r="G149" s="73">
        <v>3</v>
      </c>
      <c r="H149" s="73">
        <v>2</v>
      </c>
      <c r="I149" s="73">
        <v>3</v>
      </c>
      <c r="J149" s="74">
        <v>3</v>
      </c>
      <c r="K149" s="108"/>
      <c r="S149" s="117"/>
      <c r="T149" s="227"/>
      <c r="U149" s="227"/>
      <c r="V149" s="227"/>
      <c r="W149" s="227"/>
      <c r="X149" s="126"/>
      <c r="Y149" s="125"/>
    </row>
    <row r="150" spans="1:26" x14ac:dyDescent="0.3">
      <c r="A150" s="240"/>
      <c r="B150" s="75" t="s">
        <v>117</v>
      </c>
      <c r="C150" s="76">
        <v>3</v>
      </c>
      <c r="D150" s="76">
        <v>1</v>
      </c>
      <c r="E150" s="76">
        <v>1</v>
      </c>
      <c r="F150" s="76">
        <v>1</v>
      </c>
      <c r="G150" s="77">
        <v>3</v>
      </c>
      <c r="H150" s="77">
        <v>2</v>
      </c>
      <c r="I150" s="77">
        <v>3</v>
      </c>
      <c r="J150" s="78">
        <v>3</v>
      </c>
      <c r="K150" s="108"/>
      <c r="S150" s="117"/>
      <c r="T150" s="227"/>
      <c r="U150" s="227"/>
      <c r="V150" s="227"/>
      <c r="W150" s="227"/>
      <c r="X150" s="126"/>
      <c r="Y150" s="125"/>
    </row>
    <row r="151" spans="1:26" x14ac:dyDescent="0.3">
      <c r="A151" s="240"/>
      <c r="B151" s="75" t="s">
        <v>63</v>
      </c>
      <c r="C151" s="76">
        <v>3</v>
      </c>
      <c r="D151" s="76">
        <v>0</v>
      </c>
      <c r="E151" s="76">
        <v>3</v>
      </c>
      <c r="F151" s="76">
        <v>0</v>
      </c>
      <c r="G151" s="77">
        <v>2</v>
      </c>
      <c r="H151" s="77">
        <v>2</v>
      </c>
      <c r="I151" s="77">
        <v>3</v>
      </c>
      <c r="J151" s="78">
        <v>3</v>
      </c>
      <c r="K151" s="108"/>
      <c r="S151" s="117"/>
      <c r="T151" s="227"/>
      <c r="U151" s="227"/>
      <c r="V151" s="227"/>
      <c r="W151" s="227"/>
      <c r="X151" s="126"/>
      <c r="Y151" s="125"/>
    </row>
    <row r="152" spans="1:26" x14ac:dyDescent="0.3">
      <c r="A152" s="240"/>
      <c r="B152" s="75" t="s">
        <v>18</v>
      </c>
      <c r="C152" s="76">
        <v>3</v>
      </c>
      <c r="D152" s="76">
        <v>1</v>
      </c>
      <c r="E152" s="76">
        <v>1</v>
      </c>
      <c r="F152" s="76">
        <v>1</v>
      </c>
      <c r="G152" s="77">
        <v>2</v>
      </c>
      <c r="H152" s="77">
        <v>3</v>
      </c>
      <c r="I152" s="77">
        <v>3</v>
      </c>
      <c r="J152" s="78">
        <v>3</v>
      </c>
      <c r="K152" s="108"/>
      <c r="S152" s="117"/>
      <c r="T152" s="227"/>
      <c r="U152" s="227"/>
      <c r="V152" s="227"/>
      <c r="W152" s="227"/>
      <c r="X152" s="126"/>
      <c r="Y152" s="125"/>
    </row>
    <row r="153" spans="1:26" x14ac:dyDescent="0.3">
      <c r="A153" s="240"/>
      <c r="B153" s="3" t="s">
        <v>29</v>
      </c>
      <c r="C153" s="238">
        <v>3</v>
      </c>
      <c r="D153" s="238">
        <v>1</v>
      </c>
      <c r="E153" s="238">
        <v>0</v>
      </c>
      <c r="F153" s="238">
        <v>2</v>
      </c>
      <c r="G153" s="5">
        <v>2</v>
      </c>
      <c r="H153" s="5">
        <v>3</v>
      </c>
      <c r="I153" s="5">
        <v>2</v>
      </c>
      <c r="J153" s="6">
        <v>4</v>
      </c>
      <c r="K153" s="108"/>
      <c r="S153" s="117"/>
      <c r="T153" s="227"/>
      <c r="U153" s="227"/>
      <c r="V153" s="227"/>
      <c r="W153" s="227"/>
      <c r="X153" s="126"/>
      <c r="Y153" s="125"/>
    </row>
    <row r="154" spans="1:26" ht="15" thickBot="1" x14ac:dyDescent="0.35">
      <c r="A154" s="240"/>
      <c r="B154" s="7" t="s">
        <v>81</v>
      </c>
      <c r="C154" s="242">
        <v>3</v>
      </c>
      <c r="D154" s="242">
        <v>1</v>
      </c>
      <c r="E154" s="242">
        <v>0</v>
      </c>
      <c r="F154" s="242">
        <v>2</v>
      </c>
      <c r="G154" s="8">
        <v>2</v>
      </c>
      <c r="H154" s="8">
        <v>3</v>
      </c>
      <c r="I154" s="8">
        <v>2</v>
      </c>
      <c r="J154" s="9">
        <v>4</v>
      </c>
      <c r="K154" s="108"/>
      <c r="S154" s="117"/>
      <c r="T154" s="227"/>
      <c r="U154" s="227"/>
      <c r="V154" s="227"/>
      <c r="W154" s="227"/>
      <c r="X154" s="126"/>
      <c r="Y154" s="125"/>
    </row>
    <row r="155" spans="1:26" x14ac:dyDescent="0.3">
      <c r="A155" s="240"/>
      <c r="B155" s="238"/>
      <c r="C155" s="238"/>
      <c r="D155" s="238"/>
      <c r="E155" s="238"/>
      <c r="F155" s="238"/>
      <c r="G155" s="5"/>
      <c r="H155" s="5"/>
      <c r="I155" s="5"/>
      <c r="J155" s="5"/>
      <c r="K155" s="108"/>
      <c r="S155" s="122"/>
      <c r="T155" s="17"/>
      <c r="U155" s="17"/>
      <c r="V155" s="17"/>
      <c r="W155" s="17"/>
      <c r="X155" s="126"/>
      <c r="Y155" s="125"/>
    </row>
    <row r="156" spans="1:26" x14ac:dyDescent="0.3">
      <c r="A156" s="240"/>
      <c r="B156" s="238"/>
      <c r="C156" s="238"/>
      <c r="D156" s="238"/>
      <c r="E156" s="238"/>
      <c r="F156" s="238"/>
      <c r="G156" s="5"/>
      <c r="H156" s="5"/>
      <c r="I156" s="5"/>
      <c r="J156" s="5"/>
      <c r="K156" s="108"/>
      <c r="S156" s="117"/>
      <c r="T156" s="227"/>
      <c r="U156" s="227"/>
      <c r="V156" s="227"/>
      <c r="W156" s="227"/>
      <c r="X156" s="227"/>
      <c r="Y156" s="118"/>
    </row>
    <row r="157" spans="1:26" ht="21" x14ac:dyDescent="0.4">
      <c r="A157" s="240"/>
      <c r="B157" s="238"/>
      <c r="C157" s="238"/>
      <c r="D157" s="238"/>
      <c r="E157" s="238"/>
      <c r="F157" s="237" t="s">
        <v>28</v>
      </c>
      <c r="G157" s="5"/>
      <c r="H157" s="5"/>
      <c r="I157" s="5"/>
      <c r="J157" s="5"/>
      <c r="K157" s="108"/>
      <c r="S157" s="117"/>
      <c r="T157" s="227"/>
      <c r="U157" s="227"/>
      <c r="V157" s="227"/>
      <c r="W157" s="227"/>
      <c r="X157" s="126"/>
      <c r="Y157" s="125"/>
    </row>
    <row r="158" spans="1:26" x14ac:dyDescent="0.3">
      <c r="A158" s="240"/>
      <c r="B158" s="238"/>
      <c r="C158" s="238"/>
      <c r="D158" s="238"/>
      <c r="E158" s="238"/>
      <c r="F158" s="238"/>
      <c r="G158" s="5"/>
      <c r="H158" s="5"/>
      <c r="I158" s="5"/>
      <c r="J158" s="5"/>
      <c r="K158" s="108"/>
      <c r="S158" s="117"/>
      <c r="T158" s="227"/>
      <c r="U158" s="227"/>
      <c r="V158" s="227"/>
      <c r="W158" s="227"/>
      <c r="X158" s="227"/>
      <c r="Y158" s="118"/>
    </row>
    <row r="159" spans="1:26" x14ac:dyDescent="0.3">
      <c r="A159" s="240"/>
      <c r="B159" s="238"/>
      <c r="C159" s="40">
        <v>33047</v>
      </c>
      <c r="D159" s="43" t="s">
        <v>190</v>
      </c>
      <c r="E159" s="43" t="s">
        <v>117</v>
      </c>
      <c r="F159" s="43">
        <v>2</v>
      </c>
      <c r="G159" s="48">
        <v>1</v>
      </c>
      <c r="H159" s="48" t="s">
        <v>30</v>
      </c>
      <c r="I159" s="5" t="s">
        <v>34</v>
      </c>
      <c r="J159" s="5"/>
      <c r="K159" s="108"/>
      <c r="S159" s="122" t="s">
        <v>190</v>
      </c>
      <c r="T159" s="17" t="s">
        <v>117</v>
      </c>
      <c r="U159" s="17">
        <v>2</v>
      </c>
      <c r="V159" s="17">
        <v>1</v>
      </c>
      <c r="W159" s="17"/>
      <c r="X159" s="126">
        <f t="shared" ref="X159:X166" si="58">(IF(U159&gt;V159,3,IF(U159=V159,1,2)))</f>
        <v>3</v>
      </c>
      <c r="Y159" s="125">
        <f t="shared" ref="Y159:Y166" si="59">(IF(V159&gt;U159,3,IF(U159=V159,1,2)))</f>
        <v>2</v>
      </c>
    </row>
    <row r="160" spans="1:26" x14ac:dyDescent="0.3">
      <c r="A160" s="240"/>
      <c r="B160" s="238"/>
      <c r="C160" s="40"/>
      <c r="D160" s="43"/>
      <c r="E160" s="43"/>
      <c r="F160" s="43">
        <v>0</v>
      </c>
      <c r="G160" s="48">
        <v>0</v>
      </c>
      <c r="H160" s="48"/>
      <c r="I160" s="5"/>
      <c r="J160" s="5"/>
      <c r="K160" s="108"/>
      <c r="S160" s="117" t="s">
        <v>295</v>
      </c>
      <c r="T160" s="227" t="s">
        <v>286</v>
      </c>
      <c r="U160" s="227">
        <v>4</v>
      </c>
      <c r="V160" s="227">
        <v>1</v>
      </c>
      <c r="W160" s="227"/>
      <c r="X160" s="126">
        <f t="shared" si="58"/>
        <v>3</v>
      </c>
      <c r="Y160" s="125">
        <f t="shared" si="59"/>
        <v>2</v>
      </c>
    </row>
    <row r="161" spans="1:25" ht="15" thickBot="1" x14ac:dyDescent="0.35">
      <c r="A161" s="240"/>
      <c r="B161" s="238"/>
      <c r="C161" s="58"/>
      <c r="D161" s="80"/>
      <c r="E161" s="80"/>
      <c r="F161" s="80" t="s">
        <v>170</v>
      </c>
      <c r="G161" s="84" t="s">
        <v>171</v>
      </c>
      <c r="H161" s="84"/>
      <c r="I161" s="8"/>
      <c r="J161" s="5"/>
      <c r="K161" s="108"/>
      <c r="S161" s="122" t="s">
        <v>9</v>
      </c>
      <c r="T161" s="17" t="s">
        <v>5</v>
      </c>
      <c r="U161" s="17">
        <v>0</v>
      </c>
      <c r="V161" s="17">
        <v>1</v>
      </c>
      <c r="W161" s="17"/>
      <c r="X161" s="126">
        <f t="shared" si="58"/>
        <v>2</v>
      </c>
      <c r="Y161" s="125">
        <f t="shared" si="59"/>
        <v>3</v>
      </c>
    </row>
    <row r="162" spans="1:25" x14ac:dyDescent="0.3">
      <c r="A162" s="240"/>
      <c r="B162" s="238"/>
      <c r="C162" s="40">
        <v>33047</v>
      </c>
      <c r="D162" s="43" t="s">
        <v>453</v>
      </c>
      <c r="E162" s="43" t="s">
        <v>286</v>
      </c>
      <c r="F162" s="43">
        <v>4</v>
      </c>
      <c r="G162" s="48">
        <v>1</v>
      </c>
      <c r="H162" s="48"/>
      <c r="I162" s="5" t="s">
        <v>285</v>
      </c>
      <c r="J162" s="5"/>
      <c r="K162" s="108"/>
      <c r="S162" s="117" t="s">
        <v>88</v>
      </c>
      <c r="T162" s="227" t="s">
        <v>63</v>
      </c>
      <c r="U162" s="227">
        <v>2</v>
      </c>
      <c r="V162" s="227">
        <v>1</v>
      </c>
      <c r="W162" s="227"/>
      <c r="X162" s="126">
        <f t="shared" si="58"/>
        <v>3</v>
      </c>
      <c r="Y162" s="125">
        <f t="shared" si="59"/>
        <v>2</v>
      </c>
    </row>
    <row r="163" spans="1:25" ht="15" thickBot="1" x14ac:dyDescent="0.35">
      <c r="A163" s="240"/>
      <c r="B163" s="238"/>
      <c r="C163" s="58"/>
      <c r="D163" s="80"/>
      <c r="E163" s="80"/>
      <c r="F163" s="80" t="s">
        <v>172</v>
      </c>
      <c r="G163" s="84" t="s">
        <v>171</v>
      </c>
      <c r="H163" s="84"/>
      <c r="I163" s="8"/>
      <c r="J163" s="5"/>
      <c r="K163" s="108"/>
      <c r="S163" s="117" t="s">
        <v>16</v>
      </c>
      <c r="T163" s="227" t="s">
        <v>290</v>
      </c>
      <c r="U163" s="227">
        <v>4</v>
      </c>
      <c r="V163" s="227">
        <v>5</v>
      </c>
      <c r="W163" s="227"/>
      <c r="X163" s="126">
        <f t="shared" si="58"/>
        <v>2</v>
      </c>
      <c r="Y163" s="125">
        <f t="shared" si="59"/>
        <v>3</v>
      </c>
    </row>
    <row r="164" spans="1:25" x14ac:dyDescent="0.3">
      <c r="A164" s="240"/>
      <c r="B164" s="33"/>
      <c r="C164" s="40">
        <v>33048</v>
      </c>
      <c r="D164" s="43" t="s">
        <v>9</v>
      </c>
      <c r="E164" s="43" t="s">
        <v>5</v>
      </c>
      <c r="F164" s="43">
        <v>0</v>
      </c>
      <c r="G164" s="48">
        <v>1</v>
      </c>
      <c r="H164" s="48"/>
      <c r="I164" s="5" t="s">
        <v>31</v>
      </c>
      <c r="J164" s="5"/>
      <c r="K164" s="108"/>
      <c r="S164" s="122" t="s">
        <v>37</v>
      </c>
      <c r="T164" s="17" t="s">
        <v>18</v>
      </c>
      <c r="U164" s="17">
        <v>2</v>
      </c>
      <c r="V164" s="17">
        <v>0</v>
      </c>
      <c r="W164" s="17"/>
      <c r="X164" s="126">
        <f t="shared" si="58"/>
        <v>3</v>
      </c>
      <c r="Y164" s="125">
        <f t="shared" si="59"/>
        <v>2</v>
      </c>
    </row>
    <row r="165" spans="1:25" ht="15" thickBot="1" x14ac:dyDescent="0.35">
      <c r="A165" s="240"/>
      <c r="B165" s="33"/>
      <c r="C165" s="58"/>
      <c r="D165" s="80"/>
      <c r="E165" s="80"/>
      <c r="F165" s="80" t="s">
        <v>170</v>
      </c>
      <c r="G165" s="84" t="s">
        <v>171</v>
      </c>
      <c r="H165" s="84"/>
      <c r="I165" s="8"/>
      <c r="J165" s="5"/>
      <c r="K165" s="108"/>
      <c r="S165" s="117" t="s">
        <v>35</v>
      </c>
      <c r="T165" s="227" t="s">
        <v>8</v>
      </c>
      <c r="U165" s="227">
        <v>1</v>
      </c>
      <c r="V165" s="227">
        <v>2</v>
      </c>
      <c r="W165" s="227"/>
      <c r="X165" s="126">
        <f t="shared" si="58"/>
        <v>2</v>
      </c>
      <c r="Y165" s="125">
        <f t="shared" si="59"/>
        <v>3</v>
      </c>
    </row>
    <row r="166" spans="1:25" x14ac:dyDescent="0.3">
      <c r="A166" s="156"/>
      <c r="B166" s="238"/>
      <c r="C166" s="40">
        <v>33048</v>
      </c>
      <c r="D166" s="43" t="s">
        <v>88</v>
      </c>
      <c r="E166" s="43" t="s">
        <v>63</v>
      </c>
      <c r="F166" s="43">
        <v>2</v>
      </c>
      <c r="G166" s="48">
        <v>1</v>
      </c>
      <c r="H166" s="48"/>
      <c r="I166" s="5" t="s">
        <v>44</v>
      </c>
      <c r="J166" s="5"/>
      <c r="K166" s="108"/>
      <c r="S166" s="117" t="s">
        <v>74</v>
      </c>
      <c r="T166" s="227" t="s">
        <v>21</v>
      </c>
      <c r="U166" s="227">
        <v>1</v>
      </c>
      <c r="V166" s="227">
        <v>0</v>
      </c>
      <c r="W166" s="227"/>
      <c r="X166" s="126">
        <f t="shared" si="58"/>
        <v>3</v>
      </c>
      <c r="Y166" s="125">
        <f t="shared" si="59"/>
        <v>2</v>
      </c>
    </row>
    <row r="167" spans="1:25" ht="15" thickBot="1" x14ac:dyDescent="0.35">
      <c r="A167" s="156"/>
      <c r="B167" s="238"/>
      <c r="C167" s="58"/>
      <c r="D167" s="80"/>
      <c r="E167" s="80"/>
      <c r="F167" s="80" t="s">
        <v>170</v>
      </c>
      <c r="G167" s="84" t="s">
        <v>171</v>
      </c>
      <c r="H167" s="84"/>
      <c r="I167" s="8"/>
      <c r="J167" s="5"/>
      <c r="K167" s="108"/>
      <c r="S167" s="117"/>
      <c r="T167" s="227"/>
      <c r="U167" s="227"/>
      <c r="V167" s="227"/>
      <c r="W167" s="227"/>
      <c r="X167" s="227"/>
      <c r="Y167" s="118"/>
    </row>
    <row r="168" spans="1:25" x14ac:dyDescent="0.3">
      <c r="A168" s="156"/>
      <c r="B168" s="238"/>
      <c r="C168" s="40">
        <v>33049</v>
      </c>
      <c r="D168" s="43" t="s">
        <v>16</v>
      </c>
      <c r="E168" s="43" t="s">
        <v>290</v>
      </c>
      <c r="F168" s="43">
        <v>4</v>
      </c>
      <c r="G168" s="48">
        <v>5</v>
      </c>
      <c r="H168" s="48" t="s">
        <v>214</v>
      </c>
      <c r="I168" s="5" t="s">
        <v>36</v>
      </c>
      <c r="J168" s="5"/>
      <c r="K168" s="108"/>
      <c r="S168" s="122"/>
      <c r="T168" s="17"/>
      <c r="U168" s="17"/>
      <c r="V168" s="17"/>
      <c r="W168" s="17"/>
      <c r="X168" s="17"/>
      <c r="Y168" s="123"/>
    </row>
    <row r="169" spans="1:25" x14ac:dyDescent="0.3">
      <c r="A169" s="156"/>
      <c r="B169" s="238"/>
      <c r="C169" s="40"/>
      <c r="D169" s="43"/>
      <c r="E169" s="43"/>
      <c r="F169" s="43">
        <v>0</v>
      </c>
      <c r="G169" s="48">
        <v>0</v>
      </c>
      <c r="H169" s="48" t="s">
        <v>30</v>
      </c>
      <c r="I169" s="5"/>
      <c r="J169" s="5"/>
      <c r="K169" s="108"/>
      <c r="S169" s="117"/>
      <c r="T169" s="227"/>
      <c r="U169" s="227"/>
      <c r="V169" s="227"/>
      <c r="W169" s="227"/>
      <c r="X169" s="126"/>
      <c r="Y169" s="125"/>
    </row>
    <row r="170" spans="1:25" x14ac:dyDescent="0.3">
      <c r="A170" s="156"/>
      <c r="B170" s="238"/>
      <c r="C170" s="40"/>
      <c r="D170" s="43"/>
      <c r="E170" s="43"/>
      <c r="F170" s="43">
        <v>0</v>
      </c>
      <c r="G170" s="48">
        <v>0</v>
      </c>
      <c r="H170" s="48"/>
      <c r="I170" s="5"/>
      <c r="J170" s="5"/>
      <c r="K170" s="108"/>
      <c r="S170" s="122"/>
      <c r="T170" s="17"/>
      <c r="U170" s="17"/>
      <c r="V170" s="17"/>
      <c r="W170" s="17"/>
      <c r="X170" s="126"/>
      <c r="Y170" s="125"/>
    </row>
    <row r="171" spans="1:25" ht="15" thickBot="1" x14ac:dyDescent="0.35">
      <c r="A171" s="156"/>
      <c r="B171" s="238"/>
      <c r="C171" s="58"/>
      <c r="D171" s="80"/>
      <c r="E171" s="80"/>
      <c r="F171" s="80" t="s">
        <v>170</v>
      </c>
      <c r="G171" s="84" t="s">
        <v>171</v>
      </c>
      <c r="H171" s="84"/>
      <c r="I171" s="8"/>
      <c r="J171" s="5"/>
      <c r="K171" s="108"/>
      <c r="S171" s="117"/>
      <c r="T171" s="227"/>
      <c r="U171" s="227"/>
      <c r="V171" s="227"/>
      <c r="W171" s="227"/>
      <c r="X171" s="227"/>
      <c r="Y171" s="118"/>
    </row>
    <row r="172" spans="1:25" x14ac:dyDescent="0.3">
      <c r="A172" s="156"/>
      <c r="B172" s="238"/>
      <c r="C172" s="40">
        <v>33049</v>
      </c>
      <c r="D172" s="43" t="s">
        <v>37</v>
      </c>
      <c r="E172" s="43" t="s">
        <v>18</v>
      </c>
      <c r="F172" s="43">
        <v>2</v>
      </c>
      <c r="G172" s="48">
        <v>0</v>
      </c>
      <c r="H172" s="48"/>
      <c r="I172" s="5" t="s">
        <v>38</v>
      </c>
      <c r="J172" s="5"/>
      <c r="K172" s="108"/>
      <c r="S172" s="117"/>
      <c r="T172" s="227"/>
      <c r="U172" s="227"/>
      <c r="V172" s="227"/>
      <c r="W172" s="227"/>
      <c r="X172" s="126"/>
      <c r="Y172" s="125"/>
    </row>
    <row r="173" spans="1:25" ht="15" thickBot="1" x14ac:dyDescent="0.35">
      <c r="A173" s="156"/>
      <c r="B173" s="238"/>
      <c r="C173" s="58"/>
      <c r="D173" s="80"/>
      <c r="E173" s="80"/>
      <c r="F173" s="80" t="s">
        <v>170</v>
      </c>
      <c r="G173" s="84" t="s">
        <v>171</v>
      </c>
      <c r="H173" s="84"/>
      <c r="I173" s="8"/>
      <c r="J173" s="5"/>
      <c r="K173" s="108"/>
      <c r="S173" s="117"/>
      <c r="T173" s="227"/>
      <c r="U173" s="227"/>
      <c r="V173" s="227"/>
      <c r="W173" s="227"/>
      <c r="X173" s="126"/>
      <c r="Y173" s="125"/>
    </row>
    <row r="174" spans="1:25" x14ac:dyDescent="0.3">
      <c r="A174" s="156"/>
      <c r="B174" s="238"/>
      <c r="C174" s="40">
        <v>33050</v>
      </c>
      <c r="D174" s="43" t="s">
        <v>35</v>
      </c>
      <c r="E174" s="43" t="s">
        <v>8</v>
      </c>
      <c r="F174" s="43">
        <v>1</v>
      </c>
      <c r="G174" s="48">
        <v>2</v>
      </c>
      <c r="H174" s="48" t="s">
        <v>30</v>
      </c>
      <c r="I174" s="5" t="s">
        <v>288</v>
      </c>
      <c r="J174" s="5"/>
      <c r="K174" s="108"/>
      <c r="S174" s="122"/>
      <c r="T174" s="17"/>
      <c r="U174" s="17"/>
      <c r="V174" s="17"/>
      <c r="W174" s="17"/>
      <c r="X174" s="17"/>
      <c r="Y174" s="123"/>
    </row>
    <row r="175" spans="1:25" x14ac:dyDescent="0.3">
      <c r="A175" s="156"/>
      <c r="B175" s="238"/>
      <c r="C175" s="40"/>
      <c r="D175" s="43"/>
      <c r="E175" s="43"/>
      <c r="F175" s="43">
        <v>1</v>
      </c>
      <c r="G175" s="48">
        <v>1</v>
      </c>
      <c r="H175" s="48"/>
      <c r="I175" s="5"/>
      <c r="J175" s="5"/>
      <c r="K175" s="108"/>
      <c r="S175" s="117"/>
      <c r="T175" s="227"/>
      <c r="U175" s="227"/>
      <c r="V175" s="227"/>
      <c r="W175" s="227"/>
      <c r="X175" s="227"/>
      <c r="Y175" s="118"/>
    </row>
    <row r="176" spans="1:25" ht="15" thickBot="1" x14ac:dyDescent="0.35">
      <c r="A176" s="156"/>
      <c r="B176" s="238"/>
      <c r="C176" s="58"/>
      <c r="D176" s="80"/>
      <c r="E176" s="80"/>
      <c r="F176" s="80" t="s">
        <v>170</v>
      </c>
      <c r="G176" s="84" t="s">
        <v>171</v>
      </c>
      <c r="H176" s="84"/>
      <c r="I176" s="8"/>
      <c r="J176" s="5"/>
      <c r="K176" s="108"/>
      <c r="S176" s="117"/>
      <c r="T176" s="227"/>
      <c r="U176" s="227"/>
      <c r="V176" s="227"/>
      <c r="W176" s="227"/>
      <c r="X176" s="227"/>
      <c r="Y176" s="118"/>
    </row>
    <row r="177" spans="1:25" x14ac:dyDescent="0.3">
      <c r="A177" s="156"/>
      <c r="B177" s="238"/>
      <c r="C177" s="40">
        <v>33050</v>
      </c>
      <c r="D177" s="43" t="s">
        <v>74</v>
      </c>
      <c r="E177" s="43" t="s">
        <v>21</v>
      </c>
      <c r="F177" s="43">
        <v>1</v>
      </c>
      <c r="G177" s="48">
        <v>0</v>
      </c>
      <c r="H177" s="48" t="s">
        <v>30</v>
      </c>
      <c r="I177" s="5" t="s">
        <v>42</v>
      </c>
      <c r="J177" s="5"/>
      <c r="K177" s="108"/>
      <c r="S177" s="117"/>
      <c r="T177" s="227"/>
      <c r="U177" s="227"/>
      <c r="V177" s="227"/>
      <c r="W177" s="227"/>
      <c r="X177" s="227"/>
      <c r="Y177" s="118"/>
    </row>
    <row r="178" spans="1:25" x14ac:dyDescent="0.3">
      <c r="A178" s="156"/>
      <c r="B178" s="238"/>
      <c r="C178" s="238"/>
      <c r="D178" s="43"/>
      <c r="E178" s="43"/>
      <c r="F178" s="43">
        <v>0</v>
      </c>
      <c r="G178" s="48">
        <v>0</v>
      </c>
      <c r="H178" s="48"/>
      <c r="I178" s="5"/>
      <c r="J178" s="5"/>
      <c r="K178" s="108"/>
      <c r="S178" s="117"/>
      <c r="T178" s="227"/>
      <c r="U178" s="227"/>
      <c r="V178" s="227"/>
      <c r="W178" s="227"/>
      <c r="X178" s="227"/>
      <c r="Y178" s="118"/>
    </row>
    <row r="179" spans="1:25" x14ac:dyDescent="0.3">
      <c r="A179" s="156"/>
      <c r="B179" s="238"/>
      <c r="C179" s="238"/>
      <c r="D179" s="43"/>
      <c r="E179" s="43"/>
      <c r="F179" s="43" t="s">
        <v>170</v>
      </c>
      <c r="G179" s="48" t="s">
        <v>171</v>
      </c>
      <c r="H179" s="48"/>
      <c r="I179" s="5"/>
      <c r="J179" s="5"/>
      <c r="K179" s="108"/>
      <c r="S179" s="117"/>
      <c r="T179" s="227"/>
      <c r="U179" s="227"/>
      <c r="V179" s="227"/>
      <c r="W179" s="227"/>
      <c r="X179" s="227"/>
      <c r="Y179" s="118"/>
    </row>
    <row r="180" spans="1:25" x14ac:dyDescent="0.3">
      <c r="A180" s="156"/>
      <c r="B180" s="238"/>
      <c r="C180" s="238"/>
      <c r="D180" s="238"/>
      <c r="E180" s="238"/>
      <c r="F180" s="238"/>
      <c r="G180" s="5"/>
      <c r="H180" s="5"/>
      <c r="I180" s="5"/>
      <c r="J180" s="5"/>
      <c r="K180" s="108"/>
      <c r="S180" s="117"/>
      <c r="T180" s="227"/>
      <c r="U180" s="227"/>
      <c r="V180" s="227"/>
      <c r="W180" s="227"/>
      <c r="X180" s="126"/>
      <c r="Y180" s="125"/>
    </row>
    <row r="181" spans="1:25" x14ac:dyDescent="0.3">
      <c r="A181" s="156"/>
      <c r="B181" s="238"/>
      <c r="C181" s="238"/>
      <c r="D181" s="238"/>
      <c r="E181" s="238"/>
      <c r="F181" s="238"/>
      <c r="G181" s="5"/>
      <c r="H181" s="5"/>
      <c r="I181" s="5"/>
      <c r="J181" s="5"/>
      <c r="K181" s="108"/>
      <c r="S181" s="117"/>
      <c r="T181" s="227"/>
      <c r="U181" s="227"/>
      <c r="V181" s="227"/>
      <c r="W181" s="227"/>
      <c r="X181" s="227"/>
      <c r="Y181" s="118"/>
    </row>
    <row r="182" spans="1:25" ht="21" x14ac:dyDescent="0.4">
      <c r="A182" s="156"/>
      <c r="B182" s="238"/>
      <c r="C182" s="238"/>
      <c r="D182" s="238"/>
      <c r="E182" s="238"/>
      <c r="F182" s="237" t="s">
        <v>47</v>
      </c>
      <c r="G182" s="5"/>
      <c r="H182" s="5"/>
      <c r="I182" s="5"/>
      <c r="J182" s="5"/>
      <c r="K182" s="108"/>
      <c r="S182" s="117"/>
      <c r="T182" s="227"/>
      <c r="U182" s="227"/>
      <c r="V182" s="227"/>
      <c r="W182" s="227"/>
      <c r="X182" s="227"/>
      <c r="Y182" s="118"/>
    </row>
    <row r="183" spans="1:25" x14ac:dyDescent="0.3">
      <c r="A183" s="156"/>
      <c r="B183" s="238"/>
      <c r="C183" s="238"/>
      <c r="D183" s="238"/>
      <c r="E183" s="238"/>
      <c r="F183" s="238"/>
      <c r="G183" s="5"/>
      <c r="H183" s="5"/>
      <c r="I183" s="5"/>
      <c r="J183" s="5"/>
      <c r="K183" s="108"/>
      <c r="S183" s="117"/>
      <c r="T183" s="227"/>
      <c r="U183" s="227"/>
      <c r="V183" s="227"/>
      <c r="W183" s="227"/>
      <c r="X183" s="227"/>
      <c r="Y183" s="118"/>
    </row>
    <row r="184" spans="1:25" x14ac:dyDescent="0.3">
      <c r="A184" s="156"/>
      <c r="B184" s="238"/>
      <c r="C184" s="40">
        <v>33054</v>
      </c>
      <c r="D184" s="49" t="s">
        <v>8</v>
      </c>
      <c r="E184" s="43" t="s">
        <v>5</v>
      </c>
      <c r="F184" s="43">
        <v>2</v>
      </c>
      <c r="G184" s="48">
        <v>3</v>
      </c>
      <c r="H184" s="48" t="s">
        <v>214</v>
      </c>
      <c r="I184" s="5" t="s">
        <v>40</v>
      </c>
      <c r="J184" s="5"/>
      <c r="K184" s="108"/>
      <c r="S184" s="117" t="s">
        <v>8</v>
      </c>
      <c r="T184" s="227" t="s">
        <v>5</v>
      </c>
      <c r="U184" s="227">
        <v>2</v>
      </c>
      <c r="V184" s="227">
        <v>3</v>
      </c>
      <c r="W184" s="227"/>
      <c r="X184" s="126">
        <f t="shared" ref="X184:X187" si="60">(IF(U184&gt;V184,3,IF(U184=V184,1,2)))</f>
        <v>2</v>
      </c>
      <c r="Y184" s="125">
        <f t="shared" ref="Y184:Y187" si="61">(IF(V184&gt;U184,3,IF(U184=V184,1,2)))</f>
        <v>3</v>
      </c>
    </row>
    <row r="185" spans="1:25" x14ac:dyDescent="0.3">
      <c r="A185" s="156"/>
      <c r="B185" s="238"/>
      <c r="C185" s="40"/>
      <c r="D185" s="49"/>
      <c r="E185" s="43"/>
      <c r="F185" s="43">
        <v>0</v>
      </c>
      <c r="G185" s="48">
        <v>0</v>
      </c>
      <c r="H185" s="48" t="s">
        <v>30</v>
      </c>
      <c r="I185" s="5"/>
      <c r="J185" s="5"/>
      <c r="K185" s="108"/>
      <c r="S185" s="117" t="s">
        <v>37</v>
      </c>
      <c r="T185" s="227" t="s">
        <v>290</v>
      </c>
      <c r="U185" s="227">
        <v>1</v>
      </c>
      <c r="V185" s="227">
        <v>0</v>
      </c>
      <c r="W185" s="227"/>
      <c r="X185" s="126">
        <f t="shared" si="60"/>
        <v>3</v>
      </c>
      <c r="Y185" s="125">
        <f t="shared" si="61"/>
        <v>2</v>
      </c>
    </row>
    <row r="186" spans="1:25" x14ac:dyDescent="0.3">
      <c r="A186" s="156"/>
      <c r="B186" s="238"/>
      <c r="C186" s="40"/>
      <c r="D186" s="43"/>
      <c r="E186" s="43"/>
      <c r="F186" s="43">
        <v>0</v>
      </c>
      <c r="G186" s="48">
        <v>0</v>
      </c>
      <c r="H186" s="48"/>
      <c r="I186" s="5"/>
      <c r="J186" s="5"/>
      <c r="K186" s="108"/>
      <c r="S186" s="117" t="s">
        <v>88</v>
      </c>
      <c r="T186" s="227" t="s">
        <v>295</v>
      </c>
      <c r="U186" s="227">
        <v>1</v>
      </c>
      <c r="V186" s="227">
        <v>0</v>
      </c>
      <c r="W186" s="227"/>
      <c r="X186" s="126">
        <f t="shared" si="60"/>
        <v>3</v>
      </c>
      <c r="Y186" s="125">
        <f t="shared" si="61"/>
        <v>2</v>
      </c>
    </row>
    <row r="187" spans="1:25" ht="15" thickBot="1" x14ac:dyDescent="0.35">
      <c r="A187" s="156"/>
      <c r="B187" s="238"/>
      <c r="C187" s="58"/>
      <c r="D187" s="80"/>
      <c r="E187" s="80"/>
      <c r="F187" s="80" t="s">
        <v>170</v>
      </c>
      <c r="G187" s="84" t="s">
        <v>171</v>
      </c>
      <c r="H187" s="84"/>
      <c r="I187" s="8"/>
      <c r="J187" s="5"/>
      <c r="K187" s="108"/>
      <c r="S187" s="117" t="s">
        <v>74</v>
      </c>
      <c r="T187" s="227" t="s">
        <v>190</v>
      </c>
      <c r="U187" s="227">
        <v>3</v>
      </c>
      <c r="V187" s="227">
        <v>2</v>
      </c>
      <c r="W187" s="227"/>
      <c r="X187" s="126">
        <f t="shared" si="60"/>
        <v>3</v>
      </c>
      <c r="Y187" s="125">
        <f t="shared" si="61"/>
        <v>2</v>
      </c>
    </row>
    <row r="188" spans="1:25" x14ac:dyDescent="0.3">
      <c r="A188" s="156"/>
      <c r="B188" s="238"/>
      <c r="C188" s="40">
        <v>33054</v>
      </c>
      <c r="D188" s="43" t="s">
        <v>37</v>
      </c>
      <c r="E188" s="43" t="s">
        <v>290</v>
      </c>
      <c r="F188" s="43">
        <v>1</v>
      </c>
      <c r="G188" s="48">
        <v>0</v>
      </c>
      <c r="H188" s="48"/>
      <c r="I188" s="5" t="s">
        <v>38</v>
      </c>
      <c r="J188" s="5"/>
      <c r="K188" s="108"/>
      <c r="S188" s="117"/>
      <c r="T188" s="227"/>
      <c r="U188" s="227"/>
      <c r="V188" s="227"/>
      <c r="W188" s="227"/>
      <c r="X188" s="227"/>
      <c r="Y188" s="118"/>
    </row>
    <row r="189" spans="1:25" ht="15" thickBot="1" x14ac:dyDescent="0.35">
      <c r="A189" s="156"/>
      <c r="B189" s="238"/>
      <c r="C189" s="58"/>
      <c r="D189" s="80"/>
      <c r="E189" s="80"/>
      <c r="F189" s="80" t="s">
        <v>172</v>
      </c>
      <c r="G189" s="84" t="s">
        <v>171</v>
      </c>
      <c r="H189" s="84"/>
      <c r="I189" s="8"/>
      <c r="J189" s="5"/>
      <c r="K189" s="108"/>
      <c r="S189" s="117"/>
      <c r="T189" s="227"/>
      <c r="U189" s="227"/>
      <c r="V189" s="227"/>
      <c r="W189" s="227"/>
      <c r="X189" s="227"/>
      <c r="Y189" s="118"/>
    </row>
    <row r="190" spans="1:25" x14ac:dyDescent="0.3">
      <c r="A190" s="156"/>
      <c r="B190" s="238"/>
      <c r="C190" s="40">
        <v>33055</v>
      </c>
      <c r="D190" s="43" t="s">
        <v>88</v>
      </c>
      <c r="E190" s="43" t="s">
        <v>453</v>
      </c>
      <c r="F190" s="43">
        <v>1</v>
      </c>
      <c r="G190" s="48">
        <v>0</v>
      </c>
      <c r="H190" s="48"/>
      <c r="I190" s="5" t="s">
        <v>44</v>
      </c>
      <c r="J190" s="5"/>
      <c r="K190" s="108"/>
      <c r="S190" s="122"/>
      <c r="T190" s="17"/>
      <c r="U190" s="17"/>
      <c r="V190" s="17"/>
      <c r="W190" s="17"/>
      <c r="X190" s="17"/>
      <c r="Y190" s="123"/>
    </row>
    <row r="191" spans="1:25" ht="15" thickBot="1" x14ac:dyDescent="0.35">
      <c r="A191" s="156"/>
      <c r="B191" s="238"/>
      <c r="C191" s="58"/>
      <c r="D191" s="80"/>
      <c r="E191" s="80"/>
      <c r="F191" s="80" t="s">
        <v>172</v>
      </c>
      <c r="G191" s="84" t="s">
        <v>171</v>
      </c>
      <c r="H191" s="84"/>
      <c r="I191" s="8"/>
      <c r="J191" s="5"/>
      <c r="K191" s="108"/>
      <c r="S191" s="117"/>
      <c r="T191" s="227"/>
      <c r="U191" s="227"/>
      <c r="V191" s="227"/>
      <c r="W191" s="227"/>
      <c r="X191" s="227"/>
      <c r="Y191" s="118"/>
    </row>
    <row r="192" spans="1:25" x14ac:dyDescent="0.3">
      <c r="A192" s="156"/>
      <c r="B192" s="238"/>
      <c r="C192" s="40">
        <v>33055</v>
      </c>
      <c r="D192" s="43" t="s">
        <v>74</v>
      </c>
      <c r="E192" s="43" t="s">
        <v>190</v>
      </c>
      <c r="F192" s="43">
        <v>3</v>
      </c>
      <c r="G192" s="48">
        <v>2</v>
      </c>
      <c r="H192" s="48" t="s">
        <v>30</v>
      </c>
      <c r="I192" s="5" t="s">
        <v>34</v>
      </c>
      <c r="J192" s="5"/>
      <c r="K192" s="108"/>
      <c r="S192" s="117"/>
      <c r="T192" s="227"/>
      <c r="U192" s="227"/>
      <c r="V192" s="227"/>
      <c r="W192" s="227"/>
      <c r="X192" s="227"/>
      <c r="Y192" s="118"/>
    </row>
    <row r="193" spans="1:25" x14ac:dyDescent="0.3">
      <c r="A193" s="156"/>
      <c r="B193" s="238"/>
      <c r="C193" s="238"/>
      <c r="D193" s="43"/>
      <c r="E193" s="43"/>
      <c r="F193" s="43">
        <v>2</v>
      </c>
      <c r="G193" s="48">
        <v>2</v>
      </c>
      <c r="H193" s="48"/>
      <c r="I193" s="5"/>
      <c r="J193" s="5"/>
      <c r="K193" s="108"/>
      <c r="S193" s="117"/>
      <c r="T193" s="227"/>
      <c r="U193" s="227"/>
      <c r="V193" s="227"/>
      <c r="W193" s="227"/>
      <c r="X193" s="227"/>
      <c r="Y193" s="118"/>
    </row>
    <row r="194" spans="1:25" x14ac:dyDescent="0.3">
      <c r="A194" s="156"/>
      <c r="B194" s="238"/>
      <c r="C194" s="238"/>
      <c r="D194" s="43"/>
      <c r="E194" s="43"/>
      <c r="F194" s="43" t="s">
        <v>172</v>
      </c>
      <c r="G194" s="48" t="s">
        <v>171</v>
      </c>
      <c r="H194" s="48"/>
      <c r="I194" s="5"/>
      <c r="J194" s="5"/>
      <c r="K194" s="108"/>
      <c r="S194" s="117"/>
      <c r="T194" s="227"/>
      <c r="U194" s="227"/>
      <c r="V194" s="227"/>
      <c r="W194" s="227"/>
      <c r="X194" s="227"/>
      <c r="Y194" s="118"/>
    </row>
    <row r="195" spans="1:25" x14ac:dyDescent="0.3">
      <c r="A195" s="156"/>
      <c r="B195" s="238"/>
      <c r="C195" s="238"/>
      <c r="D195" s="17"/>
      <c r="E195" s="17"/>
      <c r="F195" s="17"/>
      <c r="G195" s="18"/>
      <c r="H195" s="18"/>
      <c r="I195" s="5"/>
      <c r="J195" s="5"/>
      <c r="K195" s="108"/>
      <c r="S195" s="117"/>
      <c r="T195" s="227"/>
      <c r="U195" s="227"/>
      <c r="V195" s="227"/>
      <c r="W195" s="227"/>
      <c r="X195" s="227"/>
      <c r="Y195" s="118"/>
    </row>
    <row r="196" spans="1:25" x14ac:dyDescent="0.3">
      <c r="A196" s="24"/>
      <c r="B196" s="17"/>
      <c r="C196" s="17"/>
      <c r="D196" s="17"/>
      <c r="E196" s="17"/>
      <c r="F196" s="17"/>
      <c r="G196" s="18"/>
      <c r="H196" s="18"/>
      <c r="I196" s="18"/>
      <c r="J196" s="18"/>
      <c r="K196" s="108"/>
      <c r="S196" s="117"/>
      <c r="T196" s="227"/>
      <c r="U196" s="227"/>
      <c r="V196" s="227"/>
      <c r="W196" s="227"/>
      <c r="X196" s="227"/>
      <c r="Y196" s="118"/>
    </row>
    <row r="197" spans="1:25" ht="21" x14ac:dyDescent="0.4">
      <c r="A197" s="24"/>
      <c r="B197" s="17"/>
      <c r="C197" s="17"/>
      <c r="D197" s="17"/>
      <c r="E197" s="17"/>
      <c r="F197" s="70" t="s">
        <v>48</v>
      </c>
      <c r="G197" s="18"/>
      <c r="H197" s="18"/>
      <c r="I197" s="18"/>
      <c r="J197" s="18"/>
      <c r="K197" s="108"/>
      <c r="S197" s="117"/>
      <c r="T197" s="227"/>
      <c r="U197" s="227"/>
      <c r="V197" s="227"/>
      <c r="W197" s="227"/>
      <c r="X197" s="227"/>
      <c r="Y197" s="118"/>
    </row>
    <row r="198" spans="1:25" x14ac:dyDescent="0.3">
      <c r="A198" s="156"/>
      <c r="B198" s="28"/>
      <c r="C198" s="238"/>
      <c r="D198" s="238"/>
      <c r="E198" s="238"/>
      <c r="F198" s="238"/>
      <c r="G198" s="5"/>
      <c r="H198" s="5"/>
      <c r="I198" s="5"/>
      <c r="J198" s="5"/>
      <c r="K198" s="108"/>
      <c r="S198" s="117"/>
      <c r="T198" s="227"/>
      <c r="U198" s="227"/>
      <c r="V198" s="227"/>
      <c r="W198" s="227"/>
      <c r="X198" s="227"/>
      <c r="Y198" s="118"/>
    </row>
    <row r="199" spans="1:25" s="13" customFormat="1" x14ac:dyDescent="0.3">
      <c r="A199" s="186"/>
      <c r="B199" s="95"/>
      <c r="C199" s="165">
        <v>33057</v>
      </c>
      <c r="D199" s="43" t="s">
        <v>37</v>
      </c>
      <c r="E199" s="43" t="s">
        <v>5</v>
      </c>
      <c r="F199" s="43">
        <v>3</v>
      </c>
      <c r="G199" s="43">
        <v>4</v>
      </c>
      <c r="H199" s="43" t="s">
        <v>214</v>
      </c>
      <c r="I199" s="18" t="s">
        <v>34</v>
      </c>
      <c r="J199" s="18"/>
      <c r="K199" s="109"/>
      <c r="S199" s="117" t="s">
        <v>37</v>
      </c>
      <c r="T199" s="227" t="s">
        <v>5</v>
      </c>
      <c r="U199" s="227">
        <v>4</v>
      </c>
      <c r="V199" s="227">
        <v>5</v>
      </c>
      <c r="W199" s="227"/>
      <c r="X199" s="126">
        <f t="shared" ref="X199:X200" si="62">(IF(U199&gt;V199,3,IF(U199=V199,1,2)))</f>
        <v>2</v>
      </c>
      <c r="Y199" s="125">
        <f t="shared" ref="Y199:Y200" si="63">(IF(V199&gt;U199,3,IF(U199=V199,1,2)))</f>
        <v>3</v>
      </c>
    </row>
    <row r="200" spans="1:25" s="13" customFormat="1" x14ac:dyDescent="0.3">
      <c r="A200" s="186"/>
      <c r="B200" s="95"/>
      <c r="C200" s="165"/>
      <c r="D200" s="43"/>
      <c r="E200" s="43"/>
      <c r="F200" s="43">
        <v>1</v>
      </c>
      <c r="G200" s="43">
        <v>1</v>
      </c>
      <c r="H200" s="43" t="s">
        <v>30</v>
      </c>
      <c r="I200" s="18"/>
      <c r="J200" s="18"/>
      <c r="K200" s="109"/>
      <c r="S200" s="117" t="s">
        <v>88</v>
      </c>
      <c r="T200" s="227" t="s">
        <v>74</v>
      </c>
      <c r="U200" s="227">
        <v>5</v>
      </c>
      <c r="V200" s="227">
        <v>4</v>
      </c>
      <c r="W200" s="227"/>
      <c r="X200" s="126">
        <f t="shared" si="62"/>
        <v>3</v>
      </c>
      <c r="Y200" s="125">
        <f t="shared" si="63"/>
        <v>2</v>
      </c>
    </row>
    <row r="201" spans="1:25" s="13" customFormat="1" x14ac:dyDescent="0.3">
      <c r="A201" s="186"/>
      <c r="B201" s="95"/>
      <c r="C201" s="165"/>
      <c r="D201" s="43"/>
      <c r="E201" s="43"/>
      <c r="F201" s="43">
        <v>1</v>
      </c>
      <c r="G201" s="43">
        <v>1</v>
      </c>
      <c r="H201" s="43"/>
      <c r="I201" s="18"/>
      <c r="J201" s="18"/>
      <c r="K201" s="109"/>
      <c r="S201" s="117"/>
      <c r="T201" s="227"/>
      <c r="U201" s="227"/>
      <c r="V201" s="227"/>
      <c r="W201" s="227"/>
      <c r="X201" s="227"/>
      <c r="Y201" s="118"/>
    </row>
    <row r="202" spans="1:25" s="13" customFormat="1" ht="15" thickBot="1" x14ac:dyDescent="0.35">
      <c r="A202" s="186"/>
      <c r="B202" s="95"/>
      <c r="C202" s="62"/>
      <c r="D202" s="80"/>
      <c r="E202" s="80"/>
      <c r="F202" s="80" t="s">
        <v>172</v>
      </c>
      <c r="G202" s="80" t="s">
        <v>171</v>
      </c>
      <c r="H202" s="80"/>
      <c r="I202" s="31"/>
      <c r="J202" s="18"/>
      <c r="K202" s="109"/>
      <c r="S202" s="117"/>
      <c r="T202" s="227"/>
      <c r="U202" s="227"/>
      <c r="V202" s="227"/>
      <c r="W202" s="227"/>
      <c r="X202" s="227"/>
      <c r="Y202" s="118"/>
    </row>
    <row r="203" spans="1:25" s="13" customFormat="1" x14ac:dyDescent="0.3">
      <c r="A203" s="186"/>
      <c r="B203" s="95"/>
      <c r="C203" s="165">
        <v>33058</v>
      </c>
      <c r="D203" s="43" t="s">
        <v>88</v>
      </c>
      <c r="E203" s="43" t="s">
        <v>74</v>
      </c>
      <c r="F203" s="43">
        <v>4</v>
      </c>
      <c r="G203" s="43">
        <v>3</v>
      </c>
      <c r="H203" s="43" t="s">
        <v>214</v>
      </c>
      <c r="I203" s="18" t="s">
        <v>31</v>
      </c>
      <c r="J203" s="18"/>
      <c r="K203" s="109"/>
      <c r="S203" s="117"/>
      <c r="T203" s="227"/>
      <c r="U203" s="227"/>
      <c r="V203" s="227"/>
      <c r="W203" s="227"/>
      <c r="X203" s="227"/>
      <c r="Y203" s="118"/>
    </row>
    <row r="204" spans="1:25" s="13" customFormat="1" x14ac:dyDescent="0.3">
      <c r="A204" s="186"/>
      <c r="B204" s="95"/>
      <c r="C204" s="165"/>
      <c r="D204" s="17"/>
      <c r="E204" s="17"/>
      <c r="F204" s="17">
        <v>1</v>
      </c>
      <c r="G204" s="17">
        <v>1</v>
      </c>
      <c r="H204" s="17" t="s">
        <v>30</v>
      </c>
      <c r="I204" s="18"/>
      <c r="J204" s="18"/>
      <c r="K204" s="109"/>
      <c r="S204" s="117"/>
      <c r="T204" s="227"/>
      <c r="U204" s="227"/>
      <c r="V204" s="227"/>
      <c r="W204" s="227"/>
      <c r="X204" s="227"/>
      <c r="Y204" s="118"/>
    </row>
    <row r="205" spans="1:25" x14ac:dyDescent="0.3">
      <c r="A205" s="156"/>
      <c r="B205" s="238"/>
      <c r="C205" s="238"/>
      <c r="D205" s="238"/>
      <c r="E205" s="238"/>
      <c r="F205" s="238">
        <v>1</v>
      </c>
      <c r="G205" s="5">
        <v>1</v>
      </c>
      <c r="H205" s="5"/>
      <c r="I205" s="5"/>
      <c r="J205" s="5"/>
      <c r="K205" s="108"/>
      <c r="S205" s="117"/>
      <c r="T205" s="227"/>
      <c r="U205" s="227"/>
      <c r="V205" s="227"/>
      <c r="W205" s="227"/>
      <c r="X205" s="227"/>
      <c r="Y205" s="118"/>
    </row>
    <row r="206" spans="1:25" x14ac:dyDescent="0.3">
      <c r="A206" s="156"/>
      <c r="B206" s="238"/>
      <c r="C206" s="238"/>
      <c r="D206" s="238"/>
      <c r="E206" s="238"/>
      <c r="F206" s="238" t="s">
        <v>170</v>
      </c>
      <c r="G206" s="5" t="s">
        <v>171</v>
      </c>
      <c r="H206" s="5"/>
      <c r="I206" s="5"/>
      <c r="J206" s="5"/>
      <c r="K206" s="108"/>
      <c r="S206" s="117"/>
      <c r="T206" s="227"/>
      <c r="U206" s="227"/>
      <c r="V206" s="227"/>
      <c r="W206" s="227"/>
      <c r="X206" s="227"/>
      <c r="Y206" s="118"/>
    </row>
    <row r="207" spans="1:25" x14ac:dyDescent="0.3">
      <c r="A207" s="156"/>
      <c r="B207" s="238"/>
      <c r="C207" s="238"/>
      <c r="D207" s="238"/>
      <c r="E207" s="238"/>
      <c r="F207" s="238"/>
      <c r="G207" s="5"/>
      <c r="H207" s="5"/>
      <c r="I207" s="5"/>
      <c r="J207" s="5"/>
      <c r="K207" s="108"/>
      <c r="S207" s="117"/>
      <c r="T207" s="227"/>
      <c r="U207" s="227"/>
      <c r="V207" s="227"/>
      <c r="W207" s="227"/>
      <c r="X207" s="227"/>
      <c r="Y207" s="118"/>
    </row>
    <row r="208" spans="1:25" ht="15" thickBot="1" x14ac:dyDescent="0.35">
      <c r="A208" s="156"/>
      <c r="B208" s="238"/>
      <c r="C208" s="238"/>
      <c r="D208" s="238"/>
      <c r="E208" s="238"/>
      <c r="F208" s="238"/>
      <c r="G208" s="5"/>
      <c r="H208" s="5"/>
      <c r="I208" s="5"/>
      <c r="J208" s="5"/>
      <c r="K208" s="108"/>
      <c r="S208" s="117"/>
      <c r="T208" s="227"/>
      <c r="U208" s="227"/>
      <c r="V208" s="227"/>
      <c r="W208" s="227"/>
      <c r="X208" s="227"/>
      <c r="Y208" s="118"/>
    </row>
    <row r="209" spans="1:25" ht="21" x14ac:dyDescent="0.4">
      <c r="A209" s="156"/>
      <c r="B209" s="238"/>
      <c r="C209" s="420" t="s">
        <v>296</v>
      </c>
      <c r="D209" s="444"/>
      <c r="E209" s="444"/>
      <c r="F209" s="444"/>
      <c r="G209" s="444"/>
      <c r="H209" s="444"/>
      <c r="I209" s="445"/>
      <c r="J209" s="5"/>
      <c r="K209" s="93"/>
      <c r="L209" s="1"/>
      <c r="S209" s="117"/>
      <c r="T209" s="227"/>
      <c r="U209" s="227"/>
      <c r="V209" s="227"/>
      <c r="W209" s="227"/>
      <c r="X209" s="227"/>
      <c r="Y209" s="118"/>
    </row>
    <row r="210" spans="1:25" ht="14.4" customHeight="1" x14ac:dyDescent="0.4">
      <c r="A210" s="156"/>
      <c r="B210" s="387"/>
      <c r="C210" s="364"/>
      <c r="D210" s="388"/>
      <c r="E210" s="388"/>
      <c r="F210" s="388"/>
      <c r="G210" s="388"/>
      <c r="H210" s="388"/>
      <c r="I210" s="384"/>
      <c r="J210" s="5"/>
      <c r="K210" s="391"/>
      <c r="L210" s="357"/>
      <c r="S210" s="117"/>
      <c r="T210" s="387"/>
      <c r="U210" s="387"/>
      <c r="V210" s="387"/>
      <c r="W210" s="387"/>
      <c r="X210" s="387"/>
      <c r="Y210" s="118"/>
    </row>
    <row r="211" spans="1:25" s="13" customFormat="1" x14ac:dyDescent="0.3">
      <c r="A211" s="194"/>
      <c r="B211" s="17"/>
      <c r="C211" s="21"/>
      <c r="D211" s="43" t="s">
        <v>37</v>
      </c>
      <c r="E211" s="85" t="s">
        <v>74</v>
      </c>
      <c r="F211" s="43">
        <v>2</v>
      </c>
      <c r="G211" s="18">
        <v>1</v>
      </c>
      <c r="I211" s="22"/>
      <c r="J211" s="18"/>
      <c r="K211" s="35"/>
      <c r="L211" s="10"/>
      <c r="S211" s="117" t="s">
        <v>37</v>
      </c>
      <c r="T211" s="227" t="s">
        <v>74</v>
      </c>
      <c r="U211" s="227">
        <v>2</v>
      </c>
      <c r="V211" s="227">
        <v>1</v>
      </c>
      <c r="W211" s="227"/>
      <c r="X211" s="126">
        <f t="shared" ref="X211" si="64">(IF(U211&gt;V211,3,IF(U211=V211,1,2)))</f>
        <v>3</v>
      </c>
      <c r="Y211" s="125">
        <f t="shared" ref="Y211" si="65">(IF(V211&gt;U211,3,IF(U211=V211,1,2)))</f>
        <v>2</v>
      </c>
    </row>
    <row r="212" spans="1:25" x14ac:dyDescent="0.3">
      <c r="A212" s="156"/>
      <c r="B212" s="238"/>
      <c r="C212" s="3"/>
      <c r="D212" s="49"/>
      <c r="E212" s="49"/>
      <c r="F212" s="49" t="s">
        <v>170</v>
      </c>
      <c r="G212" s="5" t="s">
        <v>171</v>
      </c>
      <c r="I212" s="6"/>
      <c r="J212" s="5"/>
      <c r="K212" s="93"/>
      <c r="L212" s="1"/>
      <c r="S212" s="117"/>
      <c r="T212" s="227"/>
      <c r="U212" s="227"/>
      <c r="V212" s="227"/>
      <c r="W212" s="227"/>
      <c r="X212" s="227"/>
      <c r="Y212" s="118"/>
    </row>
    <row r="213" spans="1:25" ht="15" thickBot="1" x14ac:dyDescent="0.35">
      <c r="A213" s="156"/>
      <c r="B213" s="238"/>
      <c r="C213" s="7"/>
      <c r="D213" s="242"/>
      <c r="E213" s="79"/>
      <c r="F213" s="79"/>
      <c r="G213" s="79"/>
      <c r="H213" s="8"/>
      <c r="I213" s="9"/>
      <c r="J213" s="5"/>
      <c r="K213" s="93"/>
      <c r="L213" s="1"/>
      <c r="S213" s="117"/>
      <c r="T213" s="227"/>
      <c r="U213" s="227"/>
      <c r="V213" s="227"/>
      <c r="W213" s="227"/>
      <c r="X213" s="227"/>
      <c r="Y213" s="118"/>
    </row>
    <row r="214" spans="1:25" x14ac:dyDescent="0.3">
      <c r="A214" s="156"/>
      <c r="B214" s="238"/>
      <c r="C214" s="238"/>
      <c r="D214" s="238"/>
      <c r="E214" s="49"/>
      <c r="F214" s="49"/>
      <c r="G214" s="49"/>
      <c r="H214" s="5"/>
      <c r="I214" s="5"/>
      <c r="J214" s="5"/>
      <c r="K214" s="93"/>
      <c r="L214" s="68"/>
      <c r="S214" s="117"/>
      <c r="T214" s="227"/>
      <c r="U214" s="227"/>
      <c r="V214" s="227"/>
      <c r="W214" s="227"/>
      <c r="X214" s="227"/>
      <c r="Y214" s="118"/>
    </row>
    <row r="215" spans="1:25" x14ac:dyDescent="0.3">
      <c r="A215" s="156"/>
      <c r="B215" s="238"/>
      <c r="C215" s="238"/>
      <c r="D215" s="238"/>
      <c r="E215" s="238"/>
      <c r="F215" s="238"/>
      <c r="G215" s="238"/>
      <c r="H215" s="5"/>
      <c r="I215" s="5"/>
      <c r="J215" s="5"/>
      <c r="K215" s="93"/>
      <c r="L215" s="68"/>
      <c r="S215" s="117"/>
      <c r="T215" s="227"/>
      <c r="U215" s="227"/>
      <c r="V215" s="227"/>
      <c r="W215" s="227"/>
      <c r="X215" s="227"/>
      <c r="Y215" s="118"/>
    </row>
    <row r="216" spans="1:25" x14ac:dyDescent="0.3">
      <c r="A216" s="156"/>
      <c r="B216" s="238"/>
      <c r="C216" s="238"/>
      <c r="D216" s="238"/>
      <c r="E216" s="238"/>
      <c r="F216" s="238"/>
      <c r="G216" s="238"/>
      <c r="H216" s="5"/>
      <c r="I216" s="5"/>
      <c r="J216" s="5"/>
      <c r="K216" s="93"/>
      <c r="L216" s="68"/>
      <c r="S216" s="117"/>
      <c r="T216" s="227"/>
      <c r="U216" s="227"/>
      <c r="V216" s="227"/>
      <c r="W216" s="227"/>
      <c r="X216" s="227"/>
      <c r="Y216" s="118"/>
    </row>
    <row r="217" spans="1:25" ht="15" thickBot="1" x14ac:dyDescent="0.35">
      <c r="A217" s="156"/>
      <c r="B217" s="238"/>
      <c r="C217" s="238"/>
      <c r="D217" s="238"/>
      <c r="E217" s="238"/>
      <c r="F217" s="238"/>
      <c r="G217" s="238"/>
      <c r="H217" s="5"/>
      <c r="I217" s="5"/>
      <c r="J217" s="5"/>
      <c r="K217" s="93"/>
      <c r="L217" s="68"/>
      <c r="S217" s="117"/>
      <c r="T217" s="227"/>
      <c r="U217" s="227"/>
      <c r="V217" s="227"/>
      <c r="W217" s="227"/>
      <c r="X217" s="227"/>
      <c r="Y217" s="118"/>
    </row>
    <row r="218" spans="1:25" ht="21" x14ac:dyDescent="0.4">
      <c r="A218" s="156"/>
      <c r="B218" s="238"/>
      <c r="C218" s="420" t="s">
        <v>297</v>
      </c>
      <c r="D218" s="444"/>
      <c r="E218" s="444"/>
      <c r="F218" s="444"/>
      <c r="G218" s="444"/>
      <c r="H218" s="444"/>
      <c r="I218" s="445"/>
      <c r="J218" s="5"/>
      <c r="K218" s="93"/>
      <c r="L218" s="1"/>
      <c r="S218" s="117"/>
      <c r="T218" s="227"/>
      <c r="U218" s="227"/>
      <c r="V218" s="227"/>
      <c r="W218" s="227"/>
      <c r="X218" s="227"/>
      <c r="Y218" s="118"/>
    </row>
    <row r="219" spans="1:25" ht="14.4" customHeight="1" x14ac:dyDescent="0.4">
      <c r="A219" s="156"/>
      <c r="B219" s="387"/>
      <c r="C219" s="364"/>
      <c r="D219" s="388"/>
      <c r="E219" s="388"/>
      <c r="F219" s="388"/>
      <c r="G219" s="388"/>
      <c r="H219" s="388"/>
      <c r="I219" s="384"/>
      <c r="J219" s="5"/>
      <c r="K219" s="391"/>
      <c r="L219" s="357"/>
      <c r="S219" s="117"/>
      <c r="T219" s="387"/>
      <c r="U219" s="387"/>
      <c r="V219" s="387"/>
      <c r="W219" s="387"/>
      <c r="X219" s="387"/>
      <c r="Y219" s="118"/>
    </row>
    <row r="220" spans="1:25" s="13" customFormat="1" x14ac:dyDescent="0.3">
      <c r="A220" s="194"/>
      <c r="B220" s="17"/>
      <c r="C220" s="21"/>
      <c r="D220" s="43" t="s">
        <v>5</v>
      </c>
      <c r="E220" s="85" t="s">
        <v>88</v>
      </c>
      <c r="F220" s="48">
        <v>0</v>
      </c>
      <c r="G220" s="18">
        <v>1</v>
      </c>
      <c r="I220" s="22"/>
      <c r="J220" s="18"/>
      <c r="K220" s="35"/>
      <c r="L220" s="10"/>
      <c r="S220" s="117" t="s">
        <v>5</v>
      </c>
      <c r="T220" s="227" t="s">
        <v>88</v>
      </c>
      <c r="U220" s="227">
        <v>0</v>
      </c>
      <c r="V220" s="227">
        <v>1</v>
      </c>
      <c r="W220" s="227"/>
      <c r="X220" s="126">
        <f t="shared" ref="X220" si="66">(IF(U220&gt;V220,3,IF(U220=V220,1,2)))</f>
        <v>2</v>
      </c>
      <c r="Y220" s="125">
        <f t="shared" ref="Y220" si="67">(IF(V220&gt;U220,3,IF(U220=V220,1,2)))</f>
        <v>3</v>
      </c>
    </row>
    <row r="221" spans="1:25" x14ac:dyDescent="0.3">
      <c r="A221" s="156"/>
      <c r="B221" s="238"/>
      <c r="C221" s="3"/>
      <c r="D221" s="43"/>
      <c r="E221" s="43"/>
      <c r="F221" s="48" t="s">
        <v>170</v>
      </c>
      <c r="G221" s="5" t="s">
        <v>171</v>
      </c>
      <c r="I221" s="6"/>
      <c r="J221" s="5"/>
      <c r="K221" s="93"/>
      <c r="L221" s="1"/>
      <c r="S221" s="117"/>
      <c r="T221" s="227"/>
      <c r="U221" s="227"/>
      <c r="V221" s="227"/>
      <c r="W221" s="227"/>
      <c r="X221" s="227"/>
      <c r="Y221" s="118"/>
    </row>
    <row r="222" spans="1:25" ht="15" thickBot="1" x14ac:dyDescent="0.35">
      <c r="A222" s="156"/>
      <c r="B222" s="238"/>
      <c r="C222" s="7"/>
      <c r="D222" s="242"/>
      <c r="E222" s="80"/>
      <c r="F222" s="80"/>
      <c r="G222" s="84"/>
      <c r="H222" s="8"/>
      <c r="I222" s="9"/>
      <c r="J222" s="5"/>
      <c r="K222" s="93"/>
      <c r="L222" s="1"/>
      <c r="S222" s="119"/>
      <c r="T222" s="120"/>
      <c r="U222" s="120"/>
      <c r="V222" s="120"/>
      <c r="W222" s="120"/>
      <c r="X222" s="120"/>
      <c r="Y222" s="121"/>
    </row>
    <row r="223" spans="1:25" x14ac:dyDescent="0.3">
      <c r="A223" s="156"/>
      <c r="B223" s="238"/>
      <c r="C223" s="238"/>
      <c r="D223" s="238"/>
      <c r="E223" s="43"/>
      <c r="F223" s="43"/>
      <c r="G223" s="48"/>
      <c r="H223" s="5"/>
      <c r="I223" s="5"/>
      <c r="J223" s="5"/>
      <c r="K223" s="93"/>
      <c r="L223" s="1"/>
    </row>
    <row r="224" spans="1:25" s="13" customFormat="1" x14ac:dyDescent="0.3">
      <c r="A224" s="194"/>
      <c r="B224" s="17"/>
      <c r="C224" s="17"/>
      <c r="D224" s="17"/>
      <c r="E224" s="17"/>
      <c r="F224" s="17"/>
      <c r="G224" s="18"/>
      <c r="H224" s="18"/>
      <c r="I224" s="18"/>
      <c r="J224" s="18"/>
      <c r="K224" s="35"/>
      <c r="L224" s="10"/>
      <c r="S224" s="167"/>
      <c r="T224" s="167"/>
      <c r="U224" s="167"/>
      <c r="V224" s="167"/>
      <c r="W224" s="167"/>
      <c r="X224" s="167"/>
      <c r="Y224" s="167"/>
    </row>
    <row r="225" spans="1:25" s="13" customFormat="1" x14ac:dyDescent="0.3">
      <c r="A225" s="24"/>
      <c r="B225" s="17"/>
      <c r="C225" s="17"/>
      <c r="D225" s="17"/>
      <c r="E225" s="17"/>
      <c r="F225" s="17"/>
      <c r="G225" s="18"/>
      <c r="H225" s="18"/>
      <c r="I225" s="18"/>
      <c r="J225" s="18"/>
      <c r="K225" s="109"/>
      <c r="S225" s="167"/>
      <c r="T225" s="167"/>
      <c r="U225" s="167"/>
      <c r="V225" s="167"/>
      <c r="W225" s="167"/>
      <c r="X225" s="167"/>
      <c r="Y225" s="167"/>
    </row>
    <row r="226" spans="1:25" s="13" customFormat="1" x14ac:dyDescent="0.3">
      <c r="A226" s="24"/>
      <c r="B226" s="17"/>
      <c r="C226" s="17"/>
      <c r="D226" s="17"/>
      <c r="E226" s="17"/>
      <c r="F226" s="17"/>
      <c r="G226" s="18"/>
      <c r="H226" s="18"/>
      <c r="I226" s="18"/>
      <c r="J226" s="18"/>
      <c r="K226" s="109"/>
      <c r="S226" s="167"/>
      <c r="T226" s="167"/>
      <c r="U226" s="167"/>
      <c r="V226" s="167"/>
      <c r="W226" s="167"/>
      <c r="X226" s="167"/>
      <c r="Y226" s="167"/>
    </row>
    <row r="227" spans="1:25" ht="15" thickBot="1" x14ac:dyDescent="0.35">
      <c r="A227" s="240"/>
      <c r="B227" s="238" t="s">
        <v>298</v>
      </c>
      <c r="C227" s="238" t="s">
        <v>12</v>
      </c>
      <c r="D227" s="238" t="s">
        <v>13</v>
      </c>
      <c r="E227" s="238" t="s">
        <v>14</v>
      </c>
      <c r="F227" s="238" t="s">
        <v>15</v>
      </c>
      <c r="G227" s="5" t="s">
        <v>24</v>
      </c>
      <c r="H227" s="5" t="s">
        <v>25</v>
      </c>
      <c r="I227" s="5" t="s">
        <v>26</v>
      </c>
      <c r="J227" s="5" t="s">
        <v>27</v>
      </c>
      <c r="K227" s="93"/>
      <c r="L227" s="1"/>
    </row>
    <row r="228" spans="1:25" s="13" customFormat="1" x14ac:dyDescent="0.3">
      <c r="A228" s="24"/>
      <c r="B228" s="14" t="s">
        <v>88</v>
      </c>
      <c r="C228" s="248">
        <f>COUNTIF($S$12:$T$220,"BRD")</f>
        <v>7</v>
      </c>
      <c r="D228" s="124">
        <f t="shared" ref="D228:D251" si="68">SUMPRODUCT(($S$12:$T$220=B228)*($X$12:$Y$220=3))</f>
        <v>6</v>
      </c>
      <c r="E228" s="124">
        <f t="shared" ref="E228:E251" si="69">SUMPRODUCT(($S$12:$T$220=B228)*($X$12:$Y$220=1))</f>
        <v>1</v>
      </c>
      <c r="F228" s="124">
        <f t="shared" ref="F228:F251" si="70">SUMPRODUCT(($S$12:$T$220=B228)*($X$12:$Y$220=2))</f>
        <v>0</v>
      </c>
      <c r="G228" s="124">
        <f t="shared" ref="G228:G251" si="71">SUMPRODUCT(($S$12:$S$220=B228)*($U$12:$U$220))+SUMPRODUCT(($T$12:$T$220=B228)*($V$12:$V$220))</f>
        <v>19</v>
      </c>
      <c r="H228" s="124">
        <f t="shared" ref="H228:H251" si="72">SUMPRODUCT(($S$12:$S$220=B228)*($V$12:$V$220))+SUMPRODUCT(($T$12:$T$220=B228)*($U$12:$U$220))</f>
        <v>8</v>
      </c>
      <c r="I228" s="15">
        <f t="shared" ref="I228:I251" si="73">(D228*2)+E228</f>
        <v>13</v>
      </c>
      <c r="J228" s="16">
        <f t="shared" ref="J228:J251" si="74">(F228*2)+E228</f>
        <v>1</v>
      </c>
      <c r="K228" s="35"/>
      <c r="L228" s="10"/>
      <c r="S228" s="10"/>
      <c r="T228" s="10"/>
      <c r="U228" s="10"/>
      <c r="V228" s="10"/>
      <c r="W228" s="10"/>
      <c r="X228" s="10"/>
      <c r="Y228" s="10"/>
    </row>
    <row r="229" spans="1:25" s="13" customFormat="1" x14ac:dyDescent="0.3">
      <c r="A229" s="24"/>
      <c r="B229" s="21" t="s">
        <v>37</v>
      </c>
      <c r="C229" s="17">
        <f>COUNTIF($S$12:$T$220,"Italien")</f>
        <v>7</v>
      </c>
      <c r="D229" s="43">
        <f t="shared" si="68"/>
        <v>6</v>
      </c>
      <c r="E229" s="43">
        <f t="shared" si="69"/>
        <v>0</v>
      </c>
      <c r="F229" s="43">
        <f t="shared" si="70"/>
        <v>1</v>
      </c>
      <c r="G229" s="43">
        <f t="shared" si="71"/>
        <v>13</v>
      </c>
      <c r="H229" s="43">
        <f t="shared" si="72"/>
        <v>6</v>
      </c>
      <c r="I229" s="18">
        <f t="shared" si="73"/>
        <v>12</v>
      </c>
      <c r="J229" s="22">
        <f t="shared" si="74"/>
        <v>2</v>
      </c>
      <c r="K229" s="109"/>
      <c r="S229" s="10"/>
      <c r="T229" s="10"/>
      <c r="U229" s="10"/>
      <c r="V229" s="10"/>
      <c r="W229" s="10"/>
      <c r="X229" s="10"/>
      <c r="Y229" s="10"/>
    </row>
    <row r="230" spans="1:25" s="13" customFormat="1" x14ac:dyDescent="0.3">
      <c r="A230" s="24"/>
      <c r="B230" s="21" t="s">
        <v>5</v>
      </c>
      <c r="C230" s="17">
        <f>COUNTIF($S$12:$T$220,"Argentinien")</f>
        <v>7</v>
      </c>
      <c r="D230" s="43">
        <f t="shared" si="68"/>
        <v>4</v>
      </c>
      <c r="E230" s="43">
        <f t="shared" si="69"/>
        <v>1</v>
      </c>
      <c r="F230" s="43">
        <f t="shared" si="70"/>
        <v>2</v>
      </c>
      <c r="G230" s="43">
        <f t="shared" si="71"/>
        <v>12</v>
      </c>
      <c r="H230" s="43">
        <f t="shared" si="72"/>
        <v>9</v>
      </c>
      <c r="I230" s="18">
        <f t="shared" si="73"/>
        <v>9</v>
      </c>
      <c r="J230" s="22">
        <f t="shared" si="74"/>
        <v>5</v>
      </c>
      <c r="K230" s="35"/>
      <c r="L230" s="10"/>
      <c r="S230" s="10"/>
      <c r="T230" s="10"/>
      <c r="U230" s="10"/>
      <c r="V230" s="10"/>
      <c r="W230" s="10"/>
      <c r="X230" s="10"/>
      <c r="Y230" s="10"/>
    </row>
    <row r="231" spans="1:25" s="13" customFormat="1" x14ac:dyDescent="0.3">
      <c r="A231" s="24"/>
      <c r="B231" s="21" t="s">
        <v>74</v>
      </c>
      <c r="C231" s="238">
        <f>COUNTIF($S$12:$T$220,"England")</f>
        <v>7</v>
      </c>
      <c r="D231" s="43">
        <f t="shared" si="68"/>
        <v>3</v>
      </c>
      <c r="E231" s="43">
        <f t="shared" si="69"/>
        <v>2</v>
      </c>
      <c r="F231" s="43">
        <f t="shared" si="70"/>
        <v>2</v>
      </c>
      <c r="G231" s="43">
        <f t="shared" si="71"/>
        <v>11</v>
      </c>
      <c r="H231" s="43">
        <f t="shared" si="72"/>
        <v>10</v>
      </c>
      <c r="I231" s="18">
        <f t="shared" si="73"/>
        <v>8</v>
      </c>
      <c r="J231" s="22">
        <f t="shared" si="74"/>
        <v>6</v>
      </c>
      <c r="K231" s="35"/>
      <c r="L231" s="10"/>
      <c r="S231" s="167"/>
      <c r="T231" s="167"/>
      <c r="U231" s="167"/>
      <c r="V231" s="167"/>
      <c r="W231" s="167"/>
      <c r="X231" s="167"/>
      <c r="Y231" s="167"/>
    </row>
    <row r="232" spans="1:25" s="13" customFormat="1" x14ac:dyDescent="0.3">
      <c r="A232" s="24"/>
      <c r="B232" s="21" t="s">
        <v>9</v>
      </c>
      <c r="C232" s="17">
        <f>COUNTIF($S$12:$T$220,"Brasilien")</f>
        <v>4</v>
      </c>
      <c r="D232" s="43">
        <f t="shared" si="68"/>
        <v>3</v>
      </c>
      <c r="E232" s="43">
        <f t="shared" si="69"/>
        <v>0</v>
      </c>
      <c r="F232" s="43">
        <f t="shared" si="70"/>
        <v>1</v>
      </c>
      <c r="G232" s="43">
        <f t="shared" si="71"/>
        <v>4</v>
      </c>
      <c r="H232" s="43">
        <f t="shared" si="72"/>
        <v>2</v>
      </c>
      <c r="I232" s="18">
        <f t="shared" si="73"/>
        <v>6</v>
      </c>
      <c r="J232" s="22">
        <f t="shared" si="74"/>
        <v>2</v>
      </c>
      <c r="K232" s="35"/>
      <c r="L232" s="10"/>
      <c r="S232" s="10"/>
      <c r="T232" s="10"/>
      <c r="U232" s="10"/>
      <c r="V232" s="10"/>
      <c r="W232" s="10"/>
      <c r="X232" s="10"/>
      <c r="Y232" s="10"/>
    </row>
    <row r="233" spans="1:25" s="13" customFormat="1" x14ac:dyDescent="0.3">
      <c r="A233" s="24"/>
      <c r="B233" s="21" t="s">
        <v>284</v>
      </c>
      <c r="C233" s="238">
        <f>COUNTIF($S$12:$T$220,"ČSFR")</f>
        <v>5</v>
      </c>
      <c r="D233" s="43">
        <f t="shared" si="68"/>
        <v>3</v>
      </c>
      <c r="E233" s="43">
        <f t="shared" si="69"/>
        <v>0</v>
      </c>
      <c r="F233" s="43">
        <f t="shared" si="70"/>
        <v>2</v>
      </c>
      <c r="G233" s="43">
        <f t="shared" si="71"/>
        <v>10</v>
      </c>
      <c r="H233" s="43">
        <f t="shared" si="72"/>
        <v>5</v>
      </c>
      <c r="I233" s="18">
        <f t="shared" si="73"/>
        <v>6</v>
      </c>
      <c r="J233" s="22">
        <f t="shared" si="74"/>
        <v>4</v>
      </c>
      <c r="K233" s="35"/>
      <c r="L233" s="10"/>
      <c r="S233" s="167"/>
      <c r="T233" s="167"/>
      <c r="U233" s="167"/>
      <c r="V233" s="167"/>
      <c r="W233" s="167"/>
      <c r="X233" s="167"/>
      <c r="Y233" s="167"/>
    </row>
    <row r="234" spans="1:25" s="13" customFormat="1" x14ac:dyDescent="0.3">
      <c r="A234" s="24"/>
      <c r="B234" s="21" t="s">
        <v>8</v>
      </c>
      <c r="C234" s="238">
        <f>COUNTIF($S$12:$T$220,"Jugoslawien")</f>
        <v>5</v>
      </c>
      <c r="D234" s="43">
        <f t="shared" si="68"/>
        <v>3</v>
      </c>
      <c r="E234" s="43">
        <f t="shared" si="69"/>
        <v>0</v>
      </c>
      <c r="F234" s="43">
        <f t="shared" si="70"/>
        <v>2</v>
      </c>
      <c r="G234" s="43">
        <f t="shared" si="71"/>
        <v>10</v>
      </c>
      <c r="H234" s="43">
        <f t="shared" si="72"/>
        <v>9</v>
      </c>
      <c r="I234" s="18">
        <f t="shared" si="73"/>
        <v>6</v>
      </c>
      <c r="J234" s="22">
        <f t="shared" si="74"/>
        <v>4</v>
      </c>
      <c r="K234" s="109"/>
      <c r="S234" s="167"/>
      <c r="T234" s="167"/>
      <c r="U234" s="167"/>
      <c r="V234" s="167"/>
      <c r="W234" s="167"/>
      <c r="X234" s="167"/>
      <c r="Y234" s="167"/>
    </row>
    <row r="235" spans="1:25" s="13" customFormat="1" x14ac:dyDescent="0.3">
      <c r="A235" s="24"/>
      <c r="B235" s="21" t="s">
        <v>190</v>
      </c>
      <c r="C235" s="238">
        <f>COUNTIF($S$12:$T$220,"Kamerun")</f>
        <v>5</v>
      </c>
      <c r="D235" s="43">
        <f t="shared" si="68"/>
        <v>3</v>
      </c>
      <c r="E235" s="43">
        <f t="shared" si="69"/>
        <v>0</v>
      </c>
      <c r="F235" s="43">
        <f t="shared" si="70"/>
        <v>2</v>
      </c>
      <c r="G235" s="43">
        <f t="shared" si="71"/>
        <v>7</v>
      </c>
      <c r="H235" s="43">
        <f t="shared" si="72"/>
        <v>9</v>
      </c>
      <c r="I235" s="18">
        <f t="shared" si="73"/>
        <v>6</v>
      </c>
      <c r="J235" s="22">
        <f t="shared" si="74"/>
        <v>4</v>
      </c>
      <c r="K235" s="109"/>
      <c r="S235" s="167"/>
      <c r="T235" s="167"/>
      <c r="U235" s="167"/>
      <c r="V235" s="167"/>
      <c r="W235" s="167"/>
      <c r="X235" s="167"/>
      <c r="Y235" s="167"/>
    </row>
    <row r="236" spans="1:25" s="13" customFormat="1" x14ac:dyDescent="0.3">
      <c r="A236" s="24"/>
      <c r="B236" s="21" t="s">
        <v>35</v>
      </c>
      <c r="C236" s="238">
        <f>COUNTIF($S$12:$T$220,"Spanien")</f>
        <v>4</v>
      </c>
      <c r="D236" s="43">
        <f t="shared" si="68"/>
        <v>2</v>
      </c>
      <c r="E236" s="43">
        <f t="shared" si="69"/>
        <v>1</v>
      </c>
      <c r="F236" s="43">
        <f t="shared" si="70"/>
        <v>1</v>
      </c>
      <c r="G236" s="43">
        <f t="shared" si="71"/>
        <v>6</v>
      </c>
      <c r="H236" s="43">
        <f t="shared" si="72"/>
        <v>4</v>
      </c>
      <c r="I236" s="18">
        <f t="shared" si="73"/>
        <v>5</v>
      </c>
      <c r="J236" s="22">
        <f t="shared" si="74"/>
        <v>3</v>
      </c>
      <c r="K236" s="35"/>
      <c r="L236" s="10"/>
      <c r="S236" s="167"/>
      <c r="T236" s="167"/>
      <c r="U236" s="167"/>
      <c r="V236" s="167"/>
      <c r="W236" s="167"/>
      <c r="X236" s="167"/>
      <c r="Y236" s="167"/>
    </row>
    <row r="237" spans="1:25" s="13" customFormat="1" x14ac:dyDescent="0.3">
      <c r="A237" s="24"/>
      <c r="B237" s="21" t="s">
        <v>290</v>
      </c>
      <c r="C237" s="238">
        <f>COUNTIF($S$12:$T$220,"Irland")</f>
        <v>5</v>
      </c>
      <c r="D237" s="43">
        <f t="shared" si="68"/>
        <v>1</v>
      </c>
      <c r="E237" s="43">
        <f t="shared" si="69"/>
        <v>3</v>
      </c>
      <c r="F237" s="43">
        <f t="shared" si="70"/>
        <v>1</v>
      </c>
      <c r="G237" s="43">
        <f t="shared" si="71"/>
        <v>7</v>
      </c>
      <c r="H237" s="43">
        <f t="shared" si="72"/>
        <v>7</v>
      </c>
      <c r="I237" s="18">
        <f t="shared" si="73"/>
        <v>5</v>
      </c>
      <c r="J237" s="22">
        <f t="shared" si="74"/>
        <v>5</v>
      </c>
      <c r="K237" s="109"/>
      <c r="S237" s="167"/>
      <c r="T237" s="167"/>
      <c r="U237" s="167"/>
      <c r="V237" s="167"/>
      <c r="W237" s="167"/>
      <c r="X237" s="167"/>
      <c r="Y237" s="167"/>
    </row>
    <row r="238" spans="1:25" s="13" customFormat="1" x14ac:dyDescent="0.3">
      <c r="A238" s="24"/>
      <c r="B238" s="21" t="s">
        <v>21</v>
      </c>
      <c r="C238" s="238">
        <f>COUNTIF($S$12:$T$220,"Belgien")</f>
        <v>4</v>
      </c>
      <c r="D238" s="43">
        <f t="shared" si="68"/>
        <v>2</v>
      </c>
      <c r="E238" s="43">
        <f t="shared" si="69"/>
        <v>0</v>
      </c>
      <c r="F238" s="43">
        <f t="shared" si="70"/>
        <v>2</v>
      </c>
      <c r="G238" s="43">
        <f t="shared" si="71"/>
        <v>6</v>
      </c>
      <c r="H238" s="43">
        <f t="shared" si="72"/>
        <v>4</v>
      </c>
      <c r="I238" s="18">
        <f t="shared" si="73"/>
        <v>4</v>
      </c>
      <c r="J238" s="22">
        <f t="shared" si="74"/>
        <v>4</v>
      </c>
      <c r="K238" s="35"/>
      <c r="L238" s="10"/>
      <c r="S238" s="167"/>
      <c r="T238" s="167"/>
      <c r="U238" s="167"/>
      <c r="V238" s="167"/>
      <c r="W238" s="167"/>
      <c r="X238" s="167"/>
      <c r="Y238" s="167"/>
    </row>
    <row r="239" spans="1:25" s="13" customFormat="1" x14ac:dyDescent="0.3">
      <c r="A239" s="24"/>
      <c r="B239" s="21" t="s">
        <v>286</v>
      </c>
      <c r="C239" s="238">
        <f>COUNTIF($S$12:$T$220,"Costa Rica")</f>
        <v>4</v>
      </c>
      <c r="D239" s="43">
        <f t="shared" si="68"/>
        <v>2</v>
      </c>
      <c r="E239" s="43">
        <f t="shared" si="69"/>
        <v>0</v>
      </c>
      <c r="F239" s="43">
        <f t="shared" si="70"/>
        <v>2</v>
      </c>
      <c r="G239" s="43">
        <f t="shared" si="71"/>
        <v>4</v>
      </c>
      <c r="H239" s="43">
        <f t="shared" si="72"/>
        <v>6</v>
      </c>
      <c r="I239" s="18">
        <f t="shared" si="73"/>
        <v>4</v>
      </c>
      <c r="J239" s="22">
        <f t="shared" si="74"/>
        <v>4</v>
      </c>
      <c r="K239" s="35"/>
      <c r="L239" s="10"/>
      <c r="S239" s="167"/>
      <c r="T239" s="167"/>
      <c r="U239" s="167"/>
      <c r="V239" s="167"/>
      <c r="W239" s="167"/>
      <c r="X239" s="167"/>
      <c r="Y239" s="167"/>
    </row>
    <row r="240" spans="1:25" s="13" customFormat="1" x14ac:dyDescent="0.3">
      <c r="A240" s="24"/>
      <c r="B240" s="21" t="s">
        <v>16</v>
      </c>
      <c r="C240" s="238">
        <f>COUNTIF($S$12:$T$220,"Rumänien")</f>
        <v>4</v>
      </c>
      <c r="D240" s="43">
        <f t="shared" si="68"/>
        <v>1</v>
      </c>
      <c r="E240" s="43">
        <f t="shared" si="69"/>
        <v>1</v>
      </c>
      <c r="F240" s="43">
        <f t="shared" si="70"/>
        <v>2</v>
      </c>
      <c r="G240" s="43">
        <f t="shared" si="71"/>
        <v>8</v>
      </c>
      <c r="H240" s="43">
        <f t="shared" si="72"/>
        <v>8</v>
      </c>
      <c r="I240" s="18">
        <f t="shared" si="73"/>
        <v>3</v>
      </c>
      <c r="J240" s="22">
        <f t="shared" si="74"/>
        <v>5</v>
      </c>
      <c r="K240" s="35"/>
      <c r="L240" s="10"/>
      <c r="S240" s="167"/>
      <c r="T240" s="167"/>
      <c r="U240" s="167"/>
      <c r="V240" s="167"/>
      <c r="W240" s="167"/>
      <c r="X240" s="167"/>
      <c r="Y240" s="167"/>
    </row>
    <row r="241" spans="1:25" s="13" customFormat="1" x14ac:dyDescent="0.3">
      <c r="A241" s="24"/>
      <c r="B241" s="21" t="s">
        <v>117</v>
      </c>
      <c r="C241" s="238">
        <f>COUNTIF($S$12:$T$220,"Kolumbien")</f>
        <v>4</v>
      </c>
      <c r="D241" s="43">
        <f t="shared" si="68"/>
        <v>1</v>
      </c>
      <c r="E241" s="43">
        <f t="shared" si="69"/>
        <v>1</v>
      </c>
      <c r="F241" s="43">
        <f t="shared" si="70"/>
        <v>2</v>
      </c>
      <c r="G241" s="43">
        <f t="shared" si="71"/>
        <v>4</v>
      </c>
      <c r="H241" s="43">
        <f t="shared" si="72"/>
        <v>4</v>
      </c>
      <c r="I241" s="18">
        <f t="shared" si="73"/>
        <v>3</v>
      </c>
      <c r="J241" s="22">
        <f t="shared" si="74"/>
        <v>5</v>
      </c>
      <c r="K241" s="109"/>
      <c r="S241" s="167"/>
      <c r="T241" s="167"/>
      <c r="U241" s="167"/>
      <c r="V241" s="167"/>
      <c r="W241" s="167"/>
      <c r="X241" s="167"/>
      <c r="Y241" s="167"/>
    </row>
    <row r="242" spans="1:25" s="13" customFormat="1" x14ac:dyDescent="0.3">
      <c r="A242" s="24"/>
      <c r="B242" s="21" t="s">
        <v>63</v>
      </c>
      <c r="C242" s="238">
        <f>COUNTIF($S$12:$T$220,"Niederlande")</f>
        <v>4</v>
      </c>
      <c r="D242" s="43">
        <f t="shared" si="68"/>
        <v>0</v>
      </c>
      <c r="E242" s="43">
        <f t="shared" si="69"/>
        <v>3</v>
      </c>
      <c r="F242" s="43">
        <f t="shared" si="70"/>
        <v>1</v>
      </c>
      <c r="G242" s="43">
        <f t="shared" si="71"/>
        <v>3</v>
      </c>
      <c r="H242" s="43">
        <f t="shared" si="72"/>
        <v>4</v>
      </c>
      <c r="I242" s="18">
        <f t="shared" si="73"/>
        <v>3</v>
      </c>
      <c r="J242" s="22">
        <f t="shared" si="74"/>
        <v>5</v>
      </c>
      <c r="K242" s="109"/>
      <c r="S242" s="167"/>
      <c r="T242" s="167"/>
      <c r="U242" s="167"/>
      <c r="V242" s="167"/>
      <c r="W242" s="167"/>
      <c r="X242" s="167"/>
      <c r="Y242" s="167"/>
    </row>
    <row r="243" spans="1:25" s="13" customFormat="1" x14ac:dyDescent="0.3">
      <c r="A243" s="24"/>
      <c r="B243" s="21" t="s">
        <v>18</v>
      </c>
      <c r="C243" s="238">
        <f>COUNTIF($S$12:$T$220,"Uruguay")</f>
        <v>4</v>
      </c>
      <c r="D243" s="43">
        <f t="shared" si="68"/>
        <v>1</v>
      </c>
      <c r="E243" s="43">
        <f t="shared" si="69"/>
        <v>1</v>
      </c>
      <c r="F243" s="43">
        <f t="shared" si="70"/>
        <v>2</v>
      </c>
      <c r="G243" s="43">
        <f t="shared" si="71"/>
        <v>2</v>
      </c>
      <c r="H243" s="43">
        <f t="shared" si="72"/>
        <v>5</v>
      </c>
      <c r="I243" s="18">
        <f t="shared" si="73"/>
        <v>3</v>
      </c>
      <c r="J243" s="22">
        <f t="shared" si="74"/>
        <v>5</v>
      </c>
      <c r="K243" s="35"/>
      <c r="L243" s="10"/>
      <c r="S243" s="167"/>
      <c r="T243" s="167"/>
      <c r="U243" s="167"/>
      <c r="V243" s="167"/>
      <c r="W243" s="167"/>
      <c r="X243" s="167"/>
      <c r="Y243" s="167"/>
    </row>
    <row r="244" spans="1:25" s="13" customFormat="1" x14ac:dyDescent="0.3">
      <c r="A244" s="24"/>
      <c r="B244" s="21" t="s">
        <v>101</v>
      </c>
      <c r="C244" s="238">
        <f>COUNTIF($S$12:$T$220,"UdSSR")</f>
        <v>3</v>
      </c>
      <c r="D244" s="43">
        <f t="shared" si="68"/>
        <v>1</v>
      </c>
      <c r="E244" s="43">
        <f t="shared" si="69"/>
        <v>0</v>
      </c>
      <c r="F244" s="43">
        <f t="shared" si="70"/>
        <v>2</v>
      </c>
      <c r="G244" s="43">
        <f t="shared" si="71"/>
        <v>4</v>
      </c>
      <c r="H244" s="43">
        <f t="shared" si="72"/>
        <v>4</v>
      </c>
      <c r="I244" s="18">
        <f t="shared" si="73"/>
        <v>2</v>
      </c>
      <c r="J244" s="22">
        <f t="shared" si="74"/>
        <v>4</v>
      </c>
      <c r="K244" s="35"/>
      <c r="L244" s="10"/>
      <c r="S244" s="167"/>
      <c r="T244" s="167"/>
      <c r="U244" s="167"/>
      <c r="V244" s="167"/>
      <c r="W244" s="167"/>
      <c r="X244" s="167"/>
      <c r="Y244" s="167"/>
    </row>
    <row r="245" spans="1:25" s="13" customFormat="1" x14ac:dyDescent="0.3">
      <c r="A245" s="24"/>
      <c r="B245" s="21" t="s">
        <v>29</v>
      </c>
      <c r="C245" s="238">
        <f>COUNTIF($S$12:$T$220,"Österreich")</f>
        <v>3</v>
      </c>
      <c r="D245" s="43">
        <f t="shared" si="68"/>
        <v>1</v>
      </c>
      <c r="E245" s="43">
        <f t="shared" si="69"/>
        <v>0</v>
      </c>
      <c r="F245" s="43">
        <f t="shared" si="70"/>
        <v>2</v>
      </c>
      <c r="G245" s="43">
        <f t="shared" si="71"/>
        <v>2</v>
      </c>
      <c r="H245" s="43">
        <f t="shared" si="72"/>
        <v>3</v>
      </c>
      <c r="I245" s="18">
        <f t="shared" si="73"/>
        <v>2</v>
      </c>
      <c r="J245" s="22">
        <f t="shared" si="74"/>
        <v>4</v>
      </c>
      <c r="K245" s="109"/>
      <c r="S245" s="167"/>
      <c r="T245" s="167"/>
      <c r="U245" s="167"/>
      <c r="V245" s="167"/>
      <c r="W245" s="167"/>
      <c r="X245" s="167"/>
      <c r="Y245" s="167"/>
    </row>
    <row r="246" spans="1:25" s="13" customFormat="1" x14ac:dyDescent="0.3">
      <c r="A246" s="24"/>
      <c r="B246" s="21" t="s">
        <v>81</v>
      </c>
      <c r="C246" s="238">
        <f>COUNTIF($S$12:$T$220,"Schottland")</f>
        <v>3</v>
      </c>
      <c r="D246" s="43">
        <f t="shared" si="68"/>
        <v>1</v>
      </c>
      <c r="E246" s="43">
        <f t="shared" si="69"/>
        <v>0</v>
      </c>
      <c r="F246" s="43">
        <f t="shared" si="70"/>
        <v>2</v>
      </c>
      <c r="G246" s="43">
        <f t="shared" si="71"/>
        <v>2</v>
      </c>
      <c r="H246" s="43">
        <f t="shared" si="72"/>
        <v>3</v>
      </c>
      <c r="I246" s="18">
        <f t="shared" si="73"/>
        <v>2</v>
      </c>
      <c r="J246" s="22">
        <f t="shared" si="74"/>
        <v>4</v>
      </c>
      <c r="K246" s="109"/>
      <c r="S246" s="167"/>
      <c r="T246" s="167"/>
      <c r="U246" s="167"/>
      <c r="V246" s="167"/>
      <c r="W246" s="167"/>
      <c r="X246" s="167"/>
      <c r="Y246" s="167"/>
    </row>
    <row r="247" spans="1:25" s="13" customFormat="1" x14ac:dyDescent="0.3">
      <c r="A247" s="24"/>
      <c r="B247" s="21" t="s">
        <v>33</v>
      </c>
      <c r="C247" s="238">
        <f>COUNTIF($S$12:$T$220,"Ägypten")</f>
        <v>3</v>
      </c>
      <c r="D247" s="43">
        <f t="shared" si="68"/>
        <v>0</v>
      </c>
      <c r="E247" s="43">
        <f t="shared" si="69"/>
        <v>2</v>
      </c>
      <c r="F247" s="43">
        <f t="shared" si="70"/>
        <v>1</v>
      </c>
      <c r="G247" s="43">
        <f t="shared" si="71"/>
        <v>1</v>
      </c>
      <c r="H247" s="43">
        <f t="shared" si="72"/>
        <v>2</v>
      </c>
      <c r="I247" s="18">
        <f t="shared" si="73"/>
        <v>2</v>
      </c>
      <c r="J247" s="22">
        <f t="shared" si="74"/>
        <v>4</v>
      </c>
      <c r="K247" s="35"/>
      <c r="L247" s="10"/>
      <c r="S247" s="167"/>
      <c r="T247" s="167"/>
      <c r="U247" s="167"/>
      <c r="V247" s="167"/>
      <c r="W247" s="167"/>
      <c r="X247" s="167"/>
      <c r="Y247" s="167"/>
    </row>
    <row r="248" spans="1:25" s="13" customFormat="1" x14ac:dyDescent="0.3">
      <c r="A248" s="24"/>
      <c r="B248" s="21" t="s">
        <v>41</v>
      </c>
      <c r="C248" s="238">
        <f>COUNTIF($S$12:$T$220,"Schweden")</f>
        <v>3</v>
      </c>
      <c r="D248" s="43">
        <f t="shared" si="68"/>
        <v>0</v>
      </c>
      <c r="E248" s="43">
        <f t="shared" si="69"/>
        <v>0</v>
      </c>
      <c r="F248" s="43">
        <f t="shared" si="70"/>
        <v>3</v>
      </c>
      <c r="G248" s="43">
        <f t="shared" si="71"/>
        <v>3</v>
      </c>
      <c r="H248" s="43">
        <f t="shared" si="72"/>
        <v>6</v>
      </c>
      <c r="I248" s="18">
        <f t="shared" si="73"/>
        <v>0</v>
      </c>
      <c r="J248" s="22">
        <f t="shared" si="74"/>
        <v>6</v>
      </c>
      <c r="K248" s="35"/>
      <c r="L248" s="10"/>
      <c r="S248" s="167"/>
      <c r="T248" s="167"/>
      <c r="U248" s="167"/>
      <c r="V248" s="167"/>
      <c r="W248" s="167"/>
      <c r="X248" s="167"/>
      <c r="Y248" s="167"/>
    </row>
    <row r="249" spans="1:25" s="13" customFormat="1" x14ac:dyDescent="0.3">
      <c r="A249" s="24"/>
      <c r="B249" s="21" t="s">
        <v>20</v>
      </c>
      <c r="C249" s="238">
        <f>COUNTIF($S$12:$T$220,"USA")</f>
        <v>3</v>
      </c>
      <c r="D249" s="43">
        <f t="shared" si="68"/>
        <v>0</v>
      </c>
      <c r="E249" s="43">
        <f t="shared" si="69"/>
        <v>0</v>
      </c>
      <c r="F249" s="43">
        <f t="shared" si="70"/>
        <v>3</v>
      </c>
      <c r="G249" s="43">
        <f t="shared" si="71"/>
        <v>2</v>
      </c>
      <c r="H249" s="43">
        <f t="shared" si="72"/>
        <v>8</v>
      </c>
      <c r="I249" s="18">
        <f t="shared" si="73"/>
        <v>0</v>
      </c>
      <c r="J249" s="22">
        <f t="shared" si="74"/>
        <v>6</v>
      </c>
      <c r="K249" s="35"/>
      <c r="L249" s="10"/>
      <c r="S249" s="167"/>
      <c r="T249" s="167"/>
      <c r="U249" s="167"/>
      <c r="V249" s="167"/>
      <c r="W249" s="167"/>
      <c r="X249" s="167"/>
      <c r="Y249" s="167"/>
    </row>
    <row r="250" spans="1:25" s="13" customFormat="1" x14ac:dyDescent="0.3">
      <c r="A250" s="24"/>
      <c r="B250" s="21" t="s">
        <v>287</v>
      </c>
      <c r="C250" s="238">
        <f>COUNTIF($S$12:$T$220,"VAE")</f>
        <v>3</v>
      </c>
      <c r="D250" s="43">
        <f t="shared" si="68"/>
        <v>0</v>
      </c>
      <c r="E250" s="43">
        <f t="shared" si="69"/>
        <v>0</v>
      </c>
      <c r="F250" s="43">
        <f t="shared" si="70"/>
        <v>3</v>
      </c>
      <c r="G250" s="43">
        <f t="shared" si="71"/>
        <v>2</v>
      </c>
      <c r="H250" s="43">
        <f t="shared" si="72"/>
        <v>11</v>
      </c>
      <c r="I250" s="18">
        <f t="shared" si="73"/>
        <v>0</v>
      </c>
      <c r="J250" s="22">
        <f t="shared" si="74"/>
        <v>6</v>
      </c>
      <c r="K250" s="35"/>
      <c r="L250" s="10"/>
      <c r="S250" s="167"/>
      <c r="T250" s="167"/>
      <c r="U250" s="167"/>
      <c r="V250" s="167"/>
      <c r="W250" s="167"/>
      <c r="X250" s="167"/>
      <c r="Y250" s="167"/>
    </row>
    <row r="251" spans="1:25" s="13" customFormat="1" ht="15" thickBot="1" x14ac:dyDescent="0.35">
      <c r="A251" s="24"/>
      <c r="B251" s="29" t="s">
        <v>90</v>
      </c>
      <c r="C251" s="242">
        <f>COUNTIF($S$12:$T$220,"Südkorea")</f>
        <v>3</v>
      </c>
      <c r="D251" s="80">
        <f t="shared" si="68"/>
        <v>0</v>
      </c>
      <c r="E251" s="80">
        <f t="shared" si="69"/>
        <v>0</v>
      </c>
      <c r="F251" s="80">
        <f t="shared" si="70"/>
        <v>3</v>
      </c>
      <c r="G251" s="80">
        <f t="shared" si="71"/>
        <v>1</v>
      </c>
      <c r="H251" s="80">
        <f t="shared" si="72"/>
        <v>6</v>
      </c>
      <c r="I251" s="31">
        <f t="shared" si="73"/>
        <v>0</v>
      </c>
      <c r="J251" s="32">
        <f t="shared" si="74"/>
        <v>6</v>
      </c>
      <c r="K251" s="35"/>
      <c r="L251" s="10"/>
      <c r="S251" s="167"/>
      <c r="T251" s="167"/>
      <c r="U251" s="167"/>
      <c r="V251" s="167"/>
      <c r="W251" s="167"/>
      <c r="X251" s="167"/>
      <c r="Y251" s="167"/>
    </row>
    <row r="252" spans="1:25" x14ac:dyDescent="0.3">
      <c r="A252" s="240"/>
      <c r="B252" s="238"/>
      <c r="C252" s="238"/>
      <c r="D252" s="238"/>
      <c r="E252" s="238"/>
      <c r="F252" s="238"/>
      <c r="G252" s="5"/>
      <c r="H252" s="5"/>
      <c r="I252" s="5"/>
      <c r="J252" s="5"/>
      <c r="K252" s="108"/>
    </row>
    <row r="253" spans="1:25" ht="15" thickBot="1" x14ac:dyDescent="0.35">
      <c r="A253" s="110"/>
      <c r="B253" s="36"/>
      <c r="C253" s="36"/>
      <c r="D253" s="36"/>
      <c r="E253" s="36"/>
      <c r="F253" s="36"/>
      <c r="G253" s="37"/>
      <c r="H253" s="37"/>
      <c r="I253" s="37"/>
      <c r="J253" s="37"/>
      <c r="K253" s="193"/>
    </row>
    <row r="254" spans="1:25" ht="15" thickTop="1" x14ac:dyDescent="0.3"/>
  </sheetData>
  <sortState ref="A226:Z250">
    <sortCondition descending="1" ref="I226:I250"/>
    <sortCondition ref="J226:J250"/>
    <sortCondition descending="1" ref="G226:G250"/>
    <sortCondition ref="H226:H250"/>
  </sortState>
  <mergeCells count="5">
    <mergeCell ref="A2:K2"/>
    <mergeCell ref="A4:K4"/>
    <mergeCell ref="A5:K5"/>
    <mergeCell ref="C209:I209"/>
    <mergeCell ref="C218:I218"/>
  </mergeCells>
  <pageMargins left="0.7" right="0.7" top="0.78740157499999996" bottom="0.78740157499999996" header="0.3" footer="0.3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28"/>
  <sheetViews>
    <sheetView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K28" sqref="K28"/>
    </sheetView>
  </sheetViews>
  <sheetFormatPr baseColWidth="10" defaultRowHeight="14.4" x14ac:dyDescent="0.3"/>
  <cols>
    <col min="1" max="1" width="11.5546875" style="10"/>
    <col min="3" max="3" width="20.77734375" style="10" customWidth="1"/>
    <col min="4" max="4" width="10.77734375" style="10" customWidth="1"/>
    <col min="5" max="7" width="5.77734375" style="100" customWidth="1"/>
    <col min="8" max="9" width="10.77734375" style="100" customWidth="1"/>
    <col min="10" max="10" width="10.77734375" style="10" customWidth="1"/>
    <col min="11" max="12" width="10.77734375" style="100" customWidth="1"/>
    <col min="13" max="13" width="10.77734375" style="259" customWidth="1"/>
    <col min="14" max="16" width="5.77734375" style="245" customWidth="1"/>
    <col min="17" max="18" width="10.77734375" style="249" customWidth="1"/>
    <col min="19" max="19" width="10.77734375" style="260" customWidth="1"/>
    <col min="20" max="36" width="5.77734375" style="10" customWidth="1"/>
    <col min="37" max="48" width="5.77734375" style="13" customWidth="1"/>
    <col min="49" max="55" width="11.5546875" style="13"/>
  </cols>
  <sheetData>
    <row r="1" spans="1:54" x14ac:dyDescent="0.3">
      <c r="A1" s="299"/>
      <c r="C1" s="27" t="s">
        <v>127</v>
      </c>
      <c r="E1" s="10"/>
      <c r="T1" s="363"/>
    </row>
    <row r="3" spans="1:54" ht="15" thickBot="1" x14ac:dyDescent="0.35">
      <c r="A3" s="261" t="s">
        <v>115</v>
      </c>
      <c r="B3" s="7" t="s">
        <v>73</v>
      </c>
      <c r="C3" s="30" t="s">
        <v>298</v>
      </c>
      <c r="D3" s="30" t="s">
        <v>12</v>
      </c>
      <c r="E3" s="7" t="s">
        <v>13</v>
      </c>
      <c r="F3" s="246" t="s">
        <v>14</v>
      </c>
      <c r="G3" s="247" t="s">
        <v>15</v>
      </c>
      <c r="H3" s="8" t="s">
        <v>24</v>
      </c>
      <c r="I3" s="8" t="s">
        <v>25</v>
      </c>
      <c r="J3" s="255" t="s">
        <v>114</v>
      </c>
      <c r="K3" s="8" t="s">
        <v>26</v>
      </c>
      <c r="L3" s="9" t="s">
        <v>27</v>
      </c>
      <c r="M3" s="253" t="s">
        <v>12</v>
      </c>
      <c r="N3" s="8" t="s">
        <v>13</v>
      </c>
      <c r="O3" s="8" t="s">
        <v>14</v>
      </c>
      <c r="P3" s="9" t="s">
        <v>15</v>
      </c>
      <c r="Q3" s="253" t="s">
        <v>301</v>
      </c>
      <c r="R3" s="8" t="s">
        <v>26</v>
      </c>
      <c r="S3" s="263"/>
      <c r="T3" s="17">
        <v>1930</v>
      </c>
      <c r="U3" s="10">
        <v>1934</v>
      </c>
      <c r="V3" s="10">
        <v>1938</v>
      </c>
      <c r="W3" s="10">
        <v>1950</v>
      </c>
      <c r="X3" s="10">
        <v>1954</v>
      </c>
      <c r="Y3" s="10">
        <v>1958</v>
      </c>
      <c r="Z3" s="10">
        <v>1962</v>
      </c>
      <c r="AA3" s="10">
        <v>1966</v>
      </c>
      <c r="AB3" s="10">
        <v>1970</v>
      </c>
      <c r="AC3" s="10">
        <v>1974</v>
      </c>
      <c r="AD3" s="10">
        <v>1978</v>
      </c>
      <c r="AE3" s="10">
        <v>1982</v>
      </c>
      <c r="AF3" s="10">
        <v>1986</v>
      </c>
      <c r="AG3" s="10">
        <v>1990</v>
      </c>
      <c r="AH3" s="418">
        <v>1994</v>
      </c>
      <c r="AI3" s="10">
        <v>1998</v>
      </c>
      <c r="AJ3" s="10">
        <v>2002</v>
      </c>
      <c r="AK3" s="10">
        <v>2006</v>
      </c>
      <c r="AL3" s="10">
        <v>2010</v>
      </c>
      <c r="AM3" s="10">
        <v>2014</v>
      </c>
      <c r="AN3" s="10">
        <v>2018</v>
      </c>
      <c r="AO3" s="10">
        <v>2022</v>
      </c>
      <c r="AP3" s="10">
        <v>2026</v>
      </c>
      <c r="AQ3" s="10">
        <v>2030</v>
      </c>
      <c r="AR3" s="10"/>
      <c r="AS3" s="10"/>
      <c r="AT3" s="10"/>
      <c r="AU3" s="10"/>
      <c r="AV3" s="10"/>
    </row>
    <row r="4" spans="1:54" ht="15" thickBot="1" x14ac:dyDescent="0.35">
      <c r="A4" s="38"/>
      <c r="B4" s="251" t="s">
        <v>341</v>
      </c>
      <c r="C4" s="252"/>
      <c r="D4" s="345" t="s">
        <v>346</v>
      </c>
      <c r="E4" s="449" t="s">
        <v>343</v>
      </c>
      <c r="F4" s="450"/>
      <c r="G4" s="448"/>
      <c r="H4" s="451" t="s">
        <v>341</v>
      </c>
      <c r="I4" s="452"/>
      <c r="J4" s="256"/>
      <c r="K4" s="447" t="s">
        <v>342</v>
      </c>
      <c r="L4" s="448"/>
      <c r="M4" s="258" t="s">
        <v>347</v>
      </c>
      <c r="N4" s="449" t="s">
        <v>344</v>
      </c>
      <c r="O4" s="450"/>
      <c r="P4" s="448"/>
      <c r="Q4" s="254" t="s">
        <v>345</v>
      </c>
      <c r="R4" s="91" t="s">
        <v>341</v>
      </c>
      <c r="S4" s="263"/>
      <c r="T4" s="17"/>
      <c r="AH4" s="418"/>
      <c r="AK4" s="10"/>
      <c r="AL4" s="10"/>
      <c r="AM4" s="10"/>
      <c r="AN4" s="10"/>
      <c r="AO4" s="10"/>
      <c r="AP4" s="10"/>
    </row>
    <row r="5" spans="1:54" x14ac:dyDescent="0.3">
      <c r="A5" s="38">
        <v>1</v>
      </c>
      <c r="B5" s="312">
        <f t="shared" ref="B5:B24" si="0">SUM($T5:$AQ5)</f>
        <v>22</v>
      </c>
      <c r="C5" s="317" t="s">
        <v>9</v>
      </c>
      <c r="D5" s="10">
        <f t="array" aca="1" ref="D5" ca="1">SUM(COUNTIF(INDIRECT(""&amp;$T$3:$AG$3&amp;"!$S$12:$T$400"),"Brasilien"))</f>
        <v>66</v>
      </c>
      <c r="E5" s="14">
        <f>SUM('1930'!D108,'1934'!D92,'1938'!D88,'1950'!D107,'1954'!D141,'1958'!D154,'1962'!D133,'1966'!D144,'1970'!D138,'1974'!D159,'1978'!D157,'1982'!D227,'1986'!D219,'1990'!D232)</f>
        <v>44</v>
      </c>
      <c r="F5" s="307">
        <f>SUM('1930'!E108,'1934'!E92,'1938'!E88,'1950'!E107,'1954'!E141,'1958'!E154,'1962'!E133,'1966'!E144,'1970'!E138,'1974'!E159,'1978'!E157,'1982'!E227,'1986'!E219,'1990'!E232)</f>
        <v>10</v>
      </c>
      <c r="G5" s="318">
        <f>SUM('1930'!F108,'1934'!F92,'1938'!F88,'1950'!F107,'1954'!F141,'1958'!F154,'1962'!F133,'1966'!F144,'1970'!F138,'1974'!F159,'1978'!F157,'1982'!F227,'1986'!F219,'1990'!F232)</f>
        <v>12</v>
      </c>
      <c r="H5" s="10">
        <f>SUM('1930'!G108,'1934'!G92,'1938'!G88,'1950'!G107,'1954'!G141,'1958'!G154,'1962'!G133,'1966'!G144,'1970'!G138,'1974'!G159,'1978'!G157,'1982'!G227,'1986'!G219,'1990'!G232,'1994'!G223,'1998'!G250,'2002'!G250,'2006'!G253,'2010'!G250,'2014'!G255,'2018'!G258,'2022'!G256)</f>
        <v>252</v>
      </c>
      <c r="I5" s="10">
        <f>SUM('1930'!H108,'1934'!H92,'1938'!H88,'1950'!H107,'1954'!H141,'1958'!H154,'1962'!H133,'1966'!H144,'1970'!H138,'1974'!H159,'1978'!H157,'1982'!H227,'1986'!H219,'1990'!H232,'1994'!H223,'1998'!H250,'2002'!H250,'2006'!H253,'2010'!H250,'2014'!H255,'2018'!H258,'2022'!H256)</f>
        <v>122</v>
      </c>
      <c r="J5" s="38">
        <f t="shared" ref="J5:J24" si="1">SUM(H5-I5)</f>
        <v>130</v>
      </c>
      <c r="K5" s="18">
        <f t="shared" ref="K5:K24" si="2">(E5*2)+F5</f>
        <v>98</v>
      </c>
      <c r="L5" s="22">
        <f t="shared" ref="L5:L24" si="3">(G5*2)+F5</f>
        <v>34</v>
      </c>
      <c r="M5" s="317">
        <f t="array" aca="1" ref="M5" ca="1">SUM(COUNTIF(INDIRECT(""&amp;$AH$3:$AO$3&amp;"!$S$12:$T$400"),"Brasilien"))</f>
        <v>48</v>
      </c>
      <c r="N5" s="14">
        <f>SUM('1994'!D223,'1998'!D250,'2002'!D250,'2006'!D253,'2010'!D250,'2014'!D255,'2018'!D258,'2022'!D256)</f>
        <v>35</v>
      </c>
      <c r="O5" s="417">
        <f>SUM('1994'!E223,'1998'!E250,'2002'!E250,'2006'!E253,'2010'!E250,'2014'!E255,'2018'!E258,'2022'!E256)</f>
        <v>4</v>
      </c>
      <c r="P5" s="318">
        <f>SUM('1994'!F223,'1998'!F250,'2002'!F250,'2006'!F253,'2010'!F250,'2014'!F255,'2018'!F258,'2022'!F256)</f>
        <v>9</v>
      </c>
      <c r="Q5" s="18">
        <f t="shared" ref="Q5:Q24" si="4">(N5*3)+O5</f>
        <v>109</v>
      </c>
      <c r="R5" s="319">
        <f t="shared" ref="R5:R24" si="5">SUM(K5+Q5)</f>
        <v>207</v>
      </c>
      <c r="S5" s="35"/>
      <c r="T5" s="17">
        <f>COUNTIF('1930'!$AA$1:$AA$102,"Brasilien")</f>
        <v>1</v>
      </c>
      <c r="U5" s="17">
        <f>COUNTIF('1934'!$AA$1:$AA$102,"Brasilien")</f>
        <v>1</v>
      </c>
      <c r="V5" s="17">
        <f>COUNTIF('1938'!$AA$1:$AA$102,"Brasilien")</f>
        <v>1</v>
      </c>
      <c r="W5" s="17">
        <f>COUNTIF('1950'!$AA$1:$AA$100,"Brasilien")</f>
        <v>1</v>
      </c>
      <c r="X5" s="17">
        <f>COUNTIF('1954'!$AA$1:$AA$100,"Brasilien")</f>
        <v>1</v>
      </c>
      <c r="Y5" s="17">
        <f>COUNTIF('1958'!$AA$1:$AA$100,"Brasilien")</f>
        <v>1</v>
      </c>
      <c r="Z5" s="17">
        <f>COUNTIF('1962'!$AA$1:$AA$100,"Brasilien")</f>
        <v>1</v>
      </c>
      <c r="AA5" s="17">
        <f>COUNTIF('1966'!$AA$1:$AA$100,"Brasilien")</f>
        <v>1</v>
      </c>
      <c r="AB5" s="17">
        <f>COUNTIF('1970'!$AA$1:$AA$100,"Brasilien")</f>
        <v>1</v>
      </c>
      <c r="AC5" s="17">
        <f>COUNTIF('1974'!$AA$1:$AA$100,"Brasilien")</f>
        <v>1</v>
      </c>
      <c r="AD5" s="17">
        <f>COUNTIF('1978'!$AA$1:$AA$100,"Brasilien")</f>
        <v>1</v>
      </c>
      <c r="AE5" s="17">
        <f>COUNTIF('1982'!$AA$1:$AA$100,"Brasilien")</f>
        <v>1</v>
      </c>
      <c r="AF5" s="17">
        <f>COUNTIF('1986'!$AA$1:$AA$100,"Brasilien")</f>
        <v>1</v>
      </c>
      <c r="AG5" s="17">
        <f>COUNTIF('1990'!$AA$1:$AA$100,"Brasilien")</f>
        <v>1</v>
      </c>
      <c r="AH5" s="419">
        <f>COUNTIF('1994'!$AA$1:$AA$100,"Brasilien")</f>
        <v>1</v>
      </c>
      <c r="AI5" s="17">
        <f>COUNTIF('1998'!$AA$1:$AA$100,"Brasilien")</f>
        <v>1</v>
      </c>
      <c r="AJ5" s="17">
        <f>COUNTIF('2002'!$AA$1:$AA$100,"Brasilien")</f>
        <v>1</v>
      </c>
      <c r="AK5" s="17">
        <f>COUNTIF('2006'!$AA$1:$AA$100,"Brasilien")</f>
        <v>1</v>
      </c>
      <c r="AL5" s="17">
        <f>COUNTIF('2010'!$AA$1:$AA$100,"Brasilien")</f>
        <v>1</v>
      </c>
      <c r="AM5" s="17">
        <f>COUNTIF('2014'!$AA$1:$AA$100,"Brasilien")</f>
        <v>1</v>
      </c>
      <c r="AN5" s="17">
        <f>COUNTIF('2018'!$AA$1:$AA$100,"Brasilien")</f>
        <v>1</v>
      </c>
      <c r="AO5" s="17">
        <f>COUNTIF('2022'!$AA$1:$AA$100,"Brasilien")</f>
        <v>1</v>
      </c>
      <c r="AP5" s="17"/>
      <c r="AQ5" s="17"/>
      <c r="AR5" s="17"/>
      <c r="AS5" s="17"/>
      <c r="AT5" s="17"/>
      <c r="AU5" s="17"/>
      <c r="AV5" s="17"/>
      <c r="AX5" s="10"/>
      <c r="AY5" s="10"/>
      <c r="AZ5" s="10"/>
      <c r="BB5" s="10"/>
    </row>
    <row r="6" spans="1:54" x14ac:dyDescent="0.3">
      <c r="A6" s="38">
        <v>2</v>
      </c>
      <c r="B6" s="312">
        <f t="shared" si="0"/>
        <v>18</v>
      </c>
      <c r="C6" s="38" t="s">
        <v>88</v>
      </c>
      <c r="D6" s="10">
        <f t="array" aca="1" ref="D6" ca="1">SUM(COUNTIF(INDIRECT(""&amp;$T$3:$AG$3&amp;"!$S$12:$T$400"),"BRD"))</f>
        <v>62</v>
      </c>
      <c r="E6" s="21">
        <f>SUM('1954'!D136,'1958'!D157,'1962'!D139,'1966'!D137,'1970'!D139,'1974'!D157,'1978'!D161,'1982'!D225,'1986'!D218,'1990'!D228)</f>
        <v>39</v>
      </c>
      <c r="F6" s="17">
        <f>SUM('1954'!E136,'1958'!E157,'1962'!E139,'1966'!E137,'1970'!E139,'1974'!E157,'1978'!E161,'1982'!E225,'1986'!E218,'1990'!E228)</f>
        <v>11</v>
      </c>
      <c r="G6" s="34">
        <f>SUM('1954'!F136,'1958'!F157,'1962'!F139,'1966'!F137,'1970'!F139,'1974'!F157,'1978'!F161,'1982'!F225,'1986'!F218,'1990'!F228)</f>
        <v>12</v>
      </c>
      <c r="H6" s="10">
        <f>SUM('1954'!G136,'1958'!G157,'1962'!G139,'1966'!G137,'1970'!G139,'1974'!G157,'1978'!G161,'1982'!G225,'1986'!G218,'1990'!G228,'1994'!G227,'1998'!G255,'2002'!G251,'2006'!G250,'2010'!G247,'2014'!G252,'2018'!G276,'2022'!G263)</f>
        <v>235</v>
      </c>
      <c r="I6" s="10">
        <f>SUM('1954'!H136,'1958'!H157,'1962'!H139,'1966'!H137,'1970'!H139,'1974'!H157,'1978'!H161,'1982'!H225,'1986'!H218,'1990'!H228,'1994'!H227,'1998'!H255,'2002'!H251,'2006'!H250,'2010'!H247,'2014'!H252,'2018'!H276,'2022'!H263)</f>
        <v>127</v>
      </c>
      <c r="J6" s="38">
        <f t="shared" si="1"/>
        <v>108</v>
      </c>
      <c r="K6" s="18">
        <f t="shared" si="2"/>
        <v>89</v>
      </c>
      <c r="L6" s="22">
        <f t="shared" si="3"/>
        <v>35</v>
      </c>
      <c r="M6" s="38">
        <f t="array" aca="1" ref="M6" ca="1">SUM(COUNTIF(INDIRECT(""&amp;$AH$3:$AO$3&amp;"!$S$12:$T$400"),"BRD"))</f>
        <v>44</v>
      </c>
      <c r="N6" s="21">
        <f>SUM('1994'!D227,'1998'!D255,'2002'!D251,'2006'!D250,'2010'!D247,'2014'!D252,'2018'!D276,'2022'!D263)</f>
        <v>30</v>
      </c>
      <c r="O6" s="17">
        <f>SUM('1994'!E227,'1998'!E255,'2002'!E251,'2006'!E250,'2010'!E247,'2014'!E252,'2018'!E276,'2022'!E263)</f>
        <v>5</v>
      </c>
      <c r="P6" s="34">
        <f>SUM('1994'!F227,'1998'!F255,'2002'!F251,'2006'!F250,'2010'!F247,'2014'!F252,'2018'!F276,'2022'!F263)</f>
        <v>9</v>
      </c>
      <c r="Q6" s="18">
        <f t="shared" si="4"/>
        <v>95</v>
      </c>
      <c r="R6" s="293">
        <f t="shared" si="5"/>
        <v>184</v>
      </c>
      <c r="S6" s="35"/>
      <c r="T6" s="17">
        <f>COUNTIF('1930'!$AA$1:$AA$102,"BRD")</f>
        <v>0</v>
      </c>
      <c r="U6" s="17">
        <f>COUNTIF('1934'!$AA$1:$AA$102,"BRD")</f>
        <v>0</v>
      </c>
      <c r="V6" s="17">
        <f>COUNTIF('1938'!$AA$1:$AA$102,"BRD")</f>
        <v>0</v>
      </c>
      <c r="W6" s="17">
        <f>COUNTIF('1950'!$AA$1:$AA$100,"BRD")</f>
        <v>0</v>
      </c>
      <c r="X6" s="17">
        <f>COUNTIF('1954'!$AA$1:$AA$100,"BRD")</f>
        <v>1</v>
      </c>
      <c r="Y6" s="17">
        <f>COUNTIF('1958'!$AA$1:$AA$100,"BRD")</f>
        <v>1</v>
      </c>
      <c r="Z6" s="17">
        <f>COUNTIF('1962'!$AA$1:$AA$100,"BRD")</f>
        <v>1</v>
      </c>
      <c r="AA6" s="17">
        <f>COUNTIF('1966'!$AA$1:$AA$100,"BRD")</f>
        <v>1</v>
      </c>
      <c r="AB6" s="17">
        <f>COUNTIF('1970'!$AA$1:$AA$100,"BRD")</f>
        <v>1</v>
      </c>
      <c r="AC6" s="17">
        <f>COUNTIF('1974'!$AA$1:$AA$100,"BRD")</f>
        <v>1</v>
      </c>
      <c r="AD6" s="17">
        <f>COUNTIF('1978'!$AA$1:$AA$100,"BRD")</f>
        <v>1</v>
      </c>
      <c r="AE6" s="17">
        <f>COUNTIF('1982'!$AA$1:$AA$100,"BRD")</f>
        <v>1</v>
      </c>
      <c r="AF6" s="17">
        <f>COUNTIF('1986'!$AA$1:$AA$100,"BRD")</f>
        <v>1</v>
      </c>
      <c r="AG6" s="17">
        <f>COUNTIF('1990'!$AA$1:$AA$100,"BRD")</f>
        <v>1</v>
      </c>
      <c r="AH6" s="419">
        <f>COUNTIF('1994'!$AA$1:$AA$100,"BRD")</f>
        <v>1</v>
      </c>
      <c r="AI6" s="17">
        <f>COUNTIF('1998'!$AA$1:$AA$100,"BRD")</f>
        <v>1</v>
      </c>
      <c r="AJ6" s="17">
        <f>COUNTIF('2002'!$AA$1:$AA$100,"BRD")</f>
        <v>1</v>
      </c>
      <c r="AK6" s="17">
        <f>COUNTIF('2006'!$AA$1:$AA$100,"BRD")</f>
        <v>1</v>
      </c>
      <c r="AL6" s="17">
        <f>COUNTIF('2010'!$AA$1:$AA$100,"BRD")</f>
        <v>1</v>
      </c>
      <c r="AM6" s="17">
        <f>COUNTIF('2014'!$AA$1:$AA$100,"BRD")</f>
        <v>1</v>
      </c>
      <c r="AN6" s="17">
        <f>COUNTIF('2018'!$AA$1:$AA$100,"BRD")</f>
        <v>1</v>
      </c>
      <c r="AO6" s="17">
        <f>COUNTIF('2022'!$AA$1:$AA$100,"BRD")</f>
        <v>1</v>
      </c>
      <c r="AP6" s="17"/>
    </row>
    <row r="7" spans="1:54" x14ac:dyDescent="0.3">
      <c r="A7" s="38">
        <v>4</v>
      </c>
      <c r="B7" s="312">
        <f t="shared" si="0"/>
        <v>18</v>
      </c>
      <c r="C7" s="38" t="s">
        <v>5</v>
      </c>
      <c r="D7" s="10">
        <f t="array" aca="1" ref="D7" ca="1">SUM(COUNTIF(INDIRECT(""&amp;$T$3:$AG$3&amp;"!$S$12:$T$400"),"Argentinien"))</f>
        <v>48</v>
      </c>
      <c r="E7" s="21">
        <f>SUM('1930'!D104,'1934'!D88,'1958'!D166,'1962'!D141,'1966'!D139,'1974'!D164,'1978'!D156,'1982'!D235,'1986'!D216,'1990'!D230)</f>
        <v>26</v>
      </c>
      <c r="F7" s="17">
        <f>SUM('1930'!E104,'1934'!E88,'1958'!E166,'1962'!E141,'1966'!E139,'1974'!E164,'1978'!E156,'1982'!E235,'1986'!E216,'1990'!E230)</f>
        <v>7</v>
      </c>
      <c r="G7" s="34">
        <f>SUM('1930'!F104,'1934'!F88,'1958'!F166,'1962'!F141,'1966'!F139,'1974'!F164,'1978'!F156,'1982'!F235,'1986'!F216,'1990'!F230)</f>
        <v>15</v>
      </c>
      <c r="H7" s="10">
        <f>SUM('1930'!G104,'1934'!G88,'1958'!G166,'1962'!G141,'1966'!G139,'1974'!G164,'1978'!G156,'1982'!G235,'1986'!G216,'1990'!G230,'1994'!G231,'1998'!G252,'2002'!G268,'2006'!G254,'2010'!G249,'2014'!G254,'2018'!G268,'2022'!G249)</f>
        <v>177</v>
      </c>
      <c r="I7" s="10">
        <f>SUM('1930'!H104,'1934'!H88,'1958'!H166,'1962'!H141,'1966'!H139,'1974'!H164,'1978'!H156,'1982'!H235,'1986'!H216,'1990'!H230,'1994'!H231,'1998'!H252,'2002'!H268,'2006'!H254,'2010'!H249,'2014'!H254,'2018'!H268,'2022'!H249)</f>
        <v>120</v>
      </c>
      <c r="J7" s="38">
        <f t="shared" si="1"/>
        <v>57</v>
      </c>
      <c r="K7" s="18">
        <f t="shared" si="2"/>
        <v>59</v>
      </c>
      <c r="L7" s="22">
        <f t="shared" si="3"/>
        <v>37</v>
      </c>
      <c r="M7" s="38">
        <f t="array" aca="1" ref="M7" ca="1">SUM(COUNTIF(INDIRECT(""&amp;$AH$3:$AO$3&amp;"!$S$12:$T$400"),"Argentinien"))</f>
        <v>40</v>
      </c>
      <c r="N7" s="21">
        <f>SUM('1994'!D231,'1998'!D252,'2002'!D268,'2006'!D254,'2010'!D249,'2014'!D254,'2018'!D268,'2022'!D249)</f>
        <v>27</v>
      </c>
      <c r="O7" s="17">
        <f>SUM('1994'!E231,'1998'!E252,'2002'!E268,'2006'!E254,'2010'!E249,'2014'!E254,'2018'!E268,'2022'!E249)</f>
        <v>3</v>
      </c>
      <c r="P7" s="34">
        <f>SUM('1994'!F231,'1998'!F252,'2002'!F268,'2006'!F254,'2010'!F249,'2014'!F254,'2018'!F268,'2022'!F249)</f>
        <v>10</v>
      </c>
      <c r="Q7" s="18">
        <f t="shared" si="4"/>
        <v>84</v>
      </c>
      <c r="R7" s="293">
        <f t="shared" si="5"/>
        <v>143</v>
      </c>
      <c r="S7" s="35"/>
      <c r="T7" s="17">
        <f>COUNTIF('1930'!$AA$1:$AA$102,"Argentinien")</f>
        <v>1</v>
      </c>
      <c r="U7" s="17">
        <f>COUNTIF('1934'!$AA$1:$AA$102,"Argentinien")</f>
        <v>1</v>
      </c>
      <c r="V7" s="17">
        <f>COUNTIF('1938'!$AA$1:$AA$102,"Argentinien")</f>
        <v>0</v>
      </c>
      <c r="W7" s="17">
        <f>COUNTIF('1950'!$AA$1:$AA$100,"Argentinien")</f>
        <v>0</v>
      </c>
      <c r="X7" s="17">
        <f>COUNTIF('1954'!$AA$1:$AA$100,"Argentinien")</f>
        <v>0</v>
      </c>
      <c r="Y7" s="17">
        <f>COUNTIF('1958'!$AA$1:$AA$100,"Argentinien")</f>
        <v>1</v>
      </c>
      <c r="Z7" s="17">
        <f>COUNTIF('1962'!$AA$1:$AA$100,"Argentinien")</f>
        <v>1</v>
      </c>
      <c r="AA7" s="17">
        <f>COUNTIF('1966'!$AA$1:$AA$100,"Argentinien")</f>
        <v>1</v>
      </c>
      <c r="AB7" s="17">
        <f>COUNTIF('1970'!$AA$1:$AA$100,"Argentinien")</f>
        <v>0</v>
      </c>
      <c r="AC7" s="17">
        <f>COUNTIF('1974'!$AA$1:$AA$100,"Argentinien")</f>
        <v>1</v>
      </c>
      <c r="AD7" s="17">
        <f>COUNTIF('1978'!$AA$1:$AA$100,"Argentinien")</f>
        <v>1</v>
      </c>
      <c r="AE7" s="17">
        <f>COUNTIF('1982'!$AA$1:$AA$100,"Argentinien")</f>
        <v>1</v>
      </c>
      <c r="AF7" s="17">
        <f>COUNTIF('1986'!$AA$1:$AA$100,"Argentinien")</f>
        <v>1</v>
      </c>
      <c r="AG7" s="17">
        <f>COUNTIF('1990'!$AA$1:$AA$100,"Argentinien")</f>
        <v>1</v>
      </c>
      <c r="AH7" s="419">
        <f>COUNTIF('1994'!$AA$1:$AA$100,"Argentinien")</f>
        <v>1</v>
      </c>
      <c r="AI7" s="17">
        <f>COUNTIF('1998'!$AA$1:$AA$100,"Argentinien")</f>
        <v>1</v>
      </c>
      <c r="AJ7" s="17">
        <f>COUNTIF('2002'!$AA$1:$AA$100,"Argentinien")</f>
        <v>1</v>
      </c>
      <c r="AK7" s="17">
        <f>COUNTIF('2006'!$AA$1:$AA$100,"Argentinien")</f>
        <v>1</v>
      </c>
      <c r="AL7" s="17">
        <f>COUNTIF('2010'!$AA$1:$AA$100,"Argentinien")</f>
        <v>1</v>
      </c>
      <c r="AM7" s="17">
        <f>COUNTIF('2014'!$AA$1:$AA$100,"Argentinien")</f>
        <v>1</v>
      </c>
      <c r="AN7" s="17">
        <f>COUNTIF('2018'!$AA$1:$AA$100,"Argentinien")</f>
        <v>1</v>
      </c>
      <c r="AO7" s="17">
        <f>COUNTIF('2022'!$AA$1:$AA$100,"Argentinien")</f>
        <v>1</v>
      </c>
      <c r="AP7" s="17"/>
    </row>
    <row r="8" spans="1:54" x14ac:dyDescent="0.3">
      <c r="A8" s="38">
        <v>3</v>
      </c>
      <c r="B8" s="312">
        <f t="shared" si="0"/>
        <v>18</v>
      </c>
      <c r="C8" s="38" t="s">
        <v>37</v>
      </c>
      <c r="D8" s="10">
        <f t="array" aca="1" ref="D8" ca="1">SUM(COUNTIF(INDIRECT(""&amp;$T$3:$AG$3&amp;"!$S$12:$T$400"),"Italien"))</f>
        <v>54</v>
      </c>
      <c r="E8" s="21">
        <f>SUM('1934'!D78,'1938'!D87,'1950'!D113,'1954'!D146,'1962'!D140,'1966'!D145,'1970'!D140,'1974'!D165,'1978'!D158,'1982'!D224,'1986'!D226,'1990'!D229)</f>
        <v>31</v>
      </c>
      <c r="F8" s="17">
        <f>SUM('1934'!E78,'1938'!E87,'1950'!E113,'1954'!E146,'1962'!E140,'1966'!E145,'1970'!E140,'1974'!E165,'1978'!E158,'1982'!E224,'1986'!E226,'1990'!E229)</f>
        <v>11</v>
      </c>
      <c r="G8" s="34">
        <f>SUM('1934'!F78,'1938'!F87,'1950'!F113,'1954'!F146,'1962'!F140,'1966'!F145,'1970'!F140,'1974'!F165,'1978'!F158,'1982'!F224,'1986'!F226,'1990'!F229)</f>
        <v>12</v>
      </c>
      <c r="H8" s="10">
        <f>SUM('1934'!G78,'1938'!G87,'1950'!G113,'1954'!G146,'1962'!G140,'1966'!G145,'1970'!G140,'1974'!G165,'1978'!G158,'1982'!G224,'1986'!G226,'1990'!G229,'1994'!G225,'1998'!G254,'2002'!G266,'2006'!G249,'2010'!G270,'2014'!G274)</f>
        <v>141</v>
      </c>
      <c r="I8" s="10">
        <f>SUM('1934'!H78,'1938'!H87,'1950'!H113,'1954'!H146,'1962'!H140,'1966'!H145,'1970'!H140,'1974'!H165,'1978'!H158,'1982'!H224,'1986'!H226,'1990'!H229,'1994'!H225,'1998'!H254,'2002'!H266,'2006'!H249,'2010'!H270,'2014'!H274)</f>
        <v>91</v>
      </c>
      <c r="J8" s="38">
        <f t="shared" si="1"/>
        <v>50</v>
      </c>
      <c r="K8" s="18">
        <f t="shared" si="2"/>
        <v>73</v>
      </c>
      <c r="L8" s="22">
        <f t="shared" si="3"/>
        <v>35</v>
      </c>
      <c r="M8" s="38">
        <f t="array" aca="1" ref="M8" ca="1">SUM(COUNTIF(INDIRECT(""&amp;$AH$3:$AO$3&amp;"!$S$12:$T$400"),"Italien"))</f>
        <v>29</v>
      </c>
      <c r="N8" s="21">
        <f>SUM('1994'!D225,'1998'!D254,'2002'!D266,'2006'!D249,'2010'!D270,'2014'!D274)</f>
        <v>15</v>
      </c>
      <c r="O8" s="17">
        <f>SUM('1994'!E225,'1998'!E254,'2002'!E266,'2006'!E249,'2010'!E270,'2014'!E274)</f>
        <v>6</v>
      </c>
      <c r="P8" s="34">
        <f>SUM('1994'!F225,'1998'!F254,'2002'!F266,'2006'!F249,'2010'!F270,'2014'!F274)</f>
        <v>8</v>
      </c>
      <c r="Q8" s="18">
        <f t="shared" si="4"/>
        <v>51</v>
      </c>
      <c r="R8" s="293">
        <f t="shared" si="5"/>
        <v>124</v>
      </c>
      <c r="S8" s="35"/>
      <c r="T8" s="17">
        <f>COUNTIF('1930'!$AA$1:$AA$102,"Italien")</f>
        <v>0</v>
      </c>
      <c r="U8" s="17">
        <f>COUNTIF('1934'!$AA$1:$AA$102,"Italien")</f>
        <v>1</v>
      </c>
      <c r="V8" s="17">
        <f>COUNTIF('1938'!$AA$1:$AA$102,"Italien")</f>
        <v>1</v>
      </c>
      <c r="W8" s="17">
        <f>COUNTIF('1950'!$AA$1:$AA$100,"Italien")</f>
        <v>1</v>
      </c>
      <c r="X8" s="17">
        <f>COUNTIF('1954'!$AA$1:$AA$100,"Italien")</f>
        <v>1</v>
      </c>
      <c r="Y8" s="17">
        <f>COUNTIF('1958'!$AA$1:$AA$100,"Italien")</f>
        <v>0</v>
      </c>
      <c r="Z8" s="17">
        <f>COUNTIF('1962'!$AA$1:$AA$100,"Italien")</f>
        <v>1</v>
      </c>
      <c r="AA8" s="17">
        <f>COUNTIF('1966'!$AA$1:$AA$100,"Italien")</f>
        <v>1</v>
      </c>
      <c r="AB8" s="17">
        <f>COUNTIF('1970'!$AA$1:$AA$100,"Italien")</f>
        <v>1</v>
      </c>
      <c r="AC8" s="17">
        <f>COUNTIF('1974'!$AA$1:$AA$100,"Italien")</f>
        <v>1</v>
      </c>
      <c r="AD8" s="17">
        <f>COUNTIF('1978'!$AA$1:$AA$100,"Italien")</f>
        <v>1</v>
      </c>
      <c r="AE8" s="17">
        <f>COUNTIF('1982'!$AA$1:$AA$100,"Italien")</f>
        <v>1</v>
      </c>
      <c r="AF8" s="17">
        <f>COUNTIF('1986'!$AA$1:$AA$100,"Italien")</f>
        <v>1</v>
      </c>
      <c r="AG8" s="17">
        <f>COUNTIF('1990'!$AA$1:$AA$100,"Italien")</f>
        <v>1</v>
      </c>
      <c r="AH8" s="419">
        <f>COUNTIF('1994'!$AA$1:$AA$100,"Italien")</f>
        <v>1</v>
      </c>
      <c r="AI8" s="17">
        <f>COUNTIF('1998'!$AA$1:$AA$100,"Italien")</f>
        <v>1</v>
      </c>
      <c r="AJ8" s="17">
        <f>COUNTIF('2002'!$AA$1:$AA$100,"Italien")</f>
        <v>1</v>
      </c>
      <c r="AK8" s="17">
        <f>COUNTIF('2006'!$AA$1:$AA$100,"Italien")</f>
        <v>1</v>
      </c>
      <c r="AL8" s="17">
        <f>COUNTIF('2010'!$AA$1:$AA$100,"Italien")</f>
        <v>1</v>
      </c>
      <c r="AM8" s="17">
        <f>COUNTIF('2014'!$AA$1:$AA$100,"Italien")</f>
        <v>1</v>
      </c>
      <c r="AN8" s="17">
        <f>COUNTIF('2018'!$AA$1:$AA$100,"Italien")</f>
        <v>0</v>
      </c>
      <c r="AO8" s="17">
        <f>COUNTIF('2022'!$AA$1:$AA$100,"Italien")</f>
        <v>0</v>
      </c>
      <c r="AP8" s="17"/>
    </row>
    <row r="9" spans="1:54" s="13" customFormat="1" x14ac:dyDescent="0.3">
      <c r="A9" s="38">
        <v>7</v>
      </c>
      <c r="B9" s="312">
        <f t="shared" si="0"/>
        <v>16</v>
      </c>
      <c r="C9" s="38" t="s">
        <v>3</v>
      </c>
      <c r="D9" s="10">
        <f t="array" aca="1" ref="D9" ca="1">SUM(COUNTIF(INDIRECT(""&amp;$T$3:$AG$3&amp;"!$S$12:$T$400"),"Frankreich"))</f>
        <v>34</v>
      </c>
      <c r="E9" s="21">
        <f>SUM('1930'!D111,'1934'!D86,'1938'!D93,'1954'!D144,'1958'!D156,'1966'!D147,'1978'!D167,'1982'!D229,'1986'!D217)</f>
        <v>16</v>
      </c>
      <c r="F9" s="17">
        <f>SUM('1930'!E111,'1934'!E86,'1938'!E93,'1954'!E144,'1958'!E156,'1966'!E147,'1978'!E167,'1982'!E229,'1986'!E217)</f>
        <v>3</v>
      </c>
      <c r="G9" s="34">
        <f>SUM('1930'!F111,'1934'!F86,'1938'!F93,'1954'!F144,'1958'!F156,'1966'!F147,'1978'!F167,'1982'!F229,'1986'!F217)</f>
        <v>15</v>
      </c>
      <c r="H9" s="10">
        <f>SUM('1930'!G111,'1934'!G86,'1938'!G93,'1954'!G144,'1958'!G156,'1966'!G147,'1978'!G167,'1982'!G229,'1986'!G217,'1998'!G249,'2002'!G278,'2006'!G252,'2010'!G272,'2014'!G259,'2018'!G253)</f>
        <v>135</v>
      </c>
      <c r="I9" s="10">
        <f>SUM('1930'!H111,'1934'!H86,'1938'!H93,'1954'!H144,'1958'!H156,'1966'!H147,'1978'!H167,'1982'!H229,'1986'!H217,'1998'!H249,'2002'!H278,'2006'!H252,'2010'!H272,'2014'!H259,'2018'!H253)</f>
        <v>93</v>
      </c>
      <c r="J9" s="38">
        <f t="shared" si="1"/>
        <v>42</v>
      </c>
      <c r="K9" s="18">
        <f t="shared" si="2"/>
        <v>35</v>
      </c>
      <c r="L9" s="22">
        <f t="shared" si="3"/>
        <v>33</v>
      </c>
      <c r="M9" s="38">
        <f t="array" aca="1" ref="M9" ca="1">SUM(COUNTIF(INDIRECT(""&amp;$AH$3:$AO$3&amp;"!$S$12:$T$400"),"Frankreich"))</f>
        <v>39</v>
      </c>
      <c r="N9" s="21">
        <f>SUM('1998'!D249,'2002'!D278,'2006'!D252,'2010'!D272,'2014'!D259,'2018'!D253,'2022'!D250)</f>
        <v>25</v>
      </c>
      <c r="O9" s="17">
        <f>SUM('1998'!E249,'2002'!E278,'2006'!E252,'2010'!E272,'2014'!E259,'2018'!E253,'2022'!E250)</f>
        <v>6</v>
      </c>
      <c r="P9" s="34">
        <f>SUM('1998'!F249,'2002'!F278,'2006'!F252,'2010'!F272,'2014'!F259,'2018'!F253,'2022'!F250)</f>
        <v>8</v>
      </c>
      <c r="Q9" s="18">
        <f t="shared" si="4"/>
        <v>81</v>
      </c>
      <c r="R9" s="293">
        <f t="shared" si="5"/>
        <v>116</v>
      </c>
      <c r="S9" s="35"/>
      <c r="T9" s="17">
        <f>COUNTIF('1930'!$AA$1:$AA$102,"Frankreich")</f>
        <v>1</v>
      </c>
      <c r="U9" s="17">
        <f>COUNTIF('1934'!$AA$1:$AA$102,"Frankreich")</f>
        <v>1</v>
      </c>
      <c r="V9" s="17">
        <f>COUNTIF('1938'!$AA$1:$AA$102,"Frankreich")</f>
        <v>1</v>
      </c>
      <c r="W9" s="17">
        <f>COUNTIF('1950'!$AA$1:$AA$100,"Frankreich")</f>
        <v>0</v>
      </c>
      <c r="X9" s="17">
        <f>COUNTIF('1954'!$AA$1:$AA$100,"Frankreich")</f>
        <v>1</v>
      </c>
      <c r="Y9" s="17">
        <f>COUNTIF('1958'!$AA$1:$AA$100,"Frankreich")</f>
        <v>1</v>
      </c>
      <c r="Z9" s="17">
        <f>COUNTIF('1962'!$AA$1:$AA$100,"Frankreich")</f>
        <v>0</v>
      </c>
      <c r="AA9" s="17">
        <f>COUNTIF('1966'!$AA$1:$AA$100,"Frankreich")</f>
        <v>1</v>
      </c>
      <c r="AB9" s="17">
        <f>COUNTIF('1970'!$AA$1:$AA$100,"Frankreich")</f>
        <v>0</v>
      </c>
      <c r="AC9" s="17">
        <f>COUNTIF('1974'!$AA$1:$AA$100,"Frankreich")</f>
        <v>0</v>
      </c>
      <c r="AD9" s="17">
        <f>COUNTIF('1978'!$AA$1:$AA$100,"Frankreich")</f>
        <v>1</v>
      </c>
      <c r="AE9" s="17">
        <f>COUNTIF('1982'!$AA$1:$AA$100,"Frankreich")</f>
        <v>1</v>
      </c>
      <c r="AF9" s="17">
        <f>COUNTIF('1986'!$AA$1:$AA$100,"Frankreich")</f>
        <v>1</v>
      </c>
      <c r="AG9" s="17">
        <f>COUNTIF('1990'!$AA$1:$AA$100,"Frankreich")</f>
        <v>0</v>
      </c>
      <c r="AH9" s="419">
        <f>COUNTIF('1994'!$AA$1:$AA$100,"Frankreich")</f>
        <v>0</v>
      </c>
      <c r="AI9" s="17">
        <f>COUNTIF('1998'!$AA$1:$AA$100,"Frankreich")</f>
        <v>1</v>
      </c>
      <c r="AJ9" s="17">
        <f>COUNTIF('2002'!$AA$1:$AA$100,"Frankreich")</f>
        <v>1</v>
      </c>
      <c r="AK9" s="17">
        <f>COUNTIF('2006'!$AA$1:$AA$100,"Frankreich")</f>
        <v>1</v>
      </c>
      <c r="AL9" s="17">
        <f>COUNTIF('2010'!$AA$1:$AA$100,"Frankreich")</f>
        <v>1</v>
      </c>
      <c r="AM9" s="17">
        <f>COUNTIF('2014'!$AA$1:$AA$100,"Frankreich")</f>
        <v>1</v>
      </c>
      <c r="AN9" s="17">
        <f>COUNTIF('2018'!$AA$1:$AA$100,"Frankreich")</f>
        <v>1</v>
      </c>
      <c r="AO9" s="17">
        <f>COUNTIF('2022'!$AA$1:$AA$100,"Frankreich")</f>
        <v>1</v>
      </c>
      <c r="AP9" s="17"/>
    </row>
    <row r="10" spans="1:54" s="13" customFormat="1" x14ac:dyDescent="0.3">
      <c r="A10" s="38">
        <v>8</v>
      </c>
      <c r="B10" s="312">
        <f t="shared" si="0"/>
        <v>16</v>
      </c>
      <c r="C10" s="38" t="s">
        <v>74</v>
      </c>
      <c r="D10" s="10">
        <f t="array" aca="1" ref="D10" ca="1">SUM(COUNTIF(INDIRECT(""&amp;$T$3:$AG$3&amp;"!$S$12:$T$400"),"England"))</f>
        <v>41</v>
      </c>
      <c r="E10" s="21">
        <f>SUM('1950'!D116,'1954'!D142,'1958'!D165,'1962'!D142,'1966'!D135,'1970'!D145,'1982'!D228,'1986'!D225,'1990'!D231)</f>
        <v>18</v>
      </c>
      <c r="F10" s="17">
        <f>SUM('1950'!E116,'1954'!E142,'1958'!E165,'1962'!E142,'1966'!E135,'1970'!E145,'1982'!E228,'1986'!E225,'1990'!E231)</f>
        <v>11</v>
      </c>
      <c r="G10" s="34">
        <f>SUM('1950'!F116,'1954'!F142,'1958'!F165,'1962'!F142,'1966'!F135,'1970'!F145,'1982'!F228,'1986'!F225,'1990'!F231)</f>
        <v>12</v>
      </c>
      <c r="H10" s="10">
        <f>SUM('1950'!G116,'1954'!G142,'1958'!G165,'1962'!G142,'1966'!G135,'1970'!G145,'1982'!G228,'1986'!G225,'1990'!G231,'1998'!G259,'2002'!G256,'2006'!G255,'2010'!G257,'2014'!G278,'2018'!G256,'2022'!G253)</f>
        <v>115</v>
      </c>
      <c r="I10" s="10">
        <f>SUM('1950'!H116,'1954'!H142,'1958'!H165,'1962'!H142,'1966'!H135,'1970'!H145,'1982'!H228,'1986'!H225,'1990'!H231,'1998'!H259,'2002'!H256,'2006'!H255,'2010'!H257,'2014'!H278,'2018'!H256,'2022'!H253)</f>
        <v>82</v>
      </c>
      <c r="J10" s="38">
        <f t="shared" si="1"/>
        <v>33</v>
      </c>
      <c r="K10" s="18">
        <f t="shared" si="2"/>
        <v>47</v>
      </c>
      <c r="L10" s="22">
        <f t="shared" si="3"/>
        <v>35</v>
      </c>
      <c r="M10" s="38">
        <f t="array" aca="1" ref="M10" ca="1">SUM(COUNTIF(INDIRECT(""&amp;$AH$3:$AO$3&amp;"!$S$12:$T$400"),"England"))</f>
        <v>33</v>
      </c>
      <c r="N10" s="21">
        <f>SUM('1998'!D259,'2002'!D256,'2006'!D255,'2010'!D257,'2014'!D278,'2018'!D256,'2022'!D253)</f>
        <v>15</v>
      </c>
      <c r="O10" s="17">
        <f>SUM('1998'!E259,'2002'!E256,'2006'!E255,'2010'!E257,'2014'!E278,'2018'!E256,'2022'!E253)</f>
        <v>7</v>
      </c>
      <c r="P10" s="34">
        <f>SUM('1998'!F259,'2002'!F256,'2006'!F255,'2010'!F257,'2014'!F278,'2018'!F256,'2022'!F253)</f>
        <v>11</v>
      </c>
      <c r="Q10" s="18">
        <f t="shared" si="4"/>
        <v>52</v>
      </c>
      <c r="R10" s="293">
        <f t="shared" si="5"/>
        <v>99</v>
      </c>
      <c r="S10" s="35"/>
      <c r="T10" s="17">
        <f>COUNTIF('1930'!$AA$1:$AA$102,"England")</f>
        <v>0</v>
      </c>
      <c r="U10" s="17">
        <f>COUNTIF('1934'!$AA$1:$AA$102,"England")</f>
        <v>0</v>
      </c>
      <c r="V10" s="17">
        <f>COUNTIF('1938'!$AA$1:$AA$102,"England")</f>
        <v>0</v>
      </c>
      <c r="W10" s="17">
        <f>COUNTIF('1950'!$AA$1:$AA$100,"England")</f>
        <v>1</v>
      </c>
      <c r="X10" s="17">
        <f>COUNTIF('1954'!$AA$1:$AA$100,"England")</f>
        <v>1</v>
      </c>
      <c r="Y10" s="17">
        <f>COUNTIF('1958'!$AA$1:$AA$100,"England")</f>
        <v>1</v>
      </c>
      <c r="Z10" s="17">
        <f>COUNTIF('1962'!$AA$1:$AA$100,"England")</f>
        <v>1</v>
      </c>
      <c r="AA10" s="17">
        <f>COUNTIF('1966'!$AA$1:$AA$100,"England")</f>
        <v>1</v>
      </c>
      <c r="AB10" s="17">
        <f>COUNTIF('1970'!$AA$1:$AA$100,"England")</f>
        <v>1</v>
      </c>
      <c r="AC10" s="17">
        <f>COUNTIF('1974'!$AA$1:$AA$100,"England")</f>
        <v>0</v>
      </c>
      <c r="AD10" s="17">
        <f>COUNTIF('1978'!$AA$1:$AA$100,"England")</f>
        <v>0</v>
      </c>
      <c r="AE10" s="17">
        <f>COUNTIF('1982'!$AA$1:$AA$100,"England")</f>
        <v>1</v>
      </c>
      <c r="AF10" s="17">
        <f>COUNTIF('1986'!$AA$1:$AA$100,"England")</f>
        <v>1</v>
      </c>
      <c r="AG10" s="17">
        <f>COUNTIF('1990'!$AA$1:$AA$100,"England")</f>
        <v>1</v>
      </c>
      <c r="AH10" s="419">
        <f>COUNTIF('1994'!$AA$1:$AA$100,"England")</f>
        <v>0</v>
      </c>
      <c r="AI10" s="17">
        <f>COUNTIF('1998'!$AA$1:$AA$100,"England")</f>
        <v>1</v>
      </c>
      <c r="AJ10" s="17">
        <f>COUNTIF('2002'!$AA$1:$AA$100,"England")</f>
        <v>1</v>
      </c>
      <c r="AK10" s="17">
        <f>COUNTIF('2006'!$AA$1:$AA$100,"England")</f>
        <v>1</v>
      </c>
      <c r="AL10" s="17">
        <f>COUNTIF('2010'!$AA$1:$AA$100,"England")</f>
        <v>1</v>
      </c>
      <c r="AM10" s="17">
        <f>COUNTIF('2014'!$AA$1:$AA$100,"England")</f>
        <v>1</v>
      </c>
      <c r="AN10" s="17">
        <f>COUNTIF('2018'!$AA$1:$AA$100,"England")</f>
        <v>1</v>
      </c>
      <c r="AO10" s="17">
        <f>COUNTIF('2022'!$AA$1:$AA$100,"England")</f>
        <v>1</v>
      </c>
      <c r="AP10" s="17"/>
    </row>
    <row r="11" spans="1:54" s="13" customFormat="1" x14ac:dyDescent="0.3">
      <c r="A11" s="38">
        <v>5</v>
      </c>
      <c r="B11" s="312">
        <f t="shared" si="0"/>
        <v>16</v>
      </c>
      <c r="C11" s="38" t="s">
        <v>35</v>
      </c>
      <c r="D11" s="10">
        <f t="array" aca="1" ref="D11" ca="1">SUM(COUNTIF(INDIRECT(""&amp;$T$3:$AG$3&amp;"!$S$12:$T$400"),"Spanien"))</f>
        <v>32</v>
      </c>
      <c r="E11" s="21">
        <f>SUM('1934'!D82,'1950'!D109,'1962'!D145,'1966'!D143,'1978'!D166,'1982'!D236,'1986'!D223,'1990'!D236)</f>
        <v>13</v>
      </c>
      <c r="F11" s="17">
        <f>SUM('1934'!E82,'1950'!E109,'1962'!E145,'1966'!E143,'1978'!E166,'1982'!E236,'1986'!E223,'1990'!E236)</f>
        <v>6</v>
      </c>
      <c r="G11" s="34">
        <f>SUM('1934'!F82,'1950'!F109,'1962'!F145,'1966'!F143,'1978'!F166,'1982'!F236,'1986'!F223,'1990'!F236)</f>
        <v>13</v>
      </c>
      <c r="H11" s="10">
        <f>SUM('1934'!G82,'1950'!G109,'1962'!G145,'1966'!G143,'1978'!G166,'1982'!G236,'1986'!G223,'1990'!G236,'1994'!G230,'1998'!G264,'2002'!G254,'2006'!G256,'2010'!G246,'2014'!G273,'2018'!G263,'2022'!G262)</f>
        <v>121</v>
      </c>
      <c r="I11" s="10">
        <f>SUM('1934'!H82,'1950'!H109,'1962'!H145,'1966'!H143,'1978'!H166,'1982'!H236,'1986'!H223,'1990'!H236,'1994'!H230,'1998'!H264,'2002'!H254,'2006'!H256,'2010'!H246,'2014'!H273,'2018'!H263,'2022'!H262)</f>
        <v>94</v>
      </c>
      <c r="J11" s="38">
        <f t="shared" si="1"/>
        <v>27</v>
      </c>
      <c r="K11" s="18">
        <f t="shared" si="2"/>
        <v>32</v>
      </c>
      <c r="L11" s="22">
        <f t="shared" si="3"/>
        <v>32</v>
      </c>
      <c r="M11" s="38">
        <f t="array" aca="1" ref="M11" ca="1">SUM(COUNTIF(INDIRECT(""&amp;$AH$3:$AO$3&amp;"!$S$12:$T$400"),"Spanien"))</f>
        <v>35</v>
      </c>
      <c r="N11" s="21">
        <f>SUM('1994'!D230,'1998'!D264,'2002'!D254,'2006'!D256,'2010'!D246,'2014'!D273,'2018'!D263,'2022'!D262)</f>
        <v>19</v>
      </c>
      <c r="O11" s="17">
        <f>SUM('1994'!E230,'1998'!E264,'2002'!E254,'2006'!E256,'2010'!E246,'2014'!E273,'2018'!E263,'2022'!E262)</f>
        <v>6</v>
      </c>
      <c r="P11" s="34">
        <f>SUM('1994'!F230,'1998'!F264,'2002'!F254,'2006'!F256,'2010'!F246,'2014'!F273,'2018'!F263,'2022'!F262)</f>
        <v>10</v>
      </c>
      <c r="Q11" s="18">
        <f t="shared" si="4"/>
        <v>63</v>
      </c>
      <c r="R11" s="293">
        <f t="shared" si="5"/>
        <v>95</v>
      </c>
      <c r="S11" s="35"/>
      <c r="T11" s="17">
        <f>COUNTIF('1930'!$AA$1:$AA$102,"Spanien")</f>
        <v>0</v>
      </c>
      <c r="U11" s="17">
        <f>COUNTIF('1934'!$AA$1:$AA$102,"Spanien")</f>
        <v>1</v>
      </c>
      <c r="V11" s="17">
        <f>COUNTIF('1938'!$AA$1:$AA$102,"Spanien")</f>
        <v>0</v>
      </c>
      <c r="W11" s="17">
        <f>COUNTIF('1950'!$AA$1:$AA$100,"Spanien")</f>
        <v>1</v>
      </c>
      <c r="X11" s="17">
        <f>COUNTIF('1954'!$AA$1:$AA$100,"Spanien")</f>
        <v>0</v>
      </c>
      <c r="Y11" s="17">
        <f>COUNTIF('1958'!$AA$1:$AA$100,"Spanien")</f>
        <v>0</v>
      </c>
      <c r="Z11" s="17">
        <f>COUNTIF('1962'!$AA$1:$AA$100,"Spanien")</f>
        <v>1</v>
      </c>
      <c r="AA11" s="17">
        <f>COUNTIF('1966'!$AA$1:$AA$100,"Spanien")</f>
        <v>1</v>
      </c>
      <c r="AB11" s="17">
        <f>COUNTIF('1970'!$AA$1:$AA$100,"Spanien")</f>
        <v>0</v>
      </c>
      <c r="AC11" s="17">
        <f>COUNTIF('1974'!$AA$1:$AA$100,"Spanien")</f>
        <v>0</v>
      </c>
      <c r="AD11" s="17">
        <f>COUNTIF('1978'!$AA$1:$AA$100,"Spanien")</f>
        <v>1</v>
      </c>
      <c r="AE11" s="17">
        <f>COUNTIF('1982'!$AA$1:$AA$100,"Spanien")</f>
        <v>1</v>
      </c>
      <c r="AF11" s="17">
        <f>COUNTIF('1986'!$AA$1:$AA$100,"Spanien")</f>
        <v>1</v>
      </c>
      <c r="AG11" s="17">
        <f>COUNTIF('1990'!$AA$1:$AA$100,"Spanien")</f>
        <v>1</v>
      </c>
      <c r="AH11" s="419">
        <f>COUNTIF('1994'!$AA$1:$AA$100,"Spanien")</f>
        <v>1</v>
      </c>
      <c r="AI11" s="17">
        <f>COUNTIF('1998'!$AA$1:$AA$100,"Spanien")</f>
        <v>1</v>
      </c>
      <c r="AJ11" s="17">
        <f>COUNTIF('2002'!$AA$1:$AA$100,"Spanien")</f>
        <v>1</v>
      </c>
      <c r="AK11" s="17">
        <f>COUNTIF('2006'!$AA$1:$AA$100,"Spanien")</f>
        <v>1</v>
      </c>
      <c r="AL11" s="17">
        <f>COUNTIF('2010'!$AA$1:$AA$100,"Spanien")</f>
        <v>1</v>
      </c>
      <c r="AM11" s="17">
        <f>COUNTIF('2014'!$AA$1:$AA$100,"Spanien")</f>
        <v>1</v>
      </c>
      <c r="AN11" s="17">
        <f>COUNTIF('2018'!$AA$1:$AA$100,"Spanien")</f>
        <v>1</v>
      </c>
      <c r="AO11" s="17">
        <f>COUNTIF('2022'!$AA$1:$AA$100,"Spanien")</f>
        <v>1</v>
      </c>
      <c r="AP11" s="17"/>
    </row>
    <row r="12" spans="1:54" s="13" customFormat="1" x14ac:dyDescent="0.3">
      <c r="A12" s="38">
        <v>6</v>
      </c>
      <c r="B12" s="312">
        <f t="shared" si="0"/>
        <v>11</v>
      </c>
      <c r="C12" s="38" t="s">
        <v>63</v>
      </c>
      <c r="D12" s="10">
        <f t="array" aca="1" ref="D12" ca="1">SUM(COUNTIF(INDIRECT(""&amp;$T$3:$AG$3&amp;"!$S$12:$T$400"),"Niederlande"))</f>
        <v>20</v>
      </c>
      <c r="E12" s="21">
        <f>SUM('1934'!D87,'1938'!D100,'1974'!D158,'1978'!D159,'1990'!D242)</f>
        <v>8</v>
      </c>
      <c r="F12" s="17">
        <f>SUM('1934'!E87,'1938'!E100,'1974'!E158,'1978'!E159,'1990'!E242)</f>
        <v>6</v>
      </c>
      <c r="G12" s="34">
        <f>SUM('1934'!F87,'1938'!F100,'1974'!F158,'1978'!F159,'1990'!F242)</f>
        <v>6</v>
      </c>
      <c r="H12" s="10">
        <f>SUM('1934'!G87,'1938'!G100,'1974'!G158,'1978'!G159,'1990'!G242,'1994'!G229,'1998'!G253,'2006'!G259,'2010'!G245,'2014'!G253,'2022'!G254)</f>
        <v>107</v>
      </c>
      <c r="I12" s="10">
        <f>SUM('1934'!H87,'1938'!H100,'1974'!H158,'1978'!H159,'1990'!H242,'1994'!H229,'1998'!H253,'2006'!H259,'2010'!H245,'2014'!H253,'2022'!H254)</f>
        <v>67</v>
      </c>
      <c r="J12" s="38">
        <f t="shared" si="1"/>
        <v>40</v>
      </c>
      <c r="K12" s="18">
        <f t="shared" si="2"/>
        <v>22</v>
      </c>
      <c r="L12" s="22">
        <f t="shared" si="3"/>
        <v>18</v>
      </c>
      <c r="M12" s="38">
        <f t="array" aca="1" ref="M12" ca="1">SUM(COUNTIF(INDIRECT(""&amp;$AH$3:$AO$3&amp;"!$S$12:$T$400"),"Niederlande"))</f>
        <v>35</v>
      </c>
      <c r="N12" s="21">
        <f>SUM('1994'!D229,'1998'!D253,'2006'!D259,'2010'!D245,'2014'!D253,'2022'!D254)</f>
        <v>23</v>
      </c>
      <c r="O12" s="17">
        <f>SUM('1994'!E229,'1998'!E253,'2006'!E259,'2010'!E245,'2014'!E253,'2022'!E254)</f>
        <v>4</v>
      </c>
      <c r="P12" s="34">
        <f>SUM('1994'!F229,'1998'!F253,'2006'!F259,'2010'!F245,'2014'!F253,'2022'!F254)</f>
        <v>8</v>
      </c>
      <c r="Q12" s="18">
        <f t="shared" si="4"/>
        <v>73</v>
      </c>
      <c r="R12" s="293">
        <f t="shared" si="5"/>
        <v>95</v>
      </c>
      <c r="S12" s="35"/>
      <c r="T12" s="17">
        <f>COUNTIF('1930'!$AA$1:$AA$102,"Niederlande")</f>
        <v>0</v>
      </c>
      <c r="U12" s="17">
        <f>COUNTIF('1934'!$AA$1:$AA$102,"Niederlande")</f>
        <v>1</v>
      </c>
      <c r="V12" s="17">
        <f>COUNTIF('1938'!$AA$1:$AA$102,"Niederlande")</f>
        <v>1</v>
      </c>
      <c r="W12" s="17">
        <f>COUNTIF('1950'!$AA$1:$AA$100,"Niederlande")</f>
        <v>0</v>
      </c>
      <c r="X12" s="17">
        <f>COUNTIF('1954'!$AA$1:$AA$100,"Niederlande")</f>
        <v>0</v>
      </c>
      <c r="Y12" s="17">
        <f>COUNTIF('1958'!$AA$1:$AA$100,"Niederlande")</f>
        <v>0</v>
      </c>
      <c r="Z12" s="17">
        <f>COUNTIF('1962'!$AA$1:$AA$100,"Niederlande")</f>
        <v>0</v>
      </c>
      <c r="AA12" s="17">
        <f>COUNTIF('1966'!$AA$1:$AA$100,"Niederlande")</f>
        <v>0</v>
      </c>
      <c r="AB12" s="17">
        <f>COUNTIF('1970'!$AA$1:$AA$100,"Niederlande")</f>
        <v>0</v>
      </c>
      <c r="AC12" s="17">
        <f>COUNTIF('1974'!$AA$1:$AA$100,"Niederlande")</f>
        <v>1</v>
      </c>
      <c r="AD12" s="17">
        <f>COUNTIF('1978'!$AA$1:$AA$100,"Niederlande")</f>
        <v>1</v>
      </c>
      <c r="AE12" s="17">
        <f>COUNTIF('1982'!$AA$1:$AA$100,"Niederlande")</f>
        <v>0</v>
      </c>
      <c r="AF12" s="17">
        <f>COUNTIF('1986'!$AA$1:$AA$100,"Niederlande")</f>
        <v>0</v>
      </c>
      <c r="AG12" s="17">
        <f>COUNTIF('1990'!$AA$1:$AA$100,"Niederlande")</f>
        <v>1</v>
      </c>
      <c r="AH12" s="419">
        <f>COUNTIF('1994'!$AA$1:$AA$100,"Niederlande")</f>
        <v>1</v>
      </c>
      <c r="AI12" s="17">
        <f>COUNTIF('1998'!$AA$1:$AA$100,"Niederlande")</f>
        <v>1</v>
      </c>
      <c r="AJ12" s="17">
        <f>COUNTIF('2002'!$AA$1:$AA$100,"Niederlande")</f>
        <v>0</v>
      </c>
      <c r="AK12" s="17">
        <f>COUNTIF('2006'!$AA$1:$AA$100,"Niederlande")</f>
        <v>1</v>
      </c>
      <c r="AL12" s="17">
        <f>COUNTIF('2010'!$AA$1:$AA$100,"Niederlande")</f>
        <v>1</v>
      </c>
      <c r="AM12" s="17">
        <f>COUNTIF('2014'!$AA$1:$AA$100,"Niederlande")</f>
        <v>1</v>
      </c>
      <c r="AN12" s="17">
        <f>COUNTIF('2018'!$AA$1:$AA$100,"Niederlande")</f>
        <v>0</v>
      </c>
      <c r="AO12" s="17">
        <f>COUNTIF('2022'!$AA$1:$AA$100,"Niederlande")</f>
        <v>1</v>
      </c>
      <c r="AP12" s="17"/>
    </row>
    <row r="13" spans="1:54" s="13" customFormat="1" x14ac:dyDescent="0.3">
      <c r="A13" s="38">
        <v>9</v>
      </c>
      <c r="B13" s="312">
        <f t="shared" si="0"/>
        <v>14</v>
      </c>
      <c r="C13" s="38" t="s">
        <v>18</v>
      </c>
      <c r="D13" s="10">
        <f t="array" aca="1" ref="D13" ca="1">SUM(COUNTIF(INDIRECT(""&amp;$T$3:$AG$3&amp;"!$S$12:$T$400"),"Uruguay"))</f>
        <v>37</v>
      </c>
      <c r="E13" s="21">
        <f>SUM('1930'!D103,'1950'!D108,'1954'!D139,'1962'!D143,'1966'!D141,'1970'!D143,'1974'!D168,'1986'!D233,'1990'!D243)</f>
        <v>15</v>
      </c>
      <c r="F13" s="17">
        <f>SUM('1930'!E103,'1950'!E108,'1954'!E139,'1962'!E143,'1966'!E141,'1970'!E143,'1974'!E168,'1986'!E233,'1990'!E243)</f>
        <v>8</v>
      </c>
      <c r="G13" s="34">
        <f>SUM('1930'!F103,'1950'!F108,'1954'!F139,'1962'!F143,'1966'!F141,'1970'!F143,'1974'!F168,'1986'!F233,'1990'!F243)</f>
        <v>14</v>
      </c>
      <c r="H13" s="10">
        <f>SUM('1930'!G103,'1950'!G108,'1954'!G139,'1962'!G143,'1966'!G141,'1970'!G143,'1974'!G168,'1986'!G233,'1990'!G243,'2002'!G275,'2010'!G248,'2014'!G263,'2018'!G257,'2022'!G268)</f>
        <v>92</v>
      </c>
      <c r="I13" s="10">
        <f>SUM('1930'!H103,'1950'!H108,'1954'!H139,'1962'!H143,'1966'!H141,'1970'!H143,'1974'!H168,'1986'!H233,'1990'!H243,'2002'!H275,'2010'!H248,'2014'!H263,'2018'!H257,'2022'!H268)</f>
        <v>77</v>
      </c>
      <c r="J13" s="38">
        <f t="shared" si="1"/>
        <v>15</v>
      </c>
      <c r="K13" s="18">
        <f t="shared" si="2"/>
        <v>38</v>
      </c>
      <c r="L13" s="22">
        <f t="shared" si="3"/>
        <v>36</v>
      </c>
      <c r="M13" s="38">
        <f t="array" aca="1" ref="M13" ca="1">SUM(COUNTIF(INDIRECT(""&amp;$AH$3:$AO$3&amp;"!$S$12:$T$400"),"Uruguay"))</f>
        <v>22</v>
      </c>
      <c r="N13" s="21">
        <f>SUM('2002'!D275,'2010'!D248,'2014'!D263,'2018'!D257,'2022'!D268)</f>
        <v>11</v>
      </c>
      <c r="O13" s="17">
        <f>SUM('2002'!E275,'2010'!E248,'2014'!E263,'2018'!E257,'2022'!E268)</f>
        <v>4</v>
      </c>
      <c r="P13" s="34">
        <f>SUM('2002'!F275,'2010'!F248,'2014'!F263,'2018'!F257,'2022'!F268)</f>
        <v>7</v>
      </c>
      <c r="Q13" s="18">
        <f t="shared" si="4"/>
        <v>37</v>
      </c>
      <c r="R13" s="293">
        <f t="shared" si="5"/>
        <v>75</v>
      </c>
      <c r="S13" s="35"/>
      <c r="T13" s="17">
        <f>COUNTIF('1930'!$AA$1:$AA$102,"Uruguay")</f>
        <v>1</v>
      </c>
      <c r="U13" s="17">
        <f>COUNTIF('1934'!$AA$1:$AA$102,"Uruguay")</f>
        <v>0</v>
      </c>
      <c r="V13" s="17">
        <f>COUNTIF('1938'!$AA$1:$AA$102,"Uruguay")</f>
        <v>0</v>
      </c>
      <c r="W13" s="17">
        <f>COUNTIF('1950'!$AA$1:$AA$100,"Uruguay")</f>
        <v>1</v>
      </c>
      <c r="X13" s="17">
        <f>COUNTIF('1954'!$AA$1:$AA$100,"Uruguay")</f>
        <v>1</v>
      </c>
      <c r="Y13" s="17">
        <f>COUNTIF('1958'!$AA$1:$AA$100,"Uruguay")</f>
        <v>0</v>
      </c>
      <c r="Z13" s="17">
        <f>COUNTIF('1962'!$AA$1:$AA$100,"Uruguay")</f>
        <v>1</v>
      </c>
      <c r="AA13" s="17">
        <f>COUNTIF('1966'!$AA$1:$AA$100,"Uruguay")</f>
        <v>1</v>
      </c>
      <c r="AB13" s="17">
        <f>COUNTIF('1970'!$AA$1:$AA$100,"Uruguay")</f>
        <v>1</v>
      </c>
      <c r="AC13" s="17">
        <f>COUNTIF('1974'!$AA$1:$AA$100,"Uruguay")</f>
        <v>1</v>
      </c>
      <c r="AD13" s="17">
        <f>COUNTIF('1978'!$AA$1:$AA$100,"Uruguay")</f>
        <v>0</v>
      </c>
      <c r="AE13" s="17">
        <f>COUNTIF('1982'!$AA$1:$AA$100,"Uruguay")</f>
        <v>0</v>
      </c>
      <c r="AF13" s="17">
        <f>COUNTIF('1986'!$AA$1:$AA$100,"Uruguay")</f>
        <v>1</v>
      </c>
      <c r="AG13" s="17">
        <f>COUNTIF('1990'!$AA$1:$AA$100,"Uruguay")</f>
        <v>1</v>
      </c>
      <c r="AH13" s="419">
        <f>COUNTIF('1994'!$AA$1:$AA$100,"Uruguay")</f>
        <v>0</v>
      </c>
      <c r="AI13" s="17">
        <f>COUNTIF('1998'!$AA$1:$AA$100,"Uruguay")</f>
        <v>0</v>
      </c>
      <c r="AJ13" s="17">
        <f>COUNTIF('2002'!$AA$1:$AA$100,"Uruguay")</f>
        <v>1</v>
      </c>
      <c r="AK13" s="17">
        <f>COUNTIF('2006'!$AA$1:$AA$100,"Uruguay")</f>
        <v>0</v>
      </c>
      <c r="AL13" s="17">
        <f>COUNTIF('2010'!$AA$1:$AA$100,"Uruguay")</f>
        <v>1</v>
      </c>
      <c r="AM13" s="17">
        <f>COUNTIF('2014'!$AA$1:$AA$100,"Uruguay")</f>
        <v>1</v>
      </c>
      <c r="AN13" s="17">
        <f>COUNTIF('2018'!$AA$1:$AA$100,"Uruguay")</f>
        <v>1</v>
      </c>
      <c r="AO13" s="17">
        <f>COUNTIF('2022'!$AA$1:$AA$100,"Uruguay")</f>
        <v>1</v>
      </c>
      <c r="AP13" s="17"/>
    </row>
    <row r="14" spans="1:54" s="13" customFormat="1" x14ac:dyDescent="0.3">
      <c r="A14" s="38">
        <v>12</v>
      </c>
      <c r="B14" s="312">
        <f t="shared" si="0"/>
        <v>14</v>
      </c>
      <c r="C14" s="38" t="s">
        <v>21</v>
      </c>
      <c r="D14" s="10">
        <f t="array" aca="1" ref="D14" ca="1">SUM(COUNTIF(INDIRECT(""&amp;$T$3:$AG$3&amp;"!$S$12:$T$400"),"Belgien"))</f>
        <v>25</v>
      </c>
      <c r="E14" s="21">
        <f>SUM('1930'!D113,'1934'!D90,'1938'!D99,'1954'!D147,'1970'!D147,'1982'!D233,'1986'!D221,'1990'!D238)</f>
        <v>8</v>
      </c>
      <c r="F14" s="17">
        <f>SUM('1930'!E113,'1934'!E90,'1938'!E99,'1954'!E147,'1970'!E147,'1982'!E233,'1986'!E221,'1990'!E238)</f>
        <v>3</v>
      </c>
      <c r="G14" s="34">
        <f>SUM('1930'!F113,'1934'!F90,'1938'!F99,'1954'!F147,'1970'!F147,'1982'!F233,'1986'!F221,'1990'!F238)</f>
        <v>14</v>
      </c>
      <c r="H14" s="10">
        <f>SUM('1930'!G113,'1934'!G90,'1938'!G99,'1954'!G147,'1970'!G147,'1982'!G233,'1986'!G221,'1990'!G238,'1994'!G234,'1998'!G267,'2002'!G262,'2014'!G257,'2018'!G255,'2022'!G271)</f>
        <v>74</v>
      </c>
      <c r="I14" s="10">
        <f>SUM('1930'!H113,'1934'!H90,'1938'!H99,'1954'!H147,'1970'!H147,'1982'!H233,'1986'!H221,'1990'!H238,'1994'!H234,'1998'!H267,'2002'!H262,'2014'!H257,'2018'!H255,'2022'!H271)</f>
        <v>78</v>
      </c>
      <c r="J14" s="38">
        <f t="shared" si="1"/>
        <v>-4</v>
      </c>
      <c r="K14" s="18">
        <f t="shared" si="2"/>
        <v>19</v>
      </c>
      <c r="L14" s="22">
        <f t="shared" si="3"/>
        <v>31</v>
      </c>
      <c r="M14" s="38">
        <f t="array" aca="1" ref="M14" ca="1">SUM(COUNTIF(INDIRECT(""&amp;$AH$3:$AO$3&amp;"!$S$12:$T$400"),"Belgien"))</f>
        <v>26</v>
      </c>
      <c r="N14" s="21">
        <f>SUM('1994'!D234,'1998'!D267,'2002'!D262,'2014'!D257,'2018'!D255,'2022'!D271)</f>
        <v>14</v>
      </c>
      <c r="O14" s="17">
        <f>SUM('1994'!E234,'1998'!E267,'2002'!E262,'2014'!E257,'2018'!E255,'2022'!E271)</f>
        <v>6</v>
      </c>
      <c r="P14" s="34">
        <f>SUM('1994'!F234,'1998'!F267,'2002'!F262,'2014'!F257,'2018'!F255,'2022'!F271)</f>
        <v>6</v>
      </c>
      <c r="Q14" s="18">
        <f t="shared" si="4"/>
        <v>48</v>
      </c>
      <c r="R14" s="293">
        <f t="shared" si="5"/>
        <v>67</v>
      </c>
      <c r="S14" s="35"/>
      <c r="T14" s="17">
        <f>COUNTIF('1930'!$AA$1:$AA$102,"Belgien")</f>
        <v>1</v>
      </c>
      <c r="U14" s="17">
        <f>COUNTIF('1934'!$AA$1:$AA$102,"Belgien")</f>
        <v>1</v>
      </c>
      <c r="V14" s="17">
        <f>COUNTIF('1938'!$AA$1:$AA$102,"Belgien")</f>
        <v>1</v>
      </c>
      <c r="W14" s="17">
        <f>COUNTIF('1950'!$AA$1:$AA$100,"Belgien")</f>
        <v>0</v>
      </c>
      <c r="X14" s="17">
        <f>COUNTIF('1954'!$AA$1:$AA$100,"Belgien")</f>
        <v>1</v>
      </c>
      <c r="Y14" s="17">
        <f>COUNTIF('1958'!$AA$1:$AA$100,"Belgien")</f>
        <v>0</v>
      </c>
      <c r="Z14" s="17">
        <f>COUNTIF('1962'!$AA$1:$AA$100,"Belgien")</f>
        <v>0</v>
      </c>
      <c r="AA14" s="17">
        <f>COUNTIF('1966'!$AA$1:$AA$100,"Belgien")</f>
        <v>0</v>
      </c>
      <c r="AB14" s="17">
        <f>COUNTIF('1970'!$AA$1:$AA$100,"Belgien")</f>
        <v>1</v>
      </c>
      <c r="AC14" s="17">
        <f>COUNTIF('1974'!$AA$1:$AA$100,"Belgien")</f>
        <v>0</v>
      </c>
      <c r="AD14" s="17">
        <f>COUNTIF('1978'!$AA$1:$AA$100,"Belgien")</f>
        <v>0</v>
      </c>
      <c r="AE14" s="17">
        <f>COUNTIF('1982'!$AA$1:$AA$100,"Belgien")</f>
        <v>1</v>
      </c>
      <c r="AF14" s="17">
        <f>COUNTIF('1986'!$AA$1:$AA$100,"Belgien")</f>
        <v>1</v>
      </c>
      <c r="AG14" s="17">
        <f>COUNTIF('1990'!$AA$1:$AA$100,"Belgien")</f>
        <v>1</v>
      </c>
      <c r="AH14" s="419">
        <f>COUNTIF('1994'!$AA$1:$AA$100,"Belgien")</f>
        <v>1</v>
      </c>
      <c r="AI14" s="17">
        <f>COUNTIF('1998'!$AA$1:$AA$100,"Belgien")</f>
        <v>1</v>
      </c>
      <c r="AJ14" s="17">
        <f>COUNTIF('2002'!$AA$1:$AA$100,"Belgien")</f>
        <v>1</v>
      </c>
      <c r="AK14" s="17">
        <f>COUNTIF('2006'!$AA$1:$AA$100,"Belgien")</f>
        <v>0</v>
      </c>
      <c r="AL14" s="17">
        <f>COUNTIF('2010'!$AA$1:$AA$100,"Belgien")</f>
        <v>0</v>
      </c>
      <c r="AM14" s="17">
        <f>COUNTIF('2014'!$AA$1:$AA$100,"Belgien")</f>
        <v>1</v>
      </c>
      <c r="AN14" s="17">
        <f>COUNTIF('2018'!$AA$1:$AA$100,"Belgien")</f>
        <v>1</v>
      </c>
      <c r="AO14" s="17">
        <f>COUNTIF('2022'!$AA$1:$AA$100,"Belgien")</f>
        <v>1</v>
      </c>
      <c r="AP14" s="17"/>
    </row>
    <row r="15" spans="1:54" s="13" customFormat="1" x14ac:dyDescent="0.3">
      <c r="A15" s="38">
        <v>10</v>
      </c>
      <c r="B15" s="312">
        <f t="shared" si="0"/>
        <v>12</v>
      </c>
      <c r="C15" s="38" t="s">
        <v>41</v>
      </c>
      <c r="D15" s="10">
        <f t="array" aca="1" ref="D15" ca="1">SUM(COUNTIF(INDIRECT(""&amp;$T$3:$AG$3&amp;"!$S$12:$T$400"),"Schweden"))</f>
        <v>31</v>
      </c>
      <c r="E15" s="21">
        <f>SUM('1934'!D85,'1938'!D94,'1950'!D110,'1958'!D155,'1970'!D146,'1974'!D160,'1978'!D169,'1990'!D248)</f>
        <v>11</v>
      </c>
      <c r="F15" s="17">
        <f>SUM('1934'!E85,'1938'!E94,'1950'!E110,'1958'!E155,'1970'!E146,'1974'!E160,'1978'!E169,'1990'!E248)</f>
        <v>6</v>
      </c>
      <c r="G15" s="34">
        <f>SUM('1934'!F85,'1938'!F94,'1950'!F110,'1958'!F155,'1970'!F146,'1974'!F160,'1978'!F169,'1990'!F248)</f>
        <v>14</v>
      </c>
      <c r="H15" s="10">
        <f>SUM('1934'!G85,'1938'!G94,'1950'!G110,'1958'!G155,'1970'!G146,'1974'!G160,'1978'!G169,'1990'!G248,'1994'!G224,'2002'!G263,'2006'!G262,'2018'!G260)</f>
        <v>85</v>
      </c>
      <c r="I15" s="10">
        <f>SUM('1934'!H85,'1938'!H94,'1950'!H110,'1958'!H155,'1970'!H146,'1974'!H160,'1978'!H169,'1990'!H248,'1994'!H224,'2002'!H263,'2006'!H262,'2018'!H260)</f>
        <v>77</v>
      </c>
      <c r="J15" s="38">
        <f t="shared" si="1"/>
        <v>8</v>
      </c>
      <c r="K15" s="18">
        <f t="shared" si="2"/>
        <v>28</v>
      </c>
      <c r="L15" s="22">
        <f t="shared" si="3"/>
        <v>34</v>
      </c>
      <c r="M15" s="38">
        <f t="array" aca="1" ref="M15" ca="1">SUM(COUNTIF(INDIRECT(""&amp;$AH$3:$AO$3&amp;"!$S$12:$T$400"),"Schweden"))</f>
        <v>20</v>
      </c>
      <c r="N15" s="21">
        <f>SUM('1994'!D224,'2002'!D263,'2006'!D262,'2018'!D260)</f>
        <v>9</v>
      </c>
      <c r="O15" s="17">
        <f>SUM('1994'!E224,'2002'!E263,'2006'!E262,'2018'!E260)</f>
        <v>6</v>
      </c>
      <c r="P15" s="34">
        <f>SUM('1994'!F224,'2002'!F263,'2006'!F262,'2018'!F260)</f>
        <v>5</v>
      </c>
      <c r="Q15" s="18">
        <f t="shared" si="4"/>
        <v>33</v>
      </c>
      <c r="R15" s="293">
        <f t="shared" si="5"/>
        <v>61</v>
      </c>
      <c r="S15" s="35"/>
      <c r="T15" s="17">
        <f>COUNTIF('1930'!$AA$1:$AA$102,"Schweden")</f>
        <v>0</v>
      </c>
      <c r="U15" s="17">
        <f>COUNTIF('1934'!$AA$1:$AA$102,"Schweden")</f>
        <v>1</v>
      </c>
      <c r="V15" s="17">
        <f>COUNTIF('1938'!$AA$1:$AA$102,"Schweden")</f>
        <v>1</v>
      </c>
      <c r="W15" s="17">
        <f>COUNTIF('1950'!$AA$1:$AA$100,"Schweden")</f>
        <v>1</v>
      </c>
      <c r="X15" s="17">
        <f>COUNTIF('1954'!$AA$1:$AA$100,"Schweden")</f>
        <v>0</v>
      </c>
      <c r="Y15" s="17">
        <f>COUNTIF('1958'!$AA$1:$AA$100,"Schweden")</f>
        <v>1</v>
      </c>
      <c r="Z15" s="17">
        <f>COUNTIF('1962'!$AA$1:$AA$100,"Schweden")</f>
        <v>0</v>
      </c>
      <c r="AA15" s="17">
        <f>COUNTIF('1966'!$AA$1:$AA$100,"Schweden")</f>
        <v>0</v>
      </c>
      <c r="AB15" s="17">
        <f>COUNTIF('1970'!$AA$1:$AA$100,"Schweden")</f>
        <v>1</v>
      </c>
      <c r="AC15" s="17">
        <f>COUNTIF('1974'!$AA$1:$AA$100,"Schweden")</f>
        <v>1</v>
      </c>
      <c r="AD15" s="17">
        <f>COUNTIF('1978'!$AA$1:$AA$100,"Schweden")</f>
        <v>1</v>
      </c>
      <c r="AE15" s="17">
        <f>COUNTIF('1982'!$AA$1:$AA$100,"Schweden")</f>
        <v>0</v>
      </c>
      <c r="AF15" s="17">
        <f>COUNTIF('1986'!$AA$1:$AA$100,"Schweden")</f>
        <v>0</v>
      </c>
      <c r="AG15" s="17">
        <f>COUNTIF('1990'!$AA$1:$AA$100,"Schweden")</f>
        <v>1</v>
      </c>
      <c r="AH15" s="419">
        <f>COUNTIF('1994'!$AA$1:$AA$100,"Schweden")</f>
        <v>1</v>
      </c>
      <c r="AI15" s="17">
        <f>COUNTIF('1998'!$AA$1:$AA$100,"Schweden")</f>
        <v>0</v>
      </c>
      <c r="AJ15" s="17">
        <f>COUNTIF('2002'!$AA$1:$AA$100,"Schweden")</f>
        <v>1</v>
      </c>
      <c r="AK15" s="17">
        <f>COUNTIF('2006'!$AA$1:$AA$100,"Schweden")</f>
        <v>1</v>
      </c>
      <c r="AL15" s="17">
        <f>COUNTIF('2010'!$AA$1:$AA$100,"Schweden")</f>
        <v>0</v>
      </c>
      <c r="AM15" s="17">
        <f>COUNTIF('2014'!$AA$1:$AA$100,"Schweden")</f>
        <v>0</v>
      </c>
      <c r="AN15" s="17">
        <f>COUNTIF('2018'!$AA$1:$AA$100,"Schweden")</f>
        <v>1</v>
      </c>
      <c r="AO15" s="17">
        <f>COUNTIF('2022'!$AA$1:$AA$100,"Schweden")</f>
        <v>0</v>
      </c>
      <c r="AP15" s="17"/>
    </row>
    <row r="16" spans="1:54" s="13" customFormat="1" x14ac:dyDescent="0.3">
      <c r="A16" s="38">
        <v>11</v>
      </c>
      <c r="B16" s="312">
        <f t="shared" si="0"/>
        <v>17</v>
      </c>
      <c r="C16" s="38" t="s">
        <v>4</v>
      </c>
      <c r="D16" s="10">
        <f t="array" aca="1" ref="D16" ca="1">SUM(COUNTIF(INDIRECT(""&amp;$T$3:$AG$3&amp;"!$S$12:$T$400"),"Mexiko"))</f>
        <v>29</v>
      </c>
      <c r="E16" s="21">
        <f>SUM('1930'!D115,'1950'!D119,'1954'!D148,'1958'!D169,'1962'!D144,'1966'!D146,'1970'!D142,'1978'!D171,'1986'!D220)</f>
        <v>6</v>
      </c>
      <c r="F16" s="17">
        <f>SUM('1930'!E115,'1950'!E119,'1954'!E148,'1958'!E169,'1962'!E144,'1966'!E146,'1970'!E142,'1978'!E171,'1986'!E220)</f>
        <v>5</v>
      </c>
      <c r="G16" s="34">
        <f>SUM('1930'!F115,'1950'!F119,'1954'!F148,'1958'!F169,'1962'!F144,'1966'!F146,'1970'!F142,'1978'!F171,'1986'!F220)</f>
        <v>18</v>
      </c>
      <c r="H16" s="10">
        <f>SUM('1930'!G115,'1950'!G119,'1954'!G148,'1958'!G169,'1962'!G144,'1966'!G146,'1970'!G142,'1978'!G171,'1986'!G220,'1994'!G236,'1998'!G261,'2002'!G260,'2006'!G263,'2010'!G261,'2014'!G260,'2018'!G262,'2022'!G269)</f>
        <v>64</v>
      </c>
      <c r="I16" s="10">
        <f>SUM('1930'!H115,'1950'!H119,'1954'!H148,'1958'!H169,'1962'!H144,'1966'!H146,'1970'!H142,'1978'!H171,'1986'!H220,'1994'!H236,'1998'!H261,'2002'!H260,'2006'!H263,'2010'!H261,'2014'!H260,'2018'!H262,'2022'!H269)</f>
        <v>108</v>
      </c>
      <c r="J16" s="38">
        <f t="shared" si="1"/>
        <v>-44</v>
      </c>
      <c r="K16" s="18">
        <f t="shared" si="2"/>
        <v>17</v>
      </c>
      <c r="L16" s="22">
        <f t="shared" si="3"/>
        <v>41</v>
      </c>
      <c r="M16" s="38">
        <f t="array" aca="1" ref="M16" ca="1">SUM(COUNTIF(INDIRECT(""&amp;$AH$3:$AO$3&amp;"!$S$12:$T$400"),"Mexiko"))</f>
        <v>31</v>
      </c>
      <c r="N16" s="21">
        <f>SUM('1994'!D236,'1998'!D261,'2002'!D260,'2006'!D263,'2010'!D261,'2014'!D260,'2018'!D262,'2022'!D269)</f>
        <v>11</v>
      </c>
      <c r="O16" s="17">
        <f>SUM('1994'!E236,'1998'!E261,'2002'!E260,'2006'!E263,'2010'!E261,'2014'!E260,'2018'!E262,'2022'!E269)</f>
        <v>8</v>
      </c>
      <c r="P16" s="34">
        <f>SUM('1994'!F236,'1998'!F261,'2002'!F260,'2006'!F263,'2010'!F261,'2014'!F260,'2018'!F262,'2022'!F269)</f>
        <v>12</v>
      </c>
      <c r="Q16" s="18">
        <f t="shared" si="4"/>
        <v>41</v>
      </c>
      <c r="R16" s="293">
        <f t="shared" si="5"/>
        <v>58</v>
      </c>
      <c r="S16" s="35"/>
      <c r="T16" s="17">
        <f>COUNTIF('1930'!$AA$1:$AA$102,"Mexiko")</f>
        <v>1</v>
      </c>
      <c r="U16" s="17">
        <f>COUNTIF('1934'!$AA$1:$AA$102,"Mexiko")</f>
        <v>0</v>
      </c>
      <c r="V16" s="17">
        <f>COUNTIF('1938'!$AA$1:$AA$102,"Mexiko")</f>
        <v>0</v>
      </c>
      <c r="W16" s="17">
        <f>COUNTIF('1950'!$AA$1:$AA$100,"Mexiko")</f>
        <v>1</v>
      </c>
      <c r="X16" s="17">
        <f>COUNTIF('1954'!$AA$1:$AA$100,"Mexiko")</f>
        <v>1</v>
      </c>
      <c r="Y16" s="17">
        <f>COUNTIF('1958'!$AA$1:$AA$100,"Mexiko")</f>
        <v>1</v>
      </c>
      <c r="Z16" s="17">
        <f>COUNTIF('1962'!$AA$1:$AA$100,"Mexiko")</f>
        <v>1</v>
      </c>
      <c r="AA16" s="17">
        <f>COUNTIF('1966'!$AA$1:$AA$100,"Mexiko")</f>
        <v>1</v>
      </c>
      <c r="AB16" s="17">
        <f>COUNTIF('1970'!$AA$1:$AA$100,"Mexiko")</f>
        <v>1</v>
      </c>
      <c r="AC16" s="17">
        <f>COUNTIF('1974'!$AA$1:$AA$100,"Mexiko")</f>
        <v>0</v>
      </c>
      <c r="AD16" s="17">
        <f>COUNTIF('1978'!$AA$1:$AA$100,"Mexiko")</f>
        <v>1</v>
      </c>
      <c r="AE16" s="17">
        <f>COUNTIF('1982'!$AA$1:$AA$100,"Mexiko")</f>
        <v>0</v>
      </c>
      <c r="AF16" s="17">
        <f>COUNTIF('1986'!$AA$1:$AA$100,"Mexiko")</f>
        <v>1</v>
      </c>
      <c r="AG16" s="17">
        <f>COUNTIF('1990'!$AA$1:$AA$100,"Mexiko")</f>
        <v>0</v>
      </c>
      <c r="AH16" s="419">
        <f>COUNTIF('1994'!$AA$1:$AA$100,"Mexiko")</f>
        <v>1</v>
      </c>
      <c r="AI16" s="17">
        <f>COUNTIF('1998'!$AA$1:$AA$100,"Mexiko")</f>
        <v>1</v>
      </c>
      <c r="AJ16" s="17">
        <f>COUNTIF('2002'!$AA$1:$AA$100,"Mexiko")</f>
        <v>1</v>
      </c>
      <c r="AK16" s="17">
        <f>COUNTIF('2006'!$AA$1:$AA$100,"Mexiko")</f>
        <v>1</v>
      </c>
      <c r="AL16" s="17">
        <f>COUNTIF('2010'!$AA$1:$AA$100,"Mexiko")</f>
        <v>1</v>
      </c>
      <c r="AM16" s="17">
        <f>COUNTIF('2014'!$AA$1:$AA$100,"Mexiko")</f>
        <v>1</v>
      </c>
      <c r="AN16" s="17">
        <f>COUNTIF('2018'!$AA$1:$AA$100,"Mexiko")</f>
        <v>1</v>
      </c>
      <c r="AO16" s="17">
        <f>COUNTIF('2022'!$AA$1:$AA$100,"Mexiko")</f>
        <v>1</v>
      </c>
      <c r="AP16" s="17"/>
    </row>
    <row r="17" spans="1:42" s="13" customFormat="1" x14ac:dyDescent="0.3">
      <c r="A17" s="38">
        <v>13</v>
      </c>
      <c r="B17" s="312">
        <f t="shared" si="0"/>
        <v>8</v>
      </c>
      <c r="C17" s="38" t="s">
        <v>133</v>
      </c>
      <c r="D17" s="10">
        <f t="array" aca="1" ref="D17" ca="1">SUM(COUNTIF(INDIRECT(""&amp;$T$3:$AG$3&amp;"!$S$12:$T$400"),"Portugal"))</f>
        <v>9</v>
      </c>
      <c r="E17" s="21">
        <f>SUM('1966'!D136,'1986'!D230)</f>
        <v>6</v>
      </c>
      <c r="F17" s="17">
        <f>SUM('1966'!E136,'1986'!E230)</f>
        <v>0</v>
      </c>
      <c r="G17" s="34">
        <f>SUM('1966'!F136,'1986'!F230)</f>
        <v>3</v>
      </c>
      <c r="H17" s="10">
        <f>SUM('1966'!G136,'1986'!G230,'2002'!G270,'2006'!G251,'2010'!G255,'2014'!G267,'2018'!G264,'2022'!G255)</f>
        <v>64</v>
      </c>
      <c r="I17" s="10">
        <f>SUM('1966'!H136,'1986'!H230,'2002'!H270,'2006'!H251,'2010'!H255,'2014'!H267,'2018'!H264,'2022'!H255)</f>
        <v>42</v>
      </c>
      <c r="J17" s="38">
        <f t="shared" si="1"/>
        <v>22</v>
      </c>
      <c r="K17" s="18">
        <f t="shared" si="2"/>
        <v>12</v>
      </c>
      <c r="L17" s="22">
        <f t="shared" si="3"/>
        <v>6</v>
      </c>
      <c r="M17" s="38">
        <f t="array" aca="1" ref="M17" ca="1">SUM(COUNTIF(INDIRECT(""&amp;$AH$3:$AO$3&amp;"!$S$12:$T$400"),"Portugal"))</f>
        <v>26</v>
      </c>
      <c r="N17" s="21">
        <f>SUM('2002'!D270,'2006'!D251,'2010'!D255,'2014'!D267,'2018'!D264,'2022'!D255)</f>
        <v>12</v>
      </c>
      <c r="O17" s="17">
        <f>SUM('2002'!E270,'2006'!E251,'2010'!E255,'2014'!E267,'2018'!E264,'2022'!E255)</f>
        <v>5</v>
      </c>
      <c r="P17" s="34">
        <f>SUM('2002'!F270,'2006'!F251,'2010'!F255,'2014'!F267,'2018'!F264,'2022'!F255)</f>
        <v>9</v>
      </c>
      <c r="Q17" s="18">
        <f t="shared" si="4"/>
        <v>41</v>
      </c>
      <c r="R17" s="293">
        <f t="shared" si="5"/>
        <v>53</v>
      </c>
      <c r="S17" s="35"/>
      <c r="T17" s="17">
        <f>COUNTIF('1930'!$AA$1:$AA$102,"Portugal")</f>
        <v>0</v>
      </c>
      <c r="U17" s="17">
        <f>COUNTIF('1934'!$AA$1:$AA$102,"Portugal")</f>
        <v>0</v>
      </c>
      <c r="V17" s="17">
        <f>COUNTIF('1938'!$AA$1:$AA$102,"Portugal")</f>
        <v>0</v>
      </c>
      <c r="W17" s="17">
        <f>COUNTIF('1950'!$AA$1:$AA$100,"Portugal")</f>
        <v>0</v>
      </c>
      <c r="X17" s="17">
        <f>COUNTIF('1954'!$AA$1:$AA$100,"Portugal")</f>
        <v>0</v>
      </c>
      <c r="Y17" s="17">
        <f>COUNTIF('1958'!$AA$1:$AA$100,"Portugal")</f>
        <v>0</v>
      </c>
      <c r="Z17" s="17">
        <f>COUNTIF('1962'!$AA$1:$AA$100,"Portugal")</f>
        <v>0</v>
      </c>
      <c r="AA17" s="17">
        <f>COUNTIF('1966'!$AA$1:$AA$100,"Portugal")</f>
        <v>1</v>
      </c>
      <c r="AB17" s="17">
        <f>COUNTIF('1970'!$AA$1:$AA$100,"Portugal")</f>
        <v>0</v>
      </c>
      <c r="AC17" s="17">
        <f>COUNTIF('1974'!$AA$1:$AA$100,"Portugal")</f>
        <v>0</v>
      </c>
      <c r="AD17" s="17">
        <f>COUNTIF('1978'!$AA$1:$AA$100,"Portugal")</f>
        <v>0</v>
      </c>
      <c r="AE17" s="17">
        <f>COUNTIF('1982'!$AA$1:$AA$100,"Portugal")</f>
        <v>0</v>
      </c>
      <c r="AF17" s="17">
        <f>COUNTIF('1986'!$AA$1:$AA$100,"Portugal")</f>
        <v>1</v>
      </c>
      <c r="AG17" s="17">
        <f>COUNTIF('1990'!$AA$1:$AA$100,"Portugal")</f>
        <v>0</v>
      </c>
      <c r="AH17" s="419">
        <f>COUNTIF('1994'!$AA$1:$AA$100,"Portugal")</f>
        <v>0</v>
      </c>
      <c r="AI17" s="17">
        <f>COUNTIF('1998'!$AA$1:$AA$100,"Portugal")</f>
        <v>0</v>
      </c>
      <c r="AJ17" s="17">
        <f>COUNTIF('2002'!$AA$1:$AA$100,"Portugal")</f>
        <v>1</v>
      </c>
      <c r="AK17" s="17">
        <f>COUNTIF('2006'!$AA$1:$AA$100,"Portugal")</f>
        <v>1</v>
      </c>
      <c r="AL17" s="17">
        <f>COUNTIF('2010'!$AA$1:$AA$100,"Portugal")</f>
        <v>1</v>
      </c>
      <c r="AM17" s="17">
        <f>COUNTIF('2014'!$AA$1:$AA$100,"Portugal")</f>
        <v>1</v>
      </c>
      <c r="AN17" s="17">
        <f>COUNTIF('2018'!$AA$1:$AA$100,"Portugal")</f>
        <v>1</v>
      </c>
      <c r="AO17" s="17">
        <f>COUNTIF('2022'!$AA$1:$AA$100,"Portugal")</f>
        <v>1</v>
      </c>
      <c r="AP17" s="17"/>
    </row>
    <row r="18" spans="1:42" s="13" customFormat="1" x14ac:dyDescent="0.3">
      <c r="A18" s="38">
        <v>16</v>
      </c>
      <c r="B18" s="312">
        <f t="shared" si="0"/>
        <v>12</v>
      </c>
      <c r="C18" s="38" t="s">
        <v>43</v>
      </c>
      <c r="D18" s="10">
        <f t="array" aca="1" ref="D18" ca="1">SUM(COUNTIF(INDIRECT(""&amp;$T$3:$AG$3&amp;"!$S$12:$T$400"),"Schweiz"))</f>
        <v>18</v>
      </c>
      <c r="E18" s="21">
        <f>SUM('1934'!D84,'1938'!D91,'1950'!D112,'1954'!D140,'1962'!D148,'1966'!D150)</f>
        <v>5</v>
      </c>
      <c r="F18" s="17">
        <f>SUM('1934'!E84,'1938'!E91,'1950'!E112,'1954'!E140,'1962'!E148,'1966'!E150)</f>
        <v>2</v>
      </c>
      <c r="G18" s="34">
        <f>SUM('1934'!F84,'1938'!F91,'1950'!F112,'1954'!F140,'1962'!F148,'1966'!F150)</f>
        <v>11</v>
      </c>
      <c r="H18" s="10">
        <f>SUM('1934'!G84,'1938'!G91,'1950'!G112,'1954'!G140,'1962'!G148,'1966'!G150,'1994'!G235,'2006'!G258,'2010'!G265,'2014'!G262,'2018'!G266,'2022'!G259)</f>
        <v>55</v>
      </c>
      <c r="I18" s="10">
        <f>SUM('1934'!H84,'1938'!H91,'1950'!H112,'1954'!H140,'1962'!H148,'1966'!H150,'1994'!H235,'2006'!H258,'2010'!H265,'2014'!H262,'2018'!H266,'2022'!H259)</f>
        <v>76</v>
      </c>
      <c r="J18" s="38">
        <f t="shared" si="1"/>
        <v>-21</v>
      </c>
      <c r="K18" s="18">
        <f t="shared" si="2"/>
        <v>12</v>
      </c>
      <c r="L18" s="22">
        <f t="shared" si="3"/>
        <v>24</v>
      </c>
      <c r="M18" s="38">
        <f t="array" aca="1" ref="M18" ca="1">SUM(COUNTIF(INDIRECT(""&amp;$AH$3:$AO$3&amp;"!$S$12:$T$400"),"Schweiz"))</f>
        <v>23</v>
      </c>
      <c r="N18" s="21">
        <f>SUM('1994'!D235,'2006'!D258,'2010'!D265,'2014'!D262,'2018'!D266,'2022'!D259)</f>
        <v>9</v>
      </c>
      <c r="O18" s="17">
        <f>SUM('1994'!E235,'2006'!E258,'2010'!E265,'2014'!E262,'2018'!E266,'2022'!E259)</f>
        <v>5</v>
      </c>
      <c r="P18" s="34">
        <f>SUM('1994'!F235,'2006'!F258,'2010'!F265,'2014'!F262,'2018'!F266,'2022'!F259)</f>
        <v>9</v>
      </c>
      <c r="Q18" s="18">
        <f t="shared" si="4"/>
        <v>32</v>
      </c>
      <c r="R18" s="293">
        <f t="shared" si="5"/>
        <v>44</v>
      </c>
      <c r="S18" s="35"/>
      <c r="T18" s="17">
        <f>COUNTIF('1930'!$AA$1:$AA$102,"Schweiz")</f>
        <v>0</v>
      </c>
      <c r="U18" s="17">
        <f>COUNTIF('1934'!$AA$1:$AA$102,"Schweiz")</f>
        <v>1</v>
      </c>
      <c r="V18" s="17">
        <f>COUNTIF('1938'!$AA$1:$AA$102,"Schweiz")</f>
        <v>1</v>
      </c>
      <c r="W18" s="17">
        <f>COUNTIF('1950'!$AA$1:$AA$100,"Schweiz")</f>
        <v>1</v>
      </c>
      <c r="X18" s="17">
        <f>COUNTIF('1954'!$AA$1:$AA$100,"Schweiz")</f>
        <v>1</v>
      </c>
      <c r="Y18" s="17">
        <f>COUNTIF('1958'!$AA$1:$AA$100,"Schweiz")</f>
        <v>0</v>
      </c>
      <c r="Z18" s="17">
        <f>COUNTIF('1962'!$AA$1:$AA$100,"Schweiz")</f>
        <v>1</v>
      </c>
      <c r="AA18" s="17">
        <f>COUNTIF('1966'!$AA$1:$AA$100,"Schweiz")</f>
        <v>1</v>
      </c>
      <c r="AB18" s="17">
        <f>COUNTIF('1970'!$AA$1:$AA$100,"Schweiz")</f>
        <v>0</v>
      </c>
      <c r="AC18" s="17">
        <f>COUNTIF('1974'!$AA$1:$AA$100,"Schweiz")</f>
        <v>0</v>
      </c>
      <c r="AD18" s="17">
        <f>COUNTIF('1978'!$AA$1:$AA$100,"Schweiz")</f>
        <v>0</v>
      </c>
      <c r="AE18" s="17">
        <f>COUNTIF('1982'!$AA$1:$AA$100,"Schweiz")</f>
        <v>0</v>
      </c>
      <c r="AF18" s="17">
        <f>COUNTIF('1986'!$AA$1:$AA$100,"Schweiz")</f>
        <v>0</v>
      </c>
      <c r="AG18" s="17">
        <f>COUNTIF('1990'!$AA$1:$AA$100,"Schweiz")</f>
        <v>0</v>
      </c>
      <c r="AH18" s="419">
        <f>COUNTIF('1994'!$AA$1:$AA$100,"Schweiz")</f>
        <v>1</v>
      </c>
      <c r="AI18" s="17">
        <f>COUNTIF('1998'!$AA$1:$AA$100,"Schweiz")</f>
        <v>0</v>
      </c>
      <c r="AJ18" s="17">
        <f>COUNTIF('2002'!$AA$1:$AA$100,"Schweiz")</f>
        <v>0</v>
      </c>
      <c r="AK18" s="17">
        <f>COUNTIF('2006'!$AA$1:$AA$100,"Schweiz")</f>
        <v>1</v>
      </c>
      <c r="AL18" s="17">
        <f>COUNTIF('2010'!$AA$1:$AA$100,"Schweiz")</f>
        <v>1</v>
      </c>
      <c r="AM18" s="17">
        <f>COUNTIF('2014'!$AA$1:$AA$100,"Schweiz")</f>
        <v>1</v>
      </c>
      <c r="AN18" s="17">
        <f>COUNTIF('2018'!$AA$1:$AA$100,"Schweiz")</f>
        <v>1</v>
      </c>
      <c r="AO18" s="17">
        <f>COUNTIF('2022'!$AA$1:$AA$100,"Schweiz")</f>
        <v>1</v>
      </c>
      <c r="AP18" s="17"/>
    </row>
    <row r="19" spans="1:42" s="13" customFormat="1" x14ac:dyDescent="0.3">
      <c r="A19" s="38">
        <v>15</v>
      </c>
      <c r="B19" s="312">
        <f t="shared" si="0"/>
        <v>9</v>
      </c>
      <c r="C19" s="38" t="s">
        <v>61</v>
      </c>
      <c r="D19" s="10">
        <f t="array" aca="1" ref="D19" ca="1">SUM(COUNTIF(INDIRECT(""&amp;$T$3:$AG$3&amp;"!$S$12:$T$400"),"Polen"))</f>
        <v>25</v>
      </c>
      <c r="E19" s="21">
        <f>SUM('1938'!D97,'1974'!D156,'1978'!D160,'1982'!D226,'1986'!D229)</f>
        <v>13</v>
      </c>
      <c r="F19" s="17">
        <f>SUM('1938'!E97,'1974'!E156,'1978'!E160,'1982'!E226,'1986'!E229)</f>
        <v>5</v>
      </c>
      <c r="G19" s="34">
        <f>SUM('1938'!F97,'1974'!F156,'1978'!F160,'1982'!F226,'1986'!F229)</f>
        <v>7</v>
      </c>
      <c r="H19" s="10">
        <f>SUM('1938'!G97,'1974'!G156,'1978'!G160,'1982'!G226,'1986'!G229,'2002'!G272,'2006'!G269,'2018'!G277,'2022'!G267)</f>
        <v>49</v>
      </c>
      <c r="I19" s="10">
        <f>SUM('1938'!H97,'1974'!H156,'1978'!H160,'1982'!H226,'1986'!H229,'2002'!H272,'2006'!H269,'2018'!H277,'2022'!H267)</f>
        <v>50</v>
      </c>
      <c r="J19" s="38">
        <f t="shared" si="1"/>
        <v>-1</v>
      </c>
      <c r="K19" s="18">
        <f t="shared" si="2"/>
        <v>31</v>
      </c>
      <c r="L19" s="22">
        <f t="shared" si="3"/>
        <v>19</v>
      </c>
      <c r="M19" s="38">
        <f t="array" aca="1" ref="M19" ca="1">SUM(COUNTIF(INDIRECT(""&amp;$AH$3:$AO$3&amp;"!$S$12:$T$400"),"Polen"))</f>
        <v>13</v>
      </c>
      <c r="N19" s="21">
        <f>SUM('2002'!D272,'2006'!D269,'2018'!D277,'2022'!D267)</f>
        <v>4</v>
      </c>
      <c r="O19" s="17">
        <f>SUM('2002'!E272,'2006'!E269,'2018'!E277,'2022'!E267)</f>
        <v>1</v>
      </c>
      <c r="P19" s="34">
        <f>SUM('2002'!F272,'2006'!F269,'2018'!F277,'2022'!F267)</f>
        <v>8</v>
      </c>
      <c r="Q19" s="18">
        <f t="shared" si="4"/>
        <v>13</v>
      </c>
      <c r="R19" s="293">
        <f t="shared" si="5"/>
        <v>44</v>
      </c>
      <c r="S19" s="35"/>
      <c r="T19" s="17">
        <f>COUNTIF('1930'!$AA$1:$AA$102,"Polen")</f>
        <v>0</v>
      </c>
      <c r="U19" s="17">
        <f>COUNTIF('1934'!$AA$1:$AA$102,"Polen")</f>
        <v>0</v>
      </c>
      <c r="V19" s="17">
        <f>COUNTIF('1938'!$AA$1:$AA$102,"Polen")</f>
        <v>1</v>
      </c>
      <c r="W19" s="17">
        <f>COUNTIF('1950'!$AA$1:$AA$100,"Polen")</f>
        <v>0</v>
      </c>
      <c r="X19" s="17">
        <f>COUNTIF('1954'!$AA$1:$AA$100,"Polen")</f>
        <v>0</v>
      </c>
      <c r="Y19" s="17">
        <f>COUNTIF('1958'!$AA$1:$AA$100,"Polen")</f>
        <v>0</v>
      </c>
      <c r="Z19" s="17">
        <f>COUNTIF('1962'!$AA$1:$AA$100,"Polen")</f>
        <v>0</v>
      </c>
      <c r="AA19" s="17">
        <f>COUNTIF('1966'!$AA$1:$AA$100,"Polen")</f>
        <v>0</v>
      </c>
      <c r="AB19" s="17">
        <f>COUNTIF('1970'!$AA$1:$AA$100,"Polen")</f>
        <v>0</v>
      </c>
      <c r="AC19" s="17">
        <f>COUNTIF('1974'!$AA$1:$AA$100,"Polen")</f>
        <v>1</v>
      </c>
      <c r="AD19" s="17">
        <f>COUNTIF('1978'!$AA$1:$AA$100,"Polen")</f>
        <v>1</v>
      </c>
      <c r="AE19" s="17">
        <f>COUNTIF('1982'!$AA$1:$AA$100,"Polen")</f>
        <v>1</v>
      </c>
      <c r="AF19" s="17">
        <f>COUNTIF('1986'!$AA$1:$AA$100,"Polen")</f>
        <v>1</v>
      </c>
      <c r="AG19" s="17">
        <f>COUNTIF('1990'!$AA$1:$AA$100,"Polen")</f>
        <v>0</v>
      </c>
      <c r="AH19" s="419">
        <f>COUNTIF('1994'!$AA$1:$AA$100,"Polen")</f>
        <v>0</v>
      </c>
      <c r="AI19" s="17">
        <f>COUNTIF('1998'!$AA$1:$AA$100,"Polen")</f>
        <v>0</v>
      </c>
      <c r="AJ19" s="17">
        <f>COUNTIF('2002'!$AA$1:$AA$100,"Polen")</f>
        <v>1</v>
      </c>
      <c r="AK19" s="17">
        <f>COUNTIF('2006'!$AA$1:$AA$100,"Polen")</f>
        <v>1</v>
      </c>
      <c r="AL19" s="17">
        <f>COUNTIF('2010'!$AA$1:$AA$100,"Polen")</f>
        <v>0</v>
      </c>
      <c r="AM19" s="17">
        <f>COUNTIF('2014'!$AA$1:$AA$100,"Polen")</f>
        <v>0</v>
      </c>
      <c r="AN19" s="17">
        <f>COUNTIF('2018'!$AA$1:$AA$100,"Polen")</f>
        <v>1</v>
      </c>
      <c r="AO19" s="17">
        <f>COUNTIF('2022'!$AA$1:$AA$100,"Polen")</f>
        <v>1</v>
      </c>
      <c r="AP19" s="17"/>
    </row>
    <row r="20" spans="1:42" s="13" customFormat="1" x14ac:dyDescent="0.3">
      <c r="A20" s="38">
        <v>14</v>
      </c>
      <c r="B20" s="312">
        <f t="shared" si="0"/>
        <v>9</v>
      </c>
      <c r="C20" s="350" t="s">
        <v>8</v>
      </c>
      <c r="D20" s="10">
        <f t="array" aca="1" ref="D20" ca="1">SUM(COUNTIF(INDIRECT(""&amp;$T$3:$AG$3&amp;"!$S$12:$T$400"),"Jugoslawien"))</f>
        <v>33</v>
      </c>
      <c r="E20" s="21">
        <f>SUM('1930'!D106,'1950'!D111,'1954'!D143,'1958'!D161,'1962'!D136,'1974'!D163,'1982'!D239,'1990'!D234)</f>
        <v>14</v>
      </c>
      <c r="F20" s="17">
        <f>SUM('1930'!E106,'1950'!E111,'1954'!E143,'1958'!E161,'1962'!E136,'1974'!E163,'1982'!E239,'1990'!E234)</f>
        <v>6</v>
      </c>
      <c r="G20" s="34">
        <f>SUM('1930'!F106,'1950'!F111,'1954'!F143,'1958'!F161,'1962'!F136,'1974'!F163,'1982'!F239,'1990'!F234)</f>
        <v>13</v>
      </c>
      <c r="H20" s="10">
        <f>SUM('1930'!G106,'1950'!G111,'1954'!G143,'1958'!G161,'1962'!G136,'1974'!G163,'1982'!G239,'1990'!G234,'1998'!G257)</f>
        <v>62</v>
      </c>
      <c r="I20" s="10">
        <f>SUM('1930'!H106,'1950'!H111,'1954'!H143,'1958'!H161,'1962'!H136,'1974'!H163,'1982'!H239,'1990'!H234,'1998'!H257)</f>
        <v>49</v>
      </c>
      <c r="J20" s="38">
        <f t="shared" si="1"/>
        <v>13</v>
      </c>
      <c r="K20" s="18">
        <f t="shared" si="2"/>
        <v>34</v>
      </c>
      <c r="L20" s="22">
        <f t="shared" si="3"/>
        <v>32</v>
      </c>
      <c r="M20" s="38">
        <f t="array" aca="1" ref="M20" ca="1">SUM(COUNTIF(INDIRECT(""&amp;$AH$3:$AO$3&amp;"!$S$12:$T$400"),"Jugoslawien"))</f>
        <v>4</v>
      </c>
      <c r="N20" s="21">
        <f>SUM('1998'!D257)</f>
        <v>2</v>
      </c>
      <c r="O20" s="17">
        <f>SUM('1998'!E257)</f>
        <v>1</v>
      </c>
      <c r="P20" s="34">
        <f>SUM('1998'!F257)</f>
        <v>1</v>
      </c>
      <c r="Q20" s="18">
        <f t="shared" si="4"/>
        <v>7</v>
      </c>
      <c r="R20" s="293">
        <f t="shared" si="5"/>
        <v>41</v>
      </c>
      <c r="S20" s="35"/>
      <c r="T20" s="17">
        <f>COUNTIF('1930'!$AA$1:$AA$102,"Jugoslawien")</f>
        <v>1</v>
      </c>
      <c r="U20" s="17">
        <f>COUNTIF('1934'!$AA$1:$AA$102,"Jugoslawien")</f>
        <v>0</v>
      </c>
      <c r="V20" s="17">
        <f>COUNTIF('1938'!$AA$1:$AA$102,"Jugoslawien")</f>
        <v>0</v>
      </c>
      <c r="W20" s="17">
        <f>COUNTIF('1950'!$AA$1:$AA$100,"Jugoslawien")</f>
        <v>1</v>
      </c>
      <c r="X20" s="17">
        <f>COUNTIF('1954'!$AA$1:$AA$100,"Jugoslawien")</f>
        <v>1</v>
      </c>
      <c r="Y20" s="17">
        <f>COUNTIF('1958'!$AA$1:$AA$100,"Jugoslawien")</f>
        <v>1</v>
      </c>
      <c r="Z20" s="17">
        <f>COUNTIF('1962'!$AA$1:$AA$100,"Jugoslawien")</f>
        <v>1</v>
      </c>
      <c r="AA20" s="17">
        <f>COUNTIF('1966'!$AA$1:$AA$100,"Jugoslawien")</f>
        <v>0</v>
      </c>
      <c r="AB20" s="17">
        <f>COUNTIF('1970'!$AA$1:$AA$100,"Jugoslawien")</f>
        <v>0</v>
      </c>
      <c r="AC20" s="17">
        <f>COUNTIF('1974'!$AA$1:$AA$100,"Jugoslawien")</f>
        <v>1</v>
      </c>
      <c r="AD20" s="17">
        <f>COUNTIF('1978'!$AA$1:$AA$100,"Jugoslawien")</f>
        <v>0</v>
      </c>
      <c r="AE20" s="17">
        <f>COUNTIF('1982'!$AA$1:$AA$100,"Jugoslawien")</f>
        <v>1</v>
      </c>
      <c r="AF20" s="17">
        <f>COUNTIF('1986'!$AA$1:$AA$100,"Jugoslawien")</f>
        <v>0</v>
      </c>
      <c r="AG20" s="17">
        <f>COUNTIF('1990'!$AA$1:$AA$100,"Jugoslawien")</f>
        <v>1</v>
      </c>
      <c r="AH20" s="419">
        <f>COUNTIF('1994'!$AA$1:$AA$100,"Jugoslawien")</f>
        <v>0</v>
      </c>
      <c r="AI20" s="17">
        <f>COUNTIF('1998'!$AA$1:$AA$100,"Jugoslawien")</f>
        <v>1</v>
      </c>
      <c r="AJ20" s="17">
        <f>COUNTIF('2002'!$AA$1:$AA$100,"Jugoslawien")</f>
        <v>0</v>
      </c>
      <c r="AK20" s="17">
        <f>COUNTIF('2006'!$AA$1:$AA$100,"Jugoslawien")</f>
        <v>0</v>
      </c>
      <c r="AL20" s="17">
        <f>COUNTIF('2010'!$AA$1:$AA$100,"Jugoslawien")</f>
        <v>0</v>
      </c>
      <c r="AM20" s="17">
        <f>COUNTIF('2014'!$AA$1:$AA$100,"Jugoslawien")</f>
        <v>0</v>
      </c>
      <c r="AN20" s="17">
        <f>COUNTIF('2018'!$AA$1:$AA$100,"Jugoslawien")</f>
        <v>0</v>
      </c>
      <c r="AO20" s="17">
        <f>COUNTIF('2022'!$AA$1:$AA$100,"Jugoslawien")</f>
        <v>0</v>
      </c>
      <c r="AP20" s="17"/>
    </row>
    <row r="21" spans="1:42" s="13" customFormat="1" x14ac:dyDescent="0.3">
      <c r="A21" s="38">
        <v>17</v>
      </c>
      <c r="B21" s="312">
        <f t="shared" si="0"/>
        <v>7</v>
      </c>
      <c r="C21" s="350" t="s">
        <v>101</v>
      </c>
      <c r="D21" s="10">
        <f t="array" aca="1" ref="D21" ca="1">SUM(COUNTIF(INDIRECT(""&amp;$T$3:$AG$3&amp;"!$S$12:$T$400"),"UdSSR"))</f>
        <v>31</v>
      </c>
      <c r="E21" s="21">
        <f>SUM('1958'!D159,'1962'!D137,'1966'!D138,'1970'!D141,'1982'!D230,'1986'!D224,'1990'!D244)</f>
        <v>15</v>
      </c>
      <c r="F21" s="17">
        <f>SUM('1958'!E159,'1962'!E137,'1966'!E138,'1970'!E141,'1982'!E230,'1986'!E224,'1990'!E244)</f>
        <v>6</v>
      </c>
      <c r="G21" s="34">
        <f>SUM('1958'!F159,'1962'!F137,'1966'!F138,'1970'!F141,'1982'!F230,'1986'!F224,'1990'!F244)</f>
        <v>10</v>
      </c>
      <c r="H21" s="10">
        <f>SUM('1958'!G159,'1962'!G137,'1966'!G138,'1970'!G141,'1982'!G230,'1986'!G224,'1990'!G244)</f>
        <v>53</v>
      </c>
      <c r="I21" s="10">
        <f>SUM('1958'!H159,'1962'!H137,'1966'!H138,'1970'!H141,'1982'!H230,'1986'!H224,'1990'!H244)</f>
        <v>34</v>
      </c>
      <c r="J21" s="38">
        <f t="shared" si="1"/>
        <v>19</v>
      </c>
      <c r="K21" s="18">
        <f t="shared" si="2"/>
        <v>36</v>
      </c>
      <c r="L21" s="22">
        <f t="shared" si="3"/>
        <v>26</v>
      </c>
      <c r="M21" s="38">
        <f t="array" aca="1" ref="M21" ca="1">SUM(COUNTIF(INDIRECT(""&amp;$AH$3:$AO$3&amp;"!$S$12:$T$400"),"UdSSR"))</f>
        <v>0</v>
      </c>
      <c r="N21" s="21">
        <f t="shared" ref="N21:P22" si="6">SUM(0)</f>
        <v>0</v>
      </c>
      <c r="O21" s="17">
        <f t="shared" si="6"/>
        <v>0</v>
      </c>
      <c r="P21" s="34">
        <f t="shared" si="6"/>
        <v>0</v>
      </c>
      <c r="Q21" s="18">
        <f t="shared" si="4"/>
        <v>0</v>
      </c>
      <c r="R21" s="293">
        <f t="shared" si="5"/>
        <v>36</v>
      </c>
      <c r="S21" s="35"/>
      <c r="T21" s="17">
        <f>COUNTIF('1930'!$AA$1:$AA$102,"UdSSR")</f>
        <v>0</v>
      </c>
      <c r="U21" s="17">
        <f>COUNTIF('1934'!$AA$1:$AA$102,"UdSSR")</f>
        <v>0</v>
      </c>
      <c r="V21" s="17">
        <f>COUNTIF('1938'!$AA$1:$AA$102,"UdSSR")</f>
        <v>0</v>
      </c>
      <c r="W21" s="17">
        <f>COUNTIF('1950'!$AA$1:$AA$100,"UdSSR")</f>
        <v>0</v>
      </c>
      <c r="X21" s="17">
        <f>COUNTIF('1954'!$AA$1:$AA$100,"UdSSR")</f>
        <v>0</v>
      </c>
      <c r="Y21" s="17">
        <f>COUNTIF('1958'!$AA$1:$AA$100,"UdSSR")</f>
        <v>1</v>
      </c>
      <c r="Z21" s="17">
        <f>COUNTIF('1962'!$AA$1:$AA$100,"UdSSR")</f>
        <v>1</v>
      </c>
      <c r="AA21" s="17">
        <f>COUNTIF('1966'!$AA$1:$AA$100,"UdSSR")</f>
        <v>1</v>
      </c>
      <c r="AB21" s="17">
        <f>COUNTIF('1970'!$AA$1:$AA$100,"UdSSR")</f>
        <v>1</v>
      </c>
      <c r="AC21" s="17">
        <f>COUNTIF('1974'!$AA$1:$AA$100,"UdSSR")</f>
        <v>0</v>
      </c>
      <c r="AD21" s="17">
        <f>COUNTIF('1978'!$AA$1:$AA$100,"UdSSR")</f>
        <v>0</v>
      </c>
      <c r="AE21" s="17">
        <f>COUNTIF('1982'!$AA$1:$AA$100,"UdSSR")</f>
        <v>1</v>
      </c>
      <c r="AF21" s="17">
        <f>COUNTIF('1986'!$AA$1:$AA$100,"UdSSR")</f>
        <v>1</v>
      </c>
      <c r="AG21" s="17">
        <f>COUNTIF('1990'!$AA$1:$AA$100,"UdSSR")</f>
        <v>1</v>
      </c>
      <c r="AH21" s="419">
        <f>COUNTIF('1994'!$AA$1:$AA$100,"UdSSR")</f>
        <v>0</v>
      </c>
      <c r="AI21" s="17">
        <f>COUNTIF('1998'!$AA$1:$AA$100,"UdSSR")</f>
        <v>0</v>
      </c>
      <c r="AJ21" s="17">
        <f>COUNTIF('2002'!$AA$1:$AA$100,"UdSSR")</f>
        <v>0</v>
      </c>
      <c r="AK21" s="17">
        <f>COUNTIF('2006'!$AA$1:$AA$100,"UdSSR")</f>
        <v>0</v>
      </c>
      <c r="AL21" s="17">
        <f>COUNTIF('2010'!$AA$1:$AA$100,"UdSSR")</f>
        <v>0</v>
      </c>
      <c r="AM21" s="17">
        <f>COUNTIF('2014'!$AA$1:$AA$100,"UdSSR")</f>
        <v>0</v>
      </c>
      <c r="AN21" s="17">
        <f>COUNTIF('2018'!$AA$1:$AA$100,"UdSSR")</f>
        <v>0</v>
      </c>
      <c r="AO21" s="17">
        <f>COUNTIF('2022'!$AA$1:$AA$100,"UdSSR")</f>
        <v>0</v>
      </c>
      <c r="AP21" s="17"/>
    </row>
    <row r="22" spans="1:42" s="13" customFormat="1" x14ac:dyDescent="0.3">
      <c r="A22" s="38">
        <v>18</v>
      </c>
      <c r="B22" s="312">
        <f t="shared" si="0"/>
        <v>9</v>
      </c>
      <c r="C22" s="38" t="s">
        <v>32</v>
      </c>
      <c r="D22" s="10">
        <f t="array" aca="1" ref="D22" ca="1">SUM(COUNTIF(INDIRECT(""&amp;$T$3:$AG$3&amp;"!$S$12:$T$400"),"Ungarn"))</f>
        <v>32</v>
      </c>
      <c r="E22" s="21">
        <f>SUM('1934'!D83,'1938'!D89,'1954'!D137,'1958'!D164,'1962'!D138,'1966'!D140,'1978'!D170,'1982'!D237,'1986'!D231)</f>
        <v>15</v>
      </c>
      <c r="F22" s="17">
        <f>SUM('1934'!E83,'1938'!E89,'1954'!E137,'1958'!E164,'1962'!E138,'1966'!E140,'1978'!E170,'1982'!E237,'1986'!E231)</f>
        <v>3</v>
      </c>
      <c r="G22" s="34">
        <f>SUM('1934'!F83,'1938'!F89,'1954'!F137,'1958'!F164,'1962'!F138,'1966'!F140,'1978'!F170,'1982'!F237,'1986'!F231)</f>
        <v>14</v>
      </c>
      <c r="H22" s="10">
        <f>SUM('1934'!G83,'1938'!G89,'1954'!G137,'1958'!G164,'1962'!G138,'1966'!G140,'1978'!G170,'1982'!G237,'1986'!G231)</f>
        <v>87</v>
      </c>
      <c r="I22" s="10">
        <f>SUM('1934'!H83,'1938'!H89,'1954'!H137,'1958'!H164,'1962'!H138,'1966'!H140,'1978'!H170,'1982'!H237,'1986'!H231)</f>
        <v>57</v>
      </c>
      <c r="J22" s="38">
        <f t="shared" si="1"/>
        <v>30</v>
      </c>
      <c r="K22" s="18">
        <f t="shared" si="2"/>
        <v>33</v>
      </c>
      <c r="L22" s="22">
        <f t="shared" si="3"/>
        <v>31</v>
      </c>
      <c r="M22" s="38">
        <f t="array" aca="1" ref="M22" ca="1">SUM(COUNTIF(INDIRECT(""&amp;$AH$3:$AO$3&amp;"!$S$12:$T$400"),"Ungarn"))</f>
        <v>0</v>
      </c>
      <c r="N22" s="21">
        <f t="shared" si="6"/>
        <v>0</v>
      </c>
      <c r="O22" s="17">
        <f t="shared" si="6"/>
        <v>0</v>
      </c>
      <c r="P22" s="34">
        <f t="shared" si="6"/>
        <v>0</v>
      </c>
      <c r="Q22" s="18">
        <f t="shared" si="4"/>
        <v>0</v>
      </c>
      <c r="R22" s="293">
        <f t="shared" si="5"/>
        <v>33</v>
      </c>
      <c r="S22" s="35"/>
      <c r="T22" s="17">
        <f>COUNTIF('1930'!$AA$1:$AA$102,"Ungarn")</f>
        <v>0</v>
      </c>
      <c r="U22" s="17">
        <f>COUNTIF('1934'!$AA$1:$AA$102,"Ungarn")</f>
        <v>1</v>
      </c>
      <c r="V22" s="17">
        <f>COUNTIF('1938'!$AA$1:$AA$102,"Ungarn")</f>
        <v>1</v>
      </c>
      <c r="W22" s="17">
        <f>COUNTIF('1950'!$AA$1:$AA$100,"Ungarn")</f>
        <v>0</v>
      </c>
      <c r="X22" s="17">
        <f>COUNTIF('1954'!$AA$1:$AA$100,"Ungarn")</f>
        <v>1</v>
      </c>
      <c r="Y22" s="17">
        <f>COUNTIF('1958'!$AA$1:$AA$100,"Ungarn")</f>
        <v>1</v>
      </c>
      <c r="Z22" s="17">
        <f>COUNTIF('1962'!$AA$1:$AA$100,"Ungarn")</f>
        <v>1</v>
      </c>
      <c r="AA22" s="17">
        <f>COUNTIF('1966'!$AA$1:$AA$100,"Ungarn")</f>
        <v>1</v>
      </c>
      <c r="AB22" s="17">
        <f>COUNTIF('1970'!$AA$1:$AA$100,"Ungarn")</f>
        <v>0</v>
      </c>
      <c r="AC22" s="17">
        <f>COUNTIF('1974'!$AA$1:$AA$100,"Ungarn")</f>
        <v>0</v>
      </c>
      <c r="AD22" s="17">
        <f>COUNTIF('1978'!$AA$1:$AA$100,"Ungarn")</f>
        <v>1</v>
      </c>
      <c r="AE22" s="17">
        <f>COUNTIF('1982'!$AA$1:$AA$100,"Ungarn")</f>
        <v>1</v>
      </c>
      <c r="AF22" s="17">
        <f>COUNTIF('1986'!$AA$1:$AA$100,"Ungarn")</f>
        <v>1</v>
      </c>
      <c r="AG22" s="17">
        <f>COUNTIF('1990'!$AA$1:$AA$100,"Ungarn")</f>
        <v>0</v>
      </c>
      <c r="AH22" s="419">
        <f>COUNTIF('1994'!$AA$1:$AA$100,"Ungarn")</f>
        <v>0</v>
      </c>
      <c r="AI22" s="17">
        <f>COUNTIF('1998'!$AA$1:$AA$100,"Ungarn")</f>
        <v>0</v>
      </c>
      <c r="AJ22" s="17">
        <f>COUNTIF('2002'!$AA$1:$AA$100,"Ungarn")</f>
        <v>0</v>
      </c>
      <c r="AK22" s="17">
        <f>COUNTIF('2006'!$AA$1:$AA$100,"Ungarn")</f>
        <v>0</v>
      </c>
      <c r="AL22" s="17">
        <f>COUNTIF('2010'!$AA$1:$AA$100,"Ungarn")</f>
        <v>0</v>
      </c>
      <c r="AM22" s="17">
        <f>COUNTIF('2014'!$AA$1:$AA$100,"Ungarn")</f>
        <v>0</v>
      </c>
      <c r="AN22" s="17">
        <f>COUNTIF('2018'!$AA$1:$AA$100,"Ungarn")</f>
        <v>0</v>
      </c>
      <c r="AO22" s="17">
        <f>COUNTIF('2022'!$AA$1:$AA$100,"Ungarn")</f>
        <v>0</v>
      </c>
      <c r="AP22" s="17"/>
    </row>
    <row r="23" spans="1:42" s="13" customFormat="1" x14ac:dyDescent="0.3">
      <c r="A23" s="38">
        <v>19</v>
      </c>
      <c r="B23" s="312">
        <f t="shared" si="0"/>
        <v>9</v>
      </c>
      <c r="C23" s="38" t="s">
        <v>6</v>
      </c>
      <c r="D23" s="10">
        <f t="array" aca="1" ref="D23" ca="1">SUM(COUNTIF(INDIRECT(""&amp;$T$3:$AG$3&amp;"!$S$12:$T$400"),"Chile"))</f>
        <v>21</v>
      </c>
      <c r="E23" s="21">
        <f>SUM('1930'!D107,'1950'!D114,'1962'!D134,'1966'!D148,'1974'!D167,'1982'!D245)</f>
        <v>7</v>
      </c>
      <c r="F23" s="17">
        <f>SUM('1930'!E107,'1950'!E114,'1962'!E134,'1966'!E148,'1974'!E167,'1982'!E245)</f>
        <v>3</v>
      </c>
      <c r="G23" s="34">
        <f>SUM('1930'!F107,'1950'!F114,'1962'!F134,'1966'!F148,'1974'!F167,'1982'!F245)</f>
        <v>11</v>
      </c>
      <c r="H23" s="10">
        <f>SUM('1930'!G107,'1950'!G114,'1962'!G134,'1966'!G148,'1974'!G167,'1982'!G245,'1998'!G266,'2010'!G254,'2014'!G261)</f>
        <v>42</v>
      </c>
      <c r="I23" s="10">
        <f>SUM('1930'!H107,'1950'!H114,'1962'!H134,'1966'!H148,'1974'!H167,'1982'!H245,'1998'!H266,'2010'!H254,'2014'!H261)</f>
        <v>52</v>
      </c>
      <c r="J23" s="38">
        <f t="shared" si="1"/>
        <v>-10</v>
      </c>
      <c r="K23" s="18">
        <f t="shared" si="2"/>
        <v>17</v>
      </c>
      <c r="L23" s="22">
        <f t="shared" si="3"/>
        <v>25</v>
      </c>
      <c r="M23" s="38">
        <f t="array" aca="1" ref="M23" ca="1">SUM(COUNTIF(INDIRECT(""&amp;$AH$3:$AO$3&amp;"!$S$12:$T$400"),"Chile"))</f>
        <v>12</v>
      </c>
      <c r="N23" s="21">
        <f>SUM('1998'!D266,'2010'!D254,'2014'!D261)</f>
        <v>4</v>
      </c>
      <c r="O23" s="17">
        <f>SUM('1998'!E266,'2010'!E254,'2014'!E261)</f>
        <v>3</v>
      </c>
      <c r="P23" s="34">
        <f>SUM('1998'!F266,'2010'!F254,'2014'!F261)</f>
        <v>5</v>
      </c>
      <c r="Q23" s="18">
        <f t="shared" si="4"/>
        <v>15</v>
      </c>
      <c r="R23" s="293">
        <f t="shared" si="5"/>
        <v>32</v>
      </c>
      <c r="S23" s="35"/>
      <c r="T23" s="17">
        <f>COUNTIF('1930'!$AA$1:$AA$102,"Chile")</f>
        <v>1</v>
      </c>
      <c r="U23" s="17">
        <f>COUNTIF('1934'!$AA$1:$AA$102,"Chile")</f>
        <v>0</v>
      </c>
      <c r="V23" s="17">
        <f>COUNTIF('1938'!$AA$1:$AA$102,"Chile")</f>
        <v>0</v>
      </c>
      <c r="W23" s="17">
        <f>COUNTIF('1950'!$AA$1:$AA$100,"Chile")</f>
        <v>1</v>
      </c>
      <c r="X23" s="17">
        <f>COUNTIF('1954'!$AA$1:$AA$100,"Chile")</f>
        <v>0</v>
      </c>
      <c r="Y23" s="17">
        <f>COUNTIF('1958'!$AA$1:$AA$100,"Chile")</f>
        <v>0</v>
      </c>
      <c r="Z23" s="17">
        <f>COUNTIF('1962'!$AA$1:$AA$100,"Chile")</f>
        <v>1</v>
      </c>
      <c r="AA23" s="17">
        <f>COUNTIF('1966'!$AA$1:$AA$100,"Chile")</f>
        <v>1</v>
      </c>
      <c r="AB23" s="17">
        <f>COUNTIF('1970'!$AA$1:$AA$100,"Chile")</f>
        <v>0</v>
      </c>
      <c r="AC23" s="17">
        <f>COUNTIF('1974'!$AA$1:$AA$100,"Chile")</f>
        <v>1</v>
      </c>
      <c r="AD23" s="17">
        <f>COUNTIF('1978'!$AA$1:$AA$100,"Chile")</f>
        <v>0</v>
      </c>
      <c r="AE23" s="17">
        <f>COUNTIF('1982'!$AA$1:$AA$100,"Chile")</f>
        <v>1</v>
      </c>
      <c r="AF23" s="17">
        <f>COUNTIF('1986'!$AA$1:$AA$100,"Chile")</f>
        <v>0</v>
      </c>
      <c r="AG23" s="17">
        <f>COUNTIF('1990'!$AA$1:$AA$100,"Chile")</f>
        <v>0</v>
      </c>
      <c r="AH23" s="419">
        <f>COUNTIF('1994'!$AA$1:$AA$100,"Chile")</f>
        <v>0</v>
      </c>
      <c r="AI23" s="17">
        <f>COUNTIF('1998'!$AA$1:$AA$100,"Chile")</f>
        <v>1</v>
      </c>
      <c r="AJ23" s="17">
        <f>COUNTIF('2002'!$AA$1:$AA$100,"Chile")</f>
        <v>0</v>
      </c>
      <c r="AK23" s="17">
        <f>COUNTIF('2006'!$AA$1:$AA$100,"Chile")</f>
        <v>0</v>
      </c>
      <c r="AL23" s="17">
        <f>COUNTIF('2010'!$AA$1:$AA$100,"Chile")</f>
        <v>1</v>
      </c>
      <c r="AM23" s="17">
        <f>COUNTIF('2014'!$AA$1:$AA$100,"Chile")</f>
        <v>1</v>
      </c>
      <c r="AN23" s="17">
        <f>COUNTIF('2018'!$AA$1:$AA$100,"Chile")</f>
        <v>0</v>
      </c>
      <c r="AO23" s="17">
        <f>COUNTIF('2022'!$AA$1:$AA$100,"Chile")</f>
        <v>0</v>
      </c>
      <c r="AP23" s="17"/>
    </row>
    <row r="24" spans="1:42" s="13" customFormat="1" x14ac:dyDescent="0.3">
      <c r="A24" s="38">
        <v>20</v>
      </c>
      <c r="B24" s="312">
        <f t="shared" si="0"/>
        <v>8</v>
      </c>
      <c r="C24" s="38" t="s">
        <v>22</v>
      </c>
      <c r="D24" s="10">
        <f t="array" aca="1" ref="D24" ca="1">SUM(COUNTIF(INDIRECT(""&amp;$T$3:$AG$3&amp;"!$S$12:$T$400"),"Paraguay"))</f>
        <v>11</v>
      </c>
      <c r="E24" s="21">
        <f>SUM('1930'!D110,'1950'!D117,'1958'!D162,'1986'!D227)</f>
        <v>3</v>
      </c>
      <c r="F24" s="17">
        <f>SUM('1930'!E110,'1950'!E117,'1958'!E162,'1986'!E227)</f>
        <v>4</v>
      </c>
      <c r="G24" s="34">
        <f>SUM('1930'!F110,'1950'!F117,'1958'!F162,'1986'!F227)</f>
        <v>4</v>
      </c>
      <c r="H24" s="10">
        <f>SUM('1930'!G110,'1950'!G117,'1958'!G162,'1986'!G227,'1998'!G263,'2002'!G264,'2006'!G268,'2010'!G251)</f>
        <v>35</v>
      </c>
      <c r="I24" s="10">
        <f>SUM('1930'!H110,'1950'!H117,'1958'!H162,'1986'!H227,'1998'!H263,'2002'!H264,'2006'!H268,'2010'!H251)</f>
        <v>41</v>
      </c>
      <c r="J24" s="38">
        <f t="shared" si="1"/>
        <v>-6</v>
      </c>
      <c r="K24" s="18">
        <f t="shared" si="2"/>
        <v>10</v>
      </c>
      <c r="L24" s="22">
        <f t="shared" si="3"/>
        <v>12</v>
      </c>
      <c r="M24" s="38">
        <f t="array" aca="1" ref="M24" ca="1">SUM(COUNTIF(INDIRECT(""&amp;$AH$3:$AO$3&amp;"!$S$12:$T$400"),"Paraguay"))</f>
        <v>16</v>
      </c>
      <c r="N24" s="21">
        <f>SUM('1998'!D263,'2002'!D264,'2006'!D268,'2010'!D251)</f>
        <v>5</v>
      </c>
      <c r="O24" s="17">
        <f>SUM('1998'!E263,'2002'!E264,'2006'!E268,'2010'!E251)</f>
        <v>5</v>
      </c>
      <c r="P24" s="34">
        <f>SUM('1998'!F263,'2002'!F264,'2006'!F268,'2010'!F251)</f>
        <v>6</v>
      </c>
      <c r="Q24" s="18">
        <f t="shared" si="4"/>
        <v>20</v>
      </c>
      <c r="R24" s="293">
        <f t="shared" si="5"/>
        <v>30</v>
      </c>
      <c r="S24" s="35"/>
      <c r="T24" s="17">
        <f>COUNTIF('1930'!$AA$1:$AA$102,"Paraguay")</f>
        <v>1</v>
      </c>
      <c r="U24" s="17">
        <f>COUNTIF('1934'!$AA$1:$AA$102,"Paraguay")</f>
        <v>0</v>
      </c>
      <c r="V24" s="17">
        <f>COUNTIF('1938'!$AA$1:$AA$102,"Paraguay")</f>
        <v>0</v>
      </c>
      <c r="W24" s="17">
        <f>COUNTIF('1950'!$AA$1:$AA$100,"Paraguay")</f>
        <v>1</v>
      </c>
      <c r="X24" s="17">
        <f>COUNTIF('1954'!$AA$1:$AA$100,"Paraguay")</f>
        <v>0</v>
      </c>
      <c r="Y24" s="17">
        <f>COUNTIF('1958'!$AA$1:$AA$100,"Paraguay")</f>
        <v>1</v>
      </c>
      <c r="Z24" s="17">
        <f>COUNTIF('1962'!$AA$1:$AA$100,"Paraguay")</f>
        <v>0</v>
      </c>
      <c r="AA24" s="17">
        <f>COUNTIF('1966'!$AA$1:$AA$100,"Paraguay")</f>
        <v>0</v>
      </c>
      <c r="AB24" s="17">
        <f>COUNTIF('1970'!$AA$1:$AA$100,"Paraguay")</f>
        <v>0</v>
      </c>
      <c r="AC24" s="17">
        <f>COUNTIF('1974'!$AA$1:$AA$100,"Paraguay")</f>
        <v>0</v>
      </c>
      <c r="AD24" s="17">
        <f>COUNTIF('1978'!$AA$1:$AA$100,"Paraguay")</f>
        <v>0</v>
      </c>
      <c r="AE24" s="17">
        <f>COUNTIF('1982'!$AA$1:$AA$100,"Paraguay")</f>
        <v>0</v>
      </c>
      <c r="AF24" s="17">
        <f>COUNTIF('1986'!$AA$1:$AA$100,"Paraguay")</f>
        <v>1</v>
      </c>
      <c r="AG24" s="17">
        <f>COUNTIF('1990'!$AA$1:$AA$100,"Paraguay")</f>
        <v>0</v>
      </c>
      <c r="AH24" s="419">
        <f>COUNTIF('1994'!$AA$1:$AA$100,"Paraguay")</f>
        <v>0</v>
      </c>
      <c r="AI24" s="17">
        <f>COUNTIF('1998'!$AA$1:$AA$100,"Paraguay")</f>
        <v>1</v>
      </c>
      <c r="AJ24" s="17">
        <f>COUNTIF('2002'!$AA$1:$AA$100,"Paraguay")</f>
        <v>1</v>
      </c>
      <c r="AK24" s="17">
        <f>COUNTIF('2006'!$AA$1:$AA$100,"Paraguay")</f>
        <v>1</v>
      </c>
      <c r="AL24" s="17">
        <f>COUNTIF('2010'!$AA$1:$AA$100,"Paraguay")</f>
        <v>1</v>
      </c>
      <c r="AM24" s="17">
        <f>COUNTIF('2014'!$AA$1:$AA$100,"Paraguay")</f>
        <v>0</v>
      </c>
      <c r="AN24" s="17">
        <f>COUNTIF('2018'!$AA$1:$AA$100,"Paraguay")</f>
        <v>0</v>
      </c>
      <c r="AO24" s="17">
        <f>COUNTIF('2022'!$AA$1:$AA$100,"Paraguay")</f>
        <v>0</v>
      </c>
      <c r="AP24" s="17"/>
    </row>
    <row r="25" spans="1:42" x14ac:dyDescent="0.3">
      <c r="B25" s="17"/>
    </row>
    <row r="26" spans="1:42" x14ac:dyDescent="0.3">
      <c r="B26" s="17"/>
    </row>
    <row r="27" spans="1:42" x14ac:dyDescent="0.3">
      <c r="B27" s="17"/>
    </row>
    <row r="28" spans="1:42" x14ac:dyDescent="0.3">
      <c r="B28" s="17"/>
    </row>
  </sheetData>
  <sortState ref="A5:BC24">
    <sortCondition descending="1" ref="R5:R24"/>
    <sortCondition descending="1" ref="H5:H24"/>
    <sortCondition ref="I5:I24"/>
  </sortState>
  <mergeCells count="4">
    <mergeCell ref="K4:L4"/>
    <mergeCell ref="E4:G4"/>
    <mergeCell ref="N4:P4"/>
    <mergeCell ref="H4:I4"/>
  </mergeCells>
  <pageMargins left="0.7" right="0.7" top="0.78740157499999996" bottom="0.78740157499999996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A257"/>
  <sheetViews>
    <sheetView topLeftCell="A219" zoomScaleNormal="100" workbookViewId="0">
      <selection activeCell="N233" sqref="N233"/>
    </sheetView>
  </sheetViews>
  <sheetFormatPr baseColWidth="10" defaultRowHeight="14.4" x14ac:dyDescent="0.3"/>
  <cols>
    <col min="1" max="6" width="11.77734375" style="1" customWidth="1"/>
    <col min="7" max="10" width="11.77734375" style="2" customWidth="1"/>
    <col min="11" max="11" width="11.77734375" customWidth="1"/>
    <col min="19" max="25" width="11.77734375" style="244" customWidth="1"/>
  </cols>
  <sheetData>
    <row r="1" spans="1:27" ht="15" thickTop="1" x14ac:dyDescent="0.3">
      <c r="A1" s="106"/>
      <c r="B1" s="25"/>
      <c r="C1" s="25"/>
      <c r="D1" s="25"/>
      <c r="E1" s="25"/>
      <c r="F1" s="25"/>
      <c r="G1" s="26"/>
      <c r="H1" s="26"/>
      <c r="I1" s="26"/>
      <c r="J1" s="26"/>
      <c r="K1" s="107"/>
      <c r="S1" s="114"/>
      <c r="T1" s="115"/>
      <c r="U1" s="115"/>
      <c r="V1" s="115"/>
      <c r="W1" s="115"/>
      <c r="X1" s="115"/>
      <c r="Y1" s="116"/>
    </row>
    <row r="2" spans="1:27" ht="46.2" x14ac:dyDescent="0.85">
      <c r="A2" s="425" t="s">
        <v>219</v>
      </c>
      <c r="B2" s="426"/>
      <c r="C2" s="426"/>
      <c r="D2" s="426"/>
      <c r="E2" s="426"/>
      <c r="F2" s="426"/>
      <c r="G2" s="426"/>
      <c r="H2" s="426"/>
      <c r="I2" s="426"/>
      <c r="J2" s="426"/>
      <c r="K2" s="108"/>
      <c r="S2" s="117"/>
      <c r="T2" s="243"/>
      <c r="U2" s="243"/>
      <c r="V2" s="243"/>
      <c r="W2" s="243"/>
      <c r="X2" s="243"/>
      <c r="Y2" s="118"/>
    </row>
    <row r="3" spans="1:27" x14ac:dyDescent="0.3">
      <c r="A3" s="267"/>
      <c r="B3" s="265"/>
      <c r="C3" s="265"/>
      <c r="D3" s="265"/>
      <c r="E3" s="265"/>
      <c r="F3" s="265"/>
      <c r="G3" s="5"/>
      <c r="H3" s="5"/>
      <c r="I3" s="5"/>
      <c r="J3" s="5"/>
      <c r="K3" s="108"/>
      <c r="S3" s="117"/>
      <c r="T3" s="243"/>
      <c r="U3" s="243"/>
      <c r="V3" s="243"/>
      <c r="W3" s="243"/>
      <c r="X3" s="243"/>
      <c r="Y3" s="118"/>
    </row>
    <row r="4" spans="1:27" ht="28.8" x14ac:dyDescent="0.55000000000000004">
      <c r="A4" s="428" t="s">
        <v>225</v>
      </c>
      <c r="B4" s="429"/>
      <c r="C4" s="429"/>
      <c r="D4" s="429"/>
      <c r="E4" s="429"/>
      <c r="F4" s="429"/>
      <c r="G4" s="429"/>
      <c r="H4" s="429"/>
      <c r="I4" s="429"/>
      <c r="J4" s="429"/>
      <c r="K4" s="108"/>
      <c r="S4" s="117"/>
      <c r="T4" s="243"/>
      <c r="U4" s="243"/>
      <c r="V4" s="243"/>
      <c r="W4" s="243"/>
      <c r="X4" s="243"/>
      <c r="Y4" s="118"/>
    </row>
    <row r="5" spans="1:27" ht="21" x14ac:dyDescent="0.4">
      <c r="A5" s="430" t="s">
        <v>226</v>
      </c>
      <c r="B5" s="431"/>
      <c r="C5" s="431"/>
      <c r="D5" s="431"/>
      <c r="E5" s="431"/>
      <c r="F5" s="431"/>
      <c r="G5" s="431"/>
      <c r="H5" s="431"/>
      <c r="I5" s="431"/>
      <c r="J5" s="431"/>
      <c r="K5" s="108"/>
      <c r="S5" s="117"/>
      <c r="T5" s="243"/>
      <c r="U5" s="243"/>
      <c r="V5" s="243"/>
      <c r="W5" s="243"/>
      <c r="X5" s="243"/>
      <c r="Y5" s="118"/>
    </row>
    <row r="6" spans="1:27" x14ac:dyDescent="0.3">
      <c r="A6" s="267"/>
      <c r="B6" s="265"/>
      <c r="C6" s="265"/>
      <c r="D6" s="265"/>
      <c r="E6" s="265"/>
      <c r="F6" s="265"/>
      <c r="G6" s="5"/>
      <c r="H6" s="5"/>
      <c r="I6" s="5"/>
      <c r="J6" s="5"/>
      <c r="K6" s="108"/>
      <c r="S6" s="117"/>
      <c r="T6" s="243"/>
      <c r="U6" s="243"/>
      <c r="V6" s="243"/>
      <c r="W6" s="243"/>
      <c r="X6" s="243"/>
      <c r="Y6" s="118"/>
    </row>
    <row r="7" spans="1:27" x14ac:dyDescent="0.3">
      <c r="A7" s="267"/>
      <c r="B7" s="265"/>
      <c r="C7" s="265"/>
      <c r="D7" s="265"/>
      <c r="E7" s="265"/>
      <c r="F7" s="265" t="s">
        <v>340</v>
      </c>
      <c r="G7" s="5"/>
      <c r="H7" s="5"/>
      <c r="I7" s="5"/>
      <c r="J7" s="5"/>
      <c r="K7" s="108"/>
      <c r="S7" s="117"/>
      <c r="T7" s="243"/>
      <c r="U7" s="243"/>
      <c r="V7" s="243"/>
      <c r="W7" s="243"/>
      <c r="X7" s="243"/>
      <c r="Y7" s="118"/>
    </row>
    <row r="8" spans="1:27" x14ac:dyDescent="0.3">
      <c r="A8" s="267"/>
      <c r="B8" s="265"/>
      <c r="C8" s="265"/>
      <c r="D8" s="265"/>
      <c r="E8" s="265"/>
      <c r="F8" s="265"/>
      <c r="G8" s="5"/>
      <c r="H8" s="5"/>
      <c r="I8" s="5"/>
      <c r="J8" s="5"/>
      <c r="K8" s="108"/>
      <c r="S8" s="117"/>
      <c r="T8" s="243"/>
      <c r="U8" s="243"/>
      <c r="V8" s="243"/>
      <c r="W8" s="243"/>
      <c r="X8" s="243"/>
      <c r="Y8" s="118"/>
    </row>
    <row r="9" spans="1:27" x14ac:dyDescent="0.3">
      <c r="A9" s="267"/>
      <c r="B9" s="265"/>
      <c r="C9" s="265"/>
      <c r="D9" s="265"/>
      <c r="E9" s="265"/>
      <c r="F9" s="265"/>
      <c r="G9" s="5"/>
      <c r="H9" s="5"/>
      <c r="I9" s="5"/>
      <c r="J9" s="5"/>
      <c r="K9" s="108"/>
      <c r="S9" s="117"/>
      <c r="T9" s="243"/>
      <c r="U9" s="243"/>
      <c r="V9" s="243"/>
      <c r="W9" s="243"/>
      <c r="X9" s="243"/>
      <c r="Y9" s="118"/>
    </row>
    <row r="10" spans="1:27" ht="21" x14ac:dyDescent="0.4">
      <c r="A10" s="267"/>
      <c r="B10" s="265"/>
      <c r="C10" s="265"/>
      <c r="D10" s="265"/>
      <c r="E10" s="265"/>
      <c r="F10" s="264" t="s">
        <v>119</v>
      </c>
      <c r="G10" s="5"/>
      <c r="H10" s="5"/>
      <c r="I10" s="5"/>
      <c r="J10" s="5"/>
      <c r="K10" s="108"/>
      <c r="S10" s="117"/>
      <c r="T10" s="243"/>
      <c r="U10" s="243"/>
      <c r="V10" s="243"/>
      <c r="W10" s="243"/>
      <c r="X10" s="243"/>
      <c r="Y10" s="118"/>
    </row>
    <row r="11" spans="1:27" x14ac:dyDescent="0.3">
      <c r="A11" s="267"/>
      <c r="B11" s="265"/>
      <c r="C11" s="265"/>
      <c r="D11" s="265"/>
      <c r="E11" s="265"/>
      <c r="F11" s="28"/>
      <c r="G11" s="5"/>
      <c r="H11" s="5"/>
      <c r="I11" s="5"/>
      <c r="J11" s="5"/>
      <c r="K11" s="108"/>
      <c r="S11" s="117"/>
      <c r="T11" s="243"/>
      <c r="U11" s="243"/>
      <c r="V11" s="243"/>
      <c r="W11" s="243"/>
      <c r="X11" s="243"/>
      <c r="Y11" s="118"/>
    </row>
    <row r="12" spans="1:27" x14ac:dyDescent="0.3">
      <c r="A12" s="267"/>
      <c r="B12" s="265"/>
      <c r="C12" s="40">
        <v>34503</v>
      </c>
      <c r="D12" s="49" t="s">
        <v>20</v>
      </c>
      <c r="E12" s="49" t="s">
        <v>43</v>
      </c>
      <c r="F12" s="49">
        <v>1</v>
      </c>
      <c r="G12" s="49">
        <v>1</v>
      </c>
      <c r="H12" s="265"/>
      <c r="I12" s="265" t="s">
        <v>299</v>
      </c>
      <c r="J12" s="5"/>
      <c r="K12" s="108"/>
      <c r="S12" s="117" t="s">
        <v>20</v>
      </c>
      <c r="T12" s="243" t="s">
        <v>43</v>
      </c>
      <c r="U12" s="243">
        <v>1</v>
      </c>
      <c r="V12" s="243">
        <v>1</v>
      </c>
      <c r="W12" s="243"/>
      <c r="X12" s="126">
        <f t="shared" ref="X12" si="0">(IF(U12&gt;V12,3,IF(U12=V12,1,2)))</f>
        <v>1</v>
      </c>
      <c r="Y12" s="125">
        <f t="shared" ref="Y12" si="1">(IF(V12&gt;U12,3,IF(U12=V12,1,2)))</f>
        <v>1</v>
      </c>
      <c r="AA12" t="s">
        <v>9</v>
      </c>
    </row>
    <row r="13" spans="1:27" ht="15" thickBot="1" x14ac:dyDescent="0.35">
      <c r="A13" s="267"/>
      <c r="B13" s="265"/>
      <c r="C13" s="58"/>
      <c r="D13" s="79"/>
      <c r="E13" s="79"/>
      <c r="F13" s="79" t="s">
        <v>172</v>
      </c>
      <c r="G13" s="79" t="s">
        <v>183</v>
      </c>
      <c r="H13" s="280"/>
      <c r="I13" s="280"/>
      <c r="J13" s="5"/>
      <c r="K13" s="108"/>
      <c r="S13" s="117" t="s">
        <v>117</v>
      </c>
      <c r="T13" s="243" t="s">
        <v>16</v>
      </c>
      <c r="U13" s="243">
        <v>1</v>
      </c>
      <c r="V13" s="243">
        <v>3</v>
      </c>
      <c r="W13" s="243"/>
      <c r="X13" s="126">
        <f t="shared" ref="X13:X17" si="2">(IF(U13&gt;V13,3,IF(U13=V13,1,2)))</f>
        <v>2</v>
      </c>
      <c r="Y13" s="125">
        <f t="shared" ref="Y13:Y17" si="3">(IF(V13&gt;U13,3,IF(U13=V13,1,2)))</f>
        <v>3</v>
      </c>
      <c r="AA13" t="s">
        <v>41</v>
      </c>
    </row>
    <row r="14" spans="1:27" x14ac:dyDescent="0.3">
      <c r="A14" s="267"/>
      <c r="B14" s="265"/>
      <c r="C14" s="40">
        <v>34503</v>
      </c>
      <c r="D14" s="49" t="s">
        <v>117</v>
      </c>
      <c r="E14" s="49" t="s">
        <v>16</v>
      </c>
      <c r="F14" s="49">
        <v>1</v>
      </c>
      <c r="G14" s="49">
        <v>3</v>
      </c>
      <c r="H14" s="265"/>
      <c r="I14" s="5" t="s">
        <v>300</v>
      </c>
      <c r="J14" s="5"/>
      <c r="K14" s="108"/>
      <c r="S14" s="117" t="s">
        <v>16</v>
      </c>
      <c r="T14" s="250" t="s">
        <v>43</v>
      </c>
      <c r="U14" s="243">
        <v>1</v>
      </c>
      <c r="V14" s="243">
        <v>4</v>
      </c>
      <c r="W14" s="243"/>
      <c r="X14" s="126">
        <f t="shared" si="2"/>
        <v>2</v>
      </c>
      <c r="Y14" s="125">
        <f t="shared" si="3"/>
        <v>3</v>
      </c>
      <c r="AA14" t="s">
        <v>37</v>
      </c>
    </row>
    <row r="15" spans="1:27" ht="15" thickBot="1" x14ac:dyDescent="0.35">
      <c r="A15" s="267"/>
      <c r="B15" s="265"/>
      <c r="C15" s="58"/>
      <c r="D15" s="79"/>
      <c r="E15" s="79"/>
      <c r="F15" s="79" t="s">
        <v>172</v>
      </c>
      <c r="G15" s="79" t="s">
        <v>173</v>
      </c>
      <c r="H15" s="280"/>
      <c r="I15" s="8"/>
      <c r="J15" s="5"/>
      <c r="K15" s="108"/>
      <c r="S15" s="117" t="s">
        <v>20</v>
      </c>
      <c r="T15" s="243" t="s">
        <v>117</v>
      </c>
      <c r="U15" s="243">
        <v>2</v>
      </c>
      <c r="V15" s="243">
        <v>1</v>
      </c>
      <c r="W15" s="243"/>
      <c r="X15" s="126">
        <f t="shared" si="2"/>
        <v>3</v>
      </c>
      <c r="Y15" s="125">
        <f t="shared" si="3"/>
        <v>2</v>
      </c>
      <c r="AA15" t="s">
        <v>125</v>
      </c>
    </row>
    <row r="16" spans="1:27" x14ac:dyDescent="0.3">
      <c r="A16" s="267"/>
      <c r="B16" s="265"/>
      <c r="C16" s="40">
        <v>34507</v>
      </c>
      <c r="D16" s="49" t="s">
        <v>16</v>
      </c>
      <c r="E16" s="49" t="s">
        <v>43</v>
      </c>
      <c r="F16" s="49">
        <v>1</v>
      </c>
      <c r="G16" s="49">
        <v>4</v>
      </c>
      <c r="H16" s="265"/>
      <c r="I16" s="5" t="s">
        <v>299</v>
      </c>
      <c r="J16" s="5"/>
      <c r="K16" s="108"/>
      <c r="S16" s="117" t="s">
        <v>20</v>
      </c>
      <c r="T16" s="250" t="s">
        <v>16</v>
      </c>
      <c r="U16" s="243">
        <v>0</v>
      </c>
      <c r="V16" s="243">
        <v>1</v>
      </c>
      <c r="W16" s="243"/>
      <c r="X16" s="126">
        <f t="shared" si="2"/>
        <v>2</v>
      </c>
      <c r="Y16" s="125">
        <f t="shared" si="3"/>
        <v>3</v>
      </c>
      <c r="AA16" t="s">
        <v>88</v>
      </c>
    </row>
    <row r="17" spans="1:27" ht="15" thickBot="1" x14ac:dyDescent="0.35">
      <c r="A17" s="267"/>
      <c r="B17" s="265"/>
      <c r="C17" s="58"/>
      <c r="D17" s="79"/>
      <c r="E17" s="79"/>
      <c r="F17" s="79" t="s">
        <v>172</v>
      </c>
      <c r="G17" s="79" t="s">
        <v>183</v>
      </c>
      <c r="H17" s="280"/>
      <c r="I17" s="8"/>
      <c r="J17" s="5"/>
      <c r="K17" s="108"/>
      <c r="S17" s="117" t="s">
        <v>43</v>
      </c>
      <c r="T17" s="250" t="s">
        <v>117</v>
      </c>
      <c r="U17" s="243">
        <v>0</v>
      </c>
      <c r="V17" s="243">
        <v>2</v>
      </c>
      <c r="W17" s="243"/>
      <c r="X17" s="126">
        <f t="shared" si="2"/>
        <v>2</v>
      </c>
      <c r="Y17" s="125">
        <f t="shared" si="3"/>
        <v>3</v>
      </c>
      <c r="AA17" t="s">
        <v>16</v>
      </c>
    </row>
    <row r="18" spans="1:27" x14ac:dyDescent="0.3">
      <c r="A18" s="267"/>
      <c r="B18" s="265"/>
      <c r="C18" s="40">
        <v>34507</v>
      </c>
      <c r="D18" s="49" t="s">
        <v>20</v>
      </c>
      <c r="E18" s="49" t="s">
        <v>117</v>
      </c>
      <c r="F18" s="49">
        <v>2</v>
      </c>
      <c r="G18" s="49">
        <v>1</v>
      </c>
      <c r="H18" s="265"/>
      <c r="I18" s="5" t="s">
        <v>300</v>
      </c>
      <c r="J18" s="5"/>
      <c r="K18" s="108"/>
      <c r="S18" s="117"/>
      <c r="T18" s="243"/>
      <c r="U18" s="243"/>
      <c r="V18" s="243"/>
      <c r="W18" s="243"/>
      <c r="X18" s="126"/>
      <c r="Y18" s="125"/>
      <c r="AA18" t="s">
        <v>63</v>
      </c>
    </row>
    <row r="19" spans="1:27" ht="15" thickBot="1" x14ac:dyDescent="0.35">
      <c r="A19" s="267"/>
      <c r="B19" s="265"/>
      <c r="C19" s="58"/>
      <c r="D19" s="79"/>
      <c r="E19" s="79"/>
      <c r="F19" s="79" t="s">
        <v>172</v>
      </c>
      <c r="G19" s="79" t="s">
        <v>171</v>
      </c>
      <c r="H19" s="280"/>
      <c r="I19" s="8"/>
      <c r="J19" s="5"/>
      <c r="K19" s="108"/>
      <c r="S19" s="117"/>
      <c r="T19" s="243"/>
      <c r="U19" s="243"/>
      <c r="V19" s="243"/>
      <c r="W19" s="243"/>
      <c r="X19" s="126"/>
      <c r="Y19" s="125"/>
      <c r="AA19" t="s">
        <v>35</v>
      </c>
    </row>
    <row r="20" spans="1:27" x14ac:dyDescent="0.3">
      <c r="A20" s="267"/>
      <c r="B20" s="265"/>
      <c r="C20" s="40">
        <v>34511</v>
      </c>
      <c r="D20" s="49" t="s">
        <v>20</v>
      </c>
      <c r="E20" s="49" t="s">
        <v>16</v>
      </c>
      <c r="F20" s="49">
        <v>0</v>
      </c>
      <c r="G20" s="49">
        <v>1</v>
      </c>
      <c r="H20" s="265"/>
      <c r="I20" s="5" t="s">
        <v>300</v>
      </c>
      <c r="J20" s="5"/>
      <c r="K20" s="108"/>
      <c r="S20" s="117"/>
      <c r="T20" s="243"/>
      <c r="U20" s="243"/>
      <c r="V20" s="243"/>
      <c r="W20" s="243"/>
      <c r="X20" s="126"/>
      <c r="Y20" s="125"/>
      <c r="AA20" t="s">
        <v>5</v>
      </c>
    </row>
    <row r="21" spans="1:27" ht="15" thickBot="1" x14ac:dyDescent="0.35">
      <c r="A21" s="267"/>
      <c r="B21" s="265"/>
      <c r="C21" s="58"/>
      <c r="D21" s="79"/>
      <c r="E21" s="79"/>
      <c r="F21" s="79" t="s">
        <v>170</v>
      </c>
      <c r="G21" s="79" t="s">
        <v>183</v>
      </c>
      <c r="H21" s="280"/>
      <c r="I21" s="8"/>
      <c r="J21" s="5"/>
      <c r="K21" s="108"/>
      <c r="S21" s="117"/>
      <c r="T21" s="243"/>
      <c r="U21" s="243"/>
      <c r="V21" s="243"/>
      <c r="W21" s="243"/>
      <c r="X21" s="243"/>
      <c r="Y21" s="118"/>
      <c r="AA21" t="s">
        <v>307</v>
      </c>
    </row>
    <row r="22" spans="1:27" x14ac:dyDescent="0.3">
      <c r="A22" s="267"/>
      <c r="B22" s="265"/>
      <c r="C22" s="40">
        <v>34511</v>
      </c>
      <c r="D22" s="49" t="s">
        <v>43</v>
      </c>
      <c r="E22" s="49" t="s">
        <v>117</v>
      </c>
      <c r="F22" s="49">
        <v>0</v>
      </c>
      <c r="G22" s="49">
        <v>2</v>
      </c>
      <c r="H22" s="265"/>
      <c r="I22" s="5" t="s">
        <v>315</v>
      </c>
      <c r="J22" s="5"/>
      <c r="K22" s="108"/>
      <c r="S22" s="117"/>
      <c r="T22" s="243"/>
      <c r="U22" s="243"/>
      <c r="V22" s="243"/>
      <c r="W22" s="243"/>
      <c r="X22" s="243"/>
      <c r="Y22" s="118"/>
      <c r="AA22" t="s">
        <v>313</v>
      </c>
    </row>
    <row r="23" spans="1:27" x14ac:dyDescent="0.3">
      <c r="A23" s="267"/>
      <c r="B23" s="265"/>
      <c r="C23" s="40"/>
      <c r="D23" s="49"/>
      <c r="E23" s="49"/>
      <c r="F23" s="49" t="s">
        <v>170</v>
      </c>
      <c r="G23" s="49" t="s">
        <v>183</v>
      </c>
      <c r="H23" s="265"/>
      <c r="I23" s="5"/>
      <c r="J23" s="5"/>
      <c r="K23" s="108"/>
      <c r="S23" s="117"/>
      <c r="T23" s="243"/>
      <c r="U23" s="243"/>
      <c r="V23" s="243"/>
      <c r="W23" s="243"/>
      <c r="X23" s="243"/>
      <c r="Y23" s="118"/>
      <c r="AA23" t="s">
        <v>21</v>
      </c>
    </row>
    <row r="24" spans="1:27" x14ac:dyDescent="0.3">
      <c r="A24" s="267"/>
      <c r="B24" s="265"/>
      <c r="C24" s="40"/>
      <c r="D24" s="265"/>
      <c r="E24" s="265"/>
      <c r="F24" s="265"/>
      <c r="G24" s="265"/>
      <c r="H24" s="265"/>
      <c r="I24" s="5"/>
      <c r="J24" s="5"/>
      <c r="K24" s="108"/>
      <c r="S24" s="117"/>
      <c r="T24" s="243"/>
      <c r="U24" s="243"/>
      <c r="V24" s="243"/>
      <c r="W24" s="243"/>
      <c r="X24" s="243"/>
      <c r="Y24" s="118"/>
      <c r="AA24" t="s">
        <v>43</v>
      </c>
    </row>
    <row r="25" spans="1:27" ht="15" thickBot="1" x14ac:dyDescent="0.35">
      <c r="A25" s="267"/>
      <c r="B25" s="265" t="s">
        <v>298</v>
      </c>
      <c r="C25" s="265" t="s">
        <v>12</v>
      </c>
      <c r="D25" s="265" t="s">
        <v>13</v>
      </c>
      <c r="E25" s="265" t="s">
        <v>14</v>
      </c>
      <c r="F25" s="265" t="s">
        <v>15</v>
      </c>
      <c r="G25" s="5" t="s">
        <v>24</v>
      </c>
      <c r="H25" s="5" t="s">
        <v>25</v>
      </c>
      <c r="I25" s="5" t="s">
        <v>301</v>
      </c>
      <c r="J25" s="5"/>
      <c r="K25" s="108"/>
      <c r="S25" s="117"/>
      <c r="T25" s="243"/>
      <c r="U25" s="243"/>
      <c r="V25" s="243"/>
      <c r="W25" s="243"/>
      <c r="X25" s="243"/>
      <c r="Y25" s="118"/>
      <c r="AA25" t="s">
        <v>4</v>
      </c>
    </row>
    <row r="26" spans="1:27" x14ac:dyDescent="0.3">
      <c r="A26" s="267" t="s">
        <v>113</v>
      </c>
      <c r="B26" s="14" t="s">
        <v>16</v>
      </c>
      <c r="C26" s="279">
        <f>COUNTIF($S$12:$T$17,"Rumänien")</f>
        <v>3</v>
      </c>
      <c r="D26" s="124">
        <f t="shared" ref="D26" si="4">SUMPRODUCT(($S$12:$T$17=B26)*($X$12:$Y$17=3))</f>
        <v>2</v>
      </c>
      <c r="E26" s="124">
        <f t="shared" ref="E26" si="5">SUMPRODUCT(($S$12:$T$17=B26)*($X$12:$Y$17=1))</f>
        <v>0</v>
      </c>
      <c r="F26" s="124">
        <f t="shared" ref="F26" si="6">SUMPRODUCT(($S$12:$T$17=B26)*($X$12:$Y$17=2))</f>
        <v>1</v>
      </c>
      <c r="G26" s="124">
        <f t="shared" ref="G26" si="7">SUMPRODUCT(($S$12:$S$17=B26)*($U$12:$U$17))+SUMPRODUCT(($T$12:$T$17=B26)*($V$12:$V$17))</f>
        <v>5</v>
      </c>
      <c r="H26" s="124">
        <f t="shared" ref="H26" si="8">SUMPRODUCT(($S$12:$S$17=B26)*($V$12:$V$17))+SUMPRODUCT(($T$12:$T$17=B26)*($U$12:$U$17))</f>
        <v>5</v>
      </c>
      <c r="I26" s="16">
        <f>(D26*3)+E26</f>
        <v>6</v>
      </c>
      <c r="J26" s="18"/>
      <c r="K26" s="108"/>
      <c r="S26" s="117"/>
      <c r="T26" s="243"/>
      <c r="U26" s="243"/>
      <c r="V26" s="243"/>
      <c r="W26" s="243"/>
      <c r="X26" s="126"/>
      <c r="Y26" s="125"/>
      <c r="AA26" t="s">
        <v>20</v>
      </c>
    </row>
    <row r="27" spans="1:27" x14ac:dyDescent="0.3">
      <c r="A27" s="267"/>
      <c r="B27" s="21" t="s">
        <v>43</v>
      </c>
      <c r="C27" s="278">
        <f>COUNTIF($S$12:$T$17,"Schweiz")</f>
        <v>3</v>
      </c>
      <c r="D27" s="43">
        <f t="shared" ref="D27:D29" si="9">SUMPRODUCT(($S$12:$T$17=B27)*($X$12:$Y$17=3))</f>
        <v>1</v>
      </c>
      <c r="E27" s="43">
        <f t="shared" ref="E27:E29" si="10">SUMPRODUCT(($S$12:$T$17=B27)*($X$12:$Y$17=1))</f>
        <v>1</v>
      </c>
      <c r="F27" s="43">
        <f t="shared" ref="F27:F29" si="11">SUMPRODUCT(($S$12:$T$17=B27)*($X$12:$Y$17=2))</f>
        <v>1</v>
      </c>
      <c r="G27" s="43">
        <f t="shared" ref="G27:G29" si="12">SUMPRODUCT(($S$12:$S$17=B27)*($U$12:$U$17))+SUMPRODUCT(($T$12:$T$17=B27)*($V$12:$V$17))</f>
        <v>5</v>
      </c>
      <c r="H27" s="43">
        <f t="shared" ref="H27:H29" si="13">SUMPRODUCT(($S$12:$S$17=B27)*($V$12:$V$17))+SUMPRODUCT(($T$12:$T$17=B27)*($U$12:$U$17))</f>
        <v>4</v>
      </c>
      <c r="I27" s="22">
        <f t="shared" ref="I27:I29" si="14">(D27*3)+E27</f>
        <v>4</v>
      </c>
      <c r="J27" s="18"/>
      <c r="K27" s="108"/>
      <c r="S27" s="117"/>
      <c r="T27" s="243"/>
      <c r="U27" s="243"/>
      <c r="V27" s="243"/>
      <c r="W27" s="243"/>
      <c r="X27" s="243"/>
      <c r="Y27" s="118"/>
      <c r="AA27" t="s">
        <v>290</v>
      </c>
    </row>
    <row r="28" spans="1:27" x14ac:dyDescent="0.3">
      <c r="A28" s="267"/>
      <c r="B28" s="3" t="s">
        <v>20</v>
      </c>
      <c r="C28" s="278">
        <f>COUNTIF($S$12:$T$17,"USA")</f>
        <v>3</v>
      </c>
      <c r="D28" s="43">
        <f t="shared" si="9"/>
        <v>1</v>
      </c>
      <c r="E28" s="43">
        <f t="shared" si="10"/>
        <v>1</v>
      </c>
      <c r="F28" s="43">
        <f t="shared" si="11"/>
        <v>1</v>
      </c>
      <c r="G28" s="43">
        <f t="shared" si="12"/>
        <v>3</v>
      </c>
      <c r="H28" s="43">
        <f t="shared" si="13"/>
        <v>3</v>
      </c>
      <c r="I28" s="22">
        <f t="shared" si="14"/>
        <v>4</v>
      </c>
      <c r="J28" s="5"/>
      <c r="K28" s="108"/>
      <c r="S28" s="117"/>
      <c r="T28" s="243"/>
      <c r="U28" s="243"/>
      <c r="V28" s="243"/>
      <c r="W28" s="243"/>
      <c r="X28" s="243"/>
      <c r="Y28" s="118"/>
      <c r="AA28" t="s">
        <v>59</v>
      </c>
    </row>
    <row r="29" spans="1:27" ht="15" thickBot="1" x14ac:dyDescent="0.35">
      <c r="A29" s="267"/>
      <c r="B29" s="7" t="s">
        <v>117</v>
      </c>
      <c r="C29" s="280">
        <f>COUNTIF($S$12:$T$17,"Kolumbien")</f>
        <v>3</v>
      </c>
      <c r="D29" s="80">
        <f t="shared" si="9"/>
        <v>1</v>
      </c>
      <c r="E29" s="80">
        <f t="shared" si="10"/>
        <v>0</v>
      </c>
      <c r="F29" s="80">
        <f t="shared" si="11"/>
        <v>2</v>
      </c>
      <c r="G29" s="80">
        <f t="shared" si="12"/>
        <v>4</v>
      </c>
      <c r="H29" s="80">
        <f t="shared" si="13"/>
        <v>5</v>
      </c>
      <c r="I29" s="32">
        <f t="shared" si="14"/>
        <v>3</v>
      </c>
      <c r="J29" s="5"/>
      <c r="K29" s="108"/>
      <c r="S29" s="117"/>
      <c r="T29" s="243"/>
      <c r="U29" s="243"/>
      <c r="V29" s="243"/>
      <c r="W29" s="243"/>
      <c r="X29" s="126"/>
      <c r="Y29" s="125"/>
      <c r="AA29" t="s">
        <v>302</v>
      </c>
    </row>
    <row r="30" spans="1:27" ht="15" thickBot="1" x14ac:dyDescent="0.35">
      <c r="A30" s="110"/>
      <c r="B30" s="36"/>
      <c r="C30" s="36"/>
      <c r="D30" s="36"/>
      <c r="E30" s="36"/>
      <c r="F30" s="36"/>
      <c r="G30" s="37"/>
      <c r="H30" s="37"/>
      <c r="I30" s="37"/>
      <c r="J30" s="37"/>
      <c r="K30" s="193"/>
      <c r="S30" s="117"/>
      <c r="T30" s="243"/>
      <c r="U30" s="243"/>
      <c r="V30" s="243"/>
      <c r="W30" s="243"/>
      <c r="X30" s="126"/>
      <c r="Y30" s="125"/>
      <c r="AA30" t="s">
        <v>117</v>
      </c>
    </row>
    <row r="31" spans="1:27" ht="15" thickTop="1" x14ac:dyDescent="0.3">
      <c r="A31" s="267"/>
      <c r="B31" s="265"/>
      <c r="C31" s="265"/>
      <c r="D31" s="265"/>
      <c r="E31" s="265"/>
      <c r="F31" s="265"/>
      <c r="G31" s="5"/>
      <c r="H31" s="5"/>
      <c r="I31" s="5"/>
      <c r="J31" s="5"/>
      <c r="K31" s="108"/>
      <c r="S31" s="117"/>
      <c r="T31" s="243"/>
      <c r="U31" s="243"/>
      <c r="V31" s="243"/>
      <c r="W31" s="243"/>
      <c r="X31" s="126"/>
      <c r="Y31" s="125"/>
      <c r="AA31" t="s">
        <v>90</v>
      </c>
    </row>
    <row r="32" spans="1:27" ht="21" x14ac:dyDescent="0.4">
      <c r="A32" s="267"/>
      <c r="B32" s="265"/>
      <c r="C32" s="265"/>
      <c r="D32" s="265"/>
      <c r="E32" s="265"/>
      <c r="F32" s="264" t="s">
        <v>120</v>
      </c>
      <c r="G32" s="5"/>
      <c r="H32" s="5"/>
      <c r="I32" s="5"/>
      <c r="J32" s="5"/>
      <c r="K32" s="108"/>
      <c r="S32" s="122"/>
      <c r="T32" s="17"/>
      <c r="U32" s="17"/>
      <c r="V32" s="17"/>
      <c r="X32" s="126"/>
      <c r="Y32" s="125"/>
      <c r="AA32" t="s">
        <v>190</v>
      </c>
    </row>
    <row r="33" spans="1:27" x14ac:dyDescent="0.3">
      <c r="A33" s="267"/>
      <c r="B33" s="265"/>
      <c r="C33" s="265"/>
      <c r="D33" s="265"/>
      <c r="E33" s="265"/>
      <c r="F33" s="28"/>
      <c r="G33" s="5"/>
      <c r="H33" s="5"/>
      <c r="I33" s="5"/>
      <c r="J33" s="5"/>
      <c r="K33" s="108"/>
      <c r="S33" s="117"/>
      <c r="T33" s="243"/>
      <c r="U33" s="243"/>
      <c r="V33" s="243"/>
      <c r="X33" s="126"/>
      <c r="Y33" s="125"/>
      <c r="AA33" t="s">
        <v>10</v>
      </c>
    </row>
    <row r="34" spans="1:27" x14ac:dyDescent="0.3">
      <c r="A34" s="267"/>
      <c r="B34" s="265"/>
      <c r="C34" s="40">
        <v>34504</v>
      </c>
      <c r="D34" s="49" t="s">
        <v>190</v>
      </c>
      <c r="E34" s="49" t="s">
        <v>41</v>
      </c>
      <c r="F34" s="49">
        <v>2</v>
      </c>
      <c r="G34" s="49">
        <v>2</v>
      </c>
      <c r="H34" s="265"/>
      <c r="I34" s="5" t="s">
        <v>300</v>
      </c>
      <c r="J34" s="5"/>
      <c r="K34" s="108"/>
      <c r="S34" s="117" t="s">
        <v>190</v>
      </c>
      <c r="T34" s="243" t="s">
        <v>41</v>
      </c>
      <c r="U34" s="243">
        <v>2</v>
      </c>
      <c r="V34" s="243">
        <v>2</v>
      </c>
      <c r="X34" s="126">
        <f t="shared" ref="X34" si="15">(IF(U34&gt;V34,3,IF(U34=V34,1,2)))</f>
        <v>1</v>
      </c>
      <c r="Y34" s="125">
        <f t="shared" ref="Y34" si="16">(IF(V34&gt;U34,3,IF(U34=V34,1,2)))</f>
        <v>1</v>
      </c>
      <c r="AA34" t="s">
        <v>147</v>
      </c>
    </row>
    <row r="35" spans="1:27" ht="15" thickBot="1" x14ac:dyDescent="0.35">
      <c r="A35" s="267"/>
      <c r="B35" s="265"/>
      <c r="C35" s="58"/>
      <c r="D35" s="79"/>
      <c r="E35" s="79"/>
      <c r="F35" s="79" t="s">
        <v>172</v>
      </c>
      <c r="G35" s="79" t="s">
        <v>183</v>
      </c>
      <c r="H35" s="280"/>
      <c r="I35" s="8"/>
      <c r="J35" s="5"/>
      <c r="K35" s="108"/>
      <c r="S35" s="117" t="s">
        <v>9</v>
      </c>
      <c r="T35" s="243" t="s">
        <v>302</v>
      </c>
      <c r="U35" s="243">
        <v>2</v>
      </c>
      <c r="V35" s="243">
        <v>0</v>
      </c>
      <c r="X35" s="126">
        <f t="shared" ref="X35:X39" si="17">(IF(U35&gt;V35,3,IF(U35=V35,1,2)))</f>
        <v>3</v>
      </c>
      <c r="Y35" s="125">
        <f t="shared" ref="Y35:Y39" si="18">(IF(V35&gt;U35,3,IF(U35=V35,1,2)))</f>
        <v>2</v>
      </c>
      <c r="AA35" t="s">
        <v>306</v>
      </c>
    </row>
    <row r="36" spans="1:27" x14ac:dyDescent="0.3">
      <c r="A36" s="267"/>
      <c r="B36" s="265"/>
      <c r="C36" s="40">
        <v>34505</v>
      </c>
      <c r="D36" s="49" t="s">
        <v>9</v>
      </c>
      <c r="E36" s="49" t="s">
        <v>302</v>
      </c>
      <c r="F36" s="49">
        <v>2</v>
      </c>
      <c r="G36" s="49">
        <v>0</v>
      </c>
      <c r="H36" s="265"/>
      <c r="I36" s="5" t="s">
        <v>315</v>
      </c>
      <c r="J36" s="5"/>
      <c r="K36" s="108"/>
      <c r="S36" s="117" t="s">
        <v>9</v>
      </c>
      <c r="T36" s="243" t="s">
        <v>190</v>
      </c>
      <c r="U36" s="243">
        <v>3</v>
      </c>
      <c r="V36" s="243">
        <v>0</v>
      </c>
      <c r="X36" s="126">
        <f t="shared" si="17"/>
        <v>3</v>
      </c>
      <c r="Y36" s="125">
        <f t="shared" si="18"/>
        <v>2</v>
      </c>
    </row>
    <row r="37" spans="1:27" ht="15" thickBot="1" x14ac:dyDescent="0.35">
      <c r="A37" s="267"/>
      <c r="B37" s="265"/>
      <c r="C37" s="58"/>
      <c r="D37" s="79"/>
      <c r="E37" s="79"/>
      <c r="F37" s="79" t="s">
        <v>172</v>
      </c>
      <c r="G37" s="79" t="s">
        <v>171</v>
      </c>
      <c r="H37" s="280"/>
      <c r="I37" s="8"/>
      <c r="J37" s="5"/>
      <c r="K37" s="108"/>
      <c r="S37" s="117" t="s">
        <v>41</v>
      </c>
      <c r="T37" s="243" t="s">
        <v>302</v>
      </c>
      <c r="U37" s="243">
        <v>3</v>
      </c>
      <c r="V37" s="243">
        <v>1</v>
      </c>
      <c r="X37" s="126">
        <f t="shared" si="17"/>
        <v>3</v>
      </c>
      <c r="Y37" s="125">
        <f t="shared" si="18"/>
        <v>2</v>
      </c>
    </row>
    <row r="38" spans="1:27" x14ac:dyDescent="0.3">
      <c r="A38" s="267"/>
      <c r="B38" s="265"/>
      <c r="C38" s="40">
        <v>34509</v>
      </c>
      <c r="D38" s="49" t="s">
        <v>9</v>
      </c>
      <c r="E38" s="49" t="s">
        <v>190</v>
      </c>
      <c r="F38" s="49">
        <v>3</v>
      </c>
      <c r="G38" s="49">
        <v>0</v>
      </c>
      <c r="H38" s="265"/>
      <c r="I38" s="5" t="s">
        <v>315</v>
      </c>
      <c r="J38" s="5"/>
      <c r="K38" s="108"/>
      <c r="S38" s="117" t="s">
        <v>302</v>
      </c>
      <c r="T38" s="243" t="s">
        <v>190</v>
      </c>
      <c r="U38" s="243">
        <v>6</v>
      </c>
      <c r="V38" s="243">
        <v>1</v>
      </c>
      <c r="X38" s="126">
        <f t="shared" si="17"/>
        <v>3</v>
      </c>
      <c r="Y38" s="125">
        <f t="shared" si="18"/>
        <v>2</v>
      </c>
    </row>
    <row r="39" spans="1:27" ht="15" thickBot="1" x14ac:dyDescent="0.35">
      <c r="A39" s="267"/>
      <c r="B39" s="265"/>
      <c r="C39" s="58"/>
      <c r="D39" s="79"/>
      <c r="E39" s="79"/>
      <c r="F39" s="79" t="s">
        <v>172</v>
      </c>
      <c r="G39" s="79" t="s">
        <v>171</v>
      </c>
      <c r="H39" s="280"/>
      <c r="I39" s="8"/>
      <c r="J39" s="5"/>
      <c r="K39" s="108"/>
      <c r="S39" s="117" t="s">
        <v>9</v>
      </c>
      <c r="T39" s="243" t="s">
        <v>41</v>
      </c>
      <c r="U39" s="243">
        <v>1</v>
      </c>
      <c r="V39" s="243">
        <v>1</v>
      </c>
      <c r="X39" s="126">
        <f t="shared" si="17"/>
        <v>1</v>
      </c>
      <c r="Y39" s="125">
        <f t="shared" si="18"/>
        <v>1</v>
      </c>
    </row>
    <row r="40" spans="1:27" x14ac:dyDescent="0.3">
      <c r="A40" s="267"/>
      <c r="B40" s="265"/>
      <c r="C40" s="40">
        <v>34509</v>
      </c>
      <c r="D40" s="49" t="s">
        <v>41</v>
      </c>
      <c r="E40" s="49" t="s">
        <v>302</v>
      </c>
      <c r="F40" s="49">
        <v>3</v>
      </c>
      <c r="G40" s="49">
        <v>1</v>
      </c>
      <c r="H40" s="265"/>
      <c r="I40" s="5" t="s">
        <v>299</v>
      </c>
      <c r="J40" s="5"/>
      <c r="K40" s="108"/>
      <c r="S40" s="117"/>
      <c r="T40" s="243"/>
      <c r="U40" s="243"/>
      <c r="V40" s="243"/>
      <c r="X40" s="126"/>
      <c r="Y40" s="125"/>
    </row>
    <row r="41" spans="1:27" ht="15" thickBot="1" x14ac:dyDescent="0.35">
      <c r="A41" s="267"/>
      <c r="B41" s="265"/>
      <c r="C41" s="58"/>
      <c r="D41" s="79"/>
      <c r="E41" s="79"/>
      <c r="F41" s="79" t="s">
        <v>172</v>
      </c>
      <c r="G41" s="79" t="s">
        <v>183</v>
      </c>
      <c r="H41" s="280"/>
      <c r="I41" s="8"/>
      <c r="J41" s="5"/>
      <c r="K41" s="108"/>
      <c r="S41" s="117"/>
      <c r="T41" s="243"/>
      <c r="U41" s="243"/>
      <c r="V41" s="243"/>
      <c r="X41" s="126"/>
      <c r="Y41" s="125"/>
    </row>
    <row r="42" spans="1:27" x14ac:dyDescent="0.3">
      <c r="A42" s="267"/>
      <c r="B42" s="265"/>
      <c r="C42" s="40">
        <v>34513</v>
      </c>
      <c r="D42" s="43" t="s">
        <v>302</v>
      </c>
      <c r="E42" s="43" t="s">
        <v>190</v>
      </c>
      <c r="F42" s="43">
        <v>6</v>
      </c>
      <c r="G42" s="43">
        <v>1</v>
      </c>
      <c r="H42" s="17"/>
      <c r="I42" s="5" t="s">
        <v>315</v>
      </c>
      <c r="J42" s="5"/>
      <c r="K42" s="108"/>
      <c r="S42" s="117"/>
      <c r="T42" s="243"/>
      <c r="U42" s="243"/>
      <c r="V42" s="243"/>
      <c r="X42" s="126"/>
      <c r="Y42" s="125"/>
    </row>
    <row r="43" spans="1:27" ht="15" thickBot="1" x14ac:dyDescent="0.35">
      <c r="A43" s="267"/>
      <c r="B43" s="265"/>
      <c r="C43" s="58"/>
      <c r="D43" s="80"/>
      <c r="E43" s="80"/>
      <c r="F43" s="80" t="s">
        <v>264</v>
      </c>
      <c r="G43" s="80" t="s">
        <v>171</v>
      </c>
      <c r="H43" s="30"/>
      <c r="I43" s="8"/>
      <c r="J43" s="5"/>
      <c r="K43" s="108"/>
      <c r="S43" s="117"/>
      <c r="T43" s="243"/>
      <c r="U43" s="243"/>
      <c r="V43" s="243"/>
      <c r="W43" s="243"/>
      <c r="X43" s="126"/>
      <c r="Y43" s="125"/>
    </row>
    <row r="44" spans="1:27" x14ac:dyDescent="0.3">
      <c r="A44" s="267"/>
      <c r="B44" s="265"/>
      <c r="C44" s="40">
        <v>34513</v>
      </c>
      <c r="D44" s="43" t="s">
        <v>9</v>
      </c>
      <c r="E44" s="43" t="s">
        <v>41</v>
      </c>
      <c r="F44" s="43">
        <v>1</v>
      </c>
      <c r="G44" s="43">
        <v>1</v>
      </c>
      <c r="H44" s="17"/>
      <c r="I44" s="5" t="s">
        <v>299</v>
      </c>
      <c r="J44" s="5"/>
      <c r="K44" s="108"/>
      <c r="S44" s="117"/>
      <c r="T44" s="243"/>
      <c r="U44" s="243"/>
      <c r="V44" s="243"/>
      <c r="W44" s="243"/>
      <c r="X44" s="126"/>
      <c r="Y44" s="125"/>
    </row>
    <row r="45" spans="1:27" x14ac:dyDescent="0.3">
      <c r="A45" s="267"/>
      <c r="B45" s="265"/>
      <c r="C45" s="40"/>
      <c r="D45" s="43"/>
      <c r="E45" s="43"/>
      <c r="F45" s="43" t="s">
        <v>170</v>
      </c>
      <c r="G45" s="43" t="s">
        <v>183</v>
      </c>
      <c r="H45" s="17"/>
      <c r="I45" s="5"/>
      <c r="J45" s="5"/>
      <c r="K45" s="108"/>
      <c r="S45" s="117"/>
      <c r="T45" s="243"/>
      <c r="U45" s="243"/>
      <c r="V45" s="243"/>
      <c r="W45" s="243"/>
      <c r="X45" s="126"/>
      <c r="Y45" s="125"/>
    </row>
    <row r="46" spans="1:27" x14ac:dyDescent="0.3">
      <c r="A46" s="156"/>
      <c r="B46" s="17"/>
      <c r="C46" s="17"/>
      <c r="D46" s="17"/>
      <c r="E46" s="17"/>
      <c r="F46" s="17"/>
      <c r="G46" s="18"/>
      <c r="H46" s="5"/>
      <c r="I46" s="5"/>
      <c r="J46" s="5"/>
      <c r="K46" s="108"/>
      <c r="S46" s="117"/>
      <c r="T46" s="243"/>
      <c r="U46" s="243"/>
      <c r="V46" s="243"/>
      <c r="W46" s="243"/>
      <c r="X46" s="126"/>
      <c r="Y46" s="125"/>
    </row>
    <row r="47" spans="1:27" ht="15" thickBot="1" x14ac:dyDescent="0.35">
      <c r="A47" s="267"/>
      <c r="B47" s="265" t="s">
        <v>298</v>
      </c>
      <c r="C47" s="265" t="s">
        <v>12</v>
      </c>
      <c r="D47" s="265" t="s">
        <v>13</v>
      </c>
      <c r="E47" s="265" t="s">
        <v>14</v>
      </c>
      <c r="F47" s="265" t="s">
        <v>15</v>
      </c>
      <c r="G47" s="5" t="s">
        <v>24</v>
      </c>
      <c r="H47" s="5" t="s">
        <v>25</v>
      </c>
      <c r="I47" s="5" t="s">
        <v>301</v>
      </c>
      <c r="J47" s="5"/>
      <c r="K47" s="108"/>
      <c r="S47" s="117"/>
      <c r="T47" s="243"/>
      <c r="U47" s="243"/>
      <c r="V47" s="243"/>
      <c r="W47" s="243"/>
      <c r="X47" s="126"/>
      <c r="Y47" s="125"/>
    </row>
    <row r="48" spans="1:27" x14ac:dyDescent="0.3">
      <c r="A48" s="267" t="s">
        <v>113</v>
      </c>
      <c r="B48" s="14" t="s">
        <v>9</v>
      </c>
      <c r="C48" s="281">
        <v>3</v>
      </c>
      <c r="D48" s="281">
        <v>2</v>
      </c>
      <c r="E48" s="281">
        <v>1</v>
      </c>
      <c r="F48" s="281">
        <v>0</v>
      </c>
      <c r="G48" s="15">
        <v>6</v>
      </c>
      <c r="H48" s="15">
        <v>1</v>
      </c>
      <c r="I48" s="16">
        <v>7</v>
      </c>
      <c r="J48" s="18"/>
      <c r="K48" s="108"/>
      <c r="S48" s="117"/>
      <c r="T48" s="243"/>
      <c r="U48" s="243"/>
      <c r="V48" s="243"/>
      <c r="W48" s="243"/>
      <c r="X48" s="126"/>
      <c r="Y48" s="125"/>
    </row>
    <row r="49" spans="1:25" x14ac:dyDescent="0.3">
      <c r="A49" s="267"/>
      <c r="B49" s="21" t="s">
        <v>41</v>
      </c>
      <c r="C49" s="17"/>
      <c r="D49" s="17"/>
      <c r="E49" s="17"/>
      <c r="F49" s="17"/>
      <c r="G49" s="18"/>
      <c r="H49" s="18"/>
      <c r="I49" s="22"/>
      <c r="J49" s="18"/>
      <c r="K49" s="108"/>
      <c r="S49" s="117"/>
      <c r="T49" s="243"/>
      <c r="U49" s="243"/>
      <c r="V49" s="243"/>
      <c r="W49" s="243"/>
      <c r="X49" s="126"/>
      <c r="Y49" s="125"/>
    </row>
    <row r="50" spans="1:25" x14ac:dyDescent="0.3">
      <c r="A50" s="267"/>
      <c r="B50" s="3" t="s">
        <v>302</v>
      </c>
      <c r="C50" s="278"/>
      <c r="D50" s="278"/>
      <c r="E50" s="278"/>
      <c r="F50" s="278"/>
      <c r="G50" s="5"/>
      <c r="H50" s="5"/>
      <c r="I50" s="6"/>
      <c r="J50" s="5"/>
      <c r="K50" s="108"/>
      <c r="S50" s="117"/>
      <c r="T50" s="243"/>
      <c r="U50" s="243"/>
      <c r="V50" s="243"/>
      <c r="W50" s="243"/>
      <c r="X50" s="126"/>
      <c r="Y50" s="125"/>
    </row>
    <row r="51" spans="1:25" ht="15" thickBot="1" x14ac:dyDescent="0.35">
      <c r="A51" s="267"/>
      <c r="B51" s="7" t="s">
        <v>190</v>
      </c>
      <c r="C51" s="280"/>
      <c r="D51" s="280"/>
      <c r="E51" s="280"/>
      <c r="F51" s="280"/>
      <c r="G51" s="8"/>
      <c r="H51" s="8"/>
      <c r="I51" s="9"/>
      <c r="J51" s="5"/>
      <c r="K51" s="108"/>
      <c r="S51" s="117"/>
      <c r="T51" s="243"/>
      <c r="U51" s="243"/>
      <c r="V51" s="243"/>
      <c r="W51" s="243"/>
      <c r="X51" s="126"/>
      <c r="Y51" s="125"/>
    </row>
    <row r="52" spans="1:25" ht="15" thickBot="1" x14ac:dyDescent="0.35">
      <c r="A52" s="110"/>
      <c r="B52" s="36"/>
      <c r="C52" s="36"/>
      <c r="D52" s="36"/>
      <c r="E52" s="36"/>
      <c r="F52" s="36"/>
      <c r="G52" s="37"/>
      <c r="H52" s="37"/>
      <c r="I52" s="37"/>
      <c r="J52" s="37"/>
      <c r="K52" s="193"/>
      <c r="S52" s="117"/>
      <c r="T52" s="243"/>
      <c r="U52" s="243"/>
      <c r="V52" s="243"/>
      <c r="W52" s="243"/>
      <c r="X52" s="126"/>
      <c r="Y52" s="125"/>
    </row>
    <row r="53" spans="1:25" ht="15" thickTop="1" x14ac:dyDescent="0.3">
      <c r="A53" s="267"/>
      <c r="B53" s="265"/>
      <c r="C53" s="265"/>
      <c r="D53" s="265"/>
      <c r="E53" s="265"/>
      <c r="F53" s="265"/>
      <c r="G53" s="5"/>
      <c r="H53" s="5"/>
      <c r="I53" s="5"/>
      <c r="J53" s="5"/>
      <c r="K53" s="108"/>
      <c r="S53" s="117"/>
      <c r="T53" s="243"/>
      <c r="U53" s="243"/>
      <c r="V53" s="243"/>
      <c r="W53" s="243"/>
      <c r="X53" s="126"/>
      <c r="Y53" s="125"/>
    </row>
    <row r="54" spans="1:25" ht="21" x14ac:dyDescent="0.4">
      <c r="A54" s="267"/>
      <c r="B54" s="265"/>
      <c r="C54" s="265"/>
      <c r="D54" s="265"/>
      <c r="E54" s="265"/>
      <c r="F54" s="264" t="s">
        <v>121</v>
      </c>
      <c r="G54" s="5"/>
      <c r="H54" s="5"/>
      <c r="I54" s="5"/>
      <c r="J54" s="5"/>
      <c r="K54" s="108"/>
      <c r="S54" s="117"/>
      <c r="T54" s="243"/>
      <c r="U54" s="243"/>
      <c r="V54" s="243"/>
      <c r="W54" s="243"/>
      <c r="X54" s="126"/>
      <c r="Y54" s="125"/>
    </row>
    <row r="55" spans="1:25" x14ac:dyDescent="0.3">
      <c r="A55" s="267"/>
      <c r="B55" s="265"/>
      <c r="C55" s="265"/>
      <c r="D55" s="265"/>
      <c r="E55" s="265"/>
      <c r="F55" s="28"/>
      <c r="G55" s="5"/>
      <c r="H55" s="5"/>
      <c r="I55" s="5"/>
      <c r="J55" s="5"/>
      <c r="K55" s="108"/>
      <c r="S55" s="122"/>
      <c r="T55" s="17"/>
      <c r="U55" s="17"/>
      <c r="V55" s="17"/>
      <c r="W55" s="17"/>
      <c r="X55" s="126"/>
      <c r="Y55" s="125"/>
    </row>
    <row r="56" spans="1:25" x14ac:dyDescent="0.3">
      <c r="A56" s="267"/>
      <c r="B56" s="265"/>
      <c r="C56" s="40">
        <v>34502</v>
      </c>
      <c r="D56" s="49" t="s">
        <v>88</v>
      </c>
      <c r="E56" s="49" t="s">
        <v>10</v>
      </c>
      <c r="F56" s="49">
        <v>1</v>
      </c>
      <c r="G56" s="51">
        <v>0</v>
      </c>
      <c r="H56" s="5"/>
      <c r="I56" s="5" t="s">
        <v>303</v>
      </c>
      <c r="J56" s="5"/>
      <c r="K56" s="108"/>
      <c r="S56" s="122" t="s">
        <v>88</v>
      </c>
      <c r="T56" s="17" t="s">
        <v>10</v>
      </c>
      <c r="U56" s="17">
        <v>1</v>
      </c>
      <c r="V56" s="17">
        <v>0</v>
      </c>
      <c r="W56" s="17"/>
      <c r="X56" s="126">
        <f t="shared" ref="X56" si="19">(IF(U56&gt;V56,3,IF(U56=V56,1,2)))</f>
        <v>3</v>
      </c>
      <c r="Y56" s="125">
        <f t="shared" ref="Y56" si="20">(IF(V56&gt;U56,3,IF(U56=V56,1,2)))</f>
        <v>2</v>
      </c>
    </row>
    <row r="57" spans="1:25" ht="15" thickBot="1" x14ac:dyDescent="0.35">
      <c r="A57" s="267"/>
      <c r="B57" s="265"/>
      <c r="C57" s="58"/>
      <c r="D57" s="79"/>
      <c r="E57" s="79"/>
      <c r="F57" s="79" t="s">
        <v>170</v>
      </c>
      <c r="G57" s="81" t="s">
        <v>171</v>
      </c>
      <c r="H57" s="8"/>
      <c r="I57" s="8"/>
      <c r="J57" s="5"/>
      <c r="K57" s="108"/>
      <c r="S57" s="122" t="s">
        <v>35</v>
      </c>
      <c r="T57" s="17" t="s">
        <v>90</v>
      </c>
      <c r="U57" s="17">
        <v>2</v>
      </c>
      <c r="V57" s="17">
        <v>2</v>
      </c>
      <c r="W57" s="17"/>
      <c r="X57" s="126">
        <f t="shared" ref="X57:X61" si="21">(IF(U57&gt;V57,3,IF(U57=V57,1,2)))</f>
        <v>1</v>
      </c>
      <c r="Y57" s="125">
        <f t="shared" ref="Y57:Y61" si="22">(IF(V57&gt;U57,3,IF(U57=V57,1,2)))</f>
        <v>1</v>
      </c>
    </row>
    <row r="58" spans="1:25" x14ac:dyDescent="0.3">
      <c r="A58" s="267"/>
      <c r="B58" s="265"/>
      <c r="C58" s="40">
        <v>34502</v>
      </c>
      <c r="D58" s="49" t="s">
        <v>35</v>
      </c>
      <c r="E58" s="49" t="s">
        <v>90</v>
      </c>
      <c r="F58" s="49">
        <v>2</v>
      </c>
      <c r="G58" s="51">
        <v>2</v>
      </c>
      <c r="H58" s="5"/>
      <c r="I58" s="5" t="s">
        <v>304</v>
      </c>
      <c r="J58" s="5"/>
      <c r="K58" s="108"/>
      <c r="S58" s="122" t="s">
        <v>88</v>
      </c>
      <c r="T58" s="17" t="s">
        <v>35</v>
      </c>
      <c r="U58" s="17">
        <v>1</v>
      </c>
      <c r="V58" s="17">
        <v>1</v>
      </c>
      <c r="W58" s="17"/>
      <c r="X58" s="126">
        <f t="shared" si="21"/>
        <v>1</v>
      </c>
      <c r="Y58" s="125">
        <f t="shared" si="22"/>
        <v>1</v>
      </c>
    </row>
    <row r="59" spans="1:25" ht="15" thickBot="1" x14ac:dyDescent="0.35">
      <c r="A59" s="267"/>
      <c r="B59" s="265"/>
      <c r="C59" s="58"/>
      <c r="D59" s="79"/>
      <c r="E59" s="79"/>
      <c r="F59" s="79" t="s">
        <v>170</v>
      </c>
      <c r="G59" s="81" t="s">
        <v>171</v>
      </c>
      <c r="H59" s="8"/>
      <c r="I59" s="8"/>
      <c r="J59" s="5"/>
      <c r="K59" s="108"/>
      <c r="S59" s="122" t="s">
        <v>90</v>
      </c>
      <c r="T59" s="17" t="s">
        <v>10</v>
      </c>
      <c r="U59" s="17">
        <v>0</v>
      </c>
      <c r="V59" s="17">
        <v>0</v>
      </c>
      <c r="W59" s="17"/>
      <c r="X59" s="126">
        <f t="shared" si="21"/>
        <v>1</v>
      </c>
      <c r="Y59" s="125">
        <f t="shared" si="22"/>
        <v>1</v>
      </c>
    </row>
    <row r="60" spans="1:25" x14ac:dyDescent="0.3">
      <c r="A60" s="267"/>
      <c r="B60" s="265"/>
      <c r="C60" s="40">
        <v>34506</v>
      </c>
      <c r="D60" s="49" t="s">
        <v>88</v>
      </c>
      <c r="E60" s="49" t="s">
        <v>35</v>
      </c>
      <c r="F60" s="49">
        <v>1</v>
      </c>
      <c r="G60" s="51">
        <v>1</v>
      </c>
      <c r="H60" s="5"/>
      <c r="I60" s="5" t="s">
        <v>303</v>
      </c>
      <c r="J60" s="5"/>
      <c r="K60" s="108"/>
      <c r="S60" s="122" t="s">
        <v>10</v>
      </c>
      <c r="T60" s="17" t="s">
        <v>35</v>
      </c>
      <c r="U60" s="17">
        <v>1</v>
      </c>
      <c r="V60" s="17">
        <v>3</v>
      </c>
      <c r="W60" s="17"/>
      <c r="X60" s="126">
        <f t="shared" si="21"/>
        <v>2</v>
      </c>
      <c r="Y60" s="125">
        <f t="shared" si="22"/>
        <v>3</v>
      </c>
    </row>
    <row r="61" spans="1:25" ht="15" thickBot="1" x14ac:dyDescent="0.35">
      <c r="A61" s="267"/>
      <c r="B61" s="265"/>
      <c r="C61" s="58"/>
      <c r="D61" s="79"/>
      <c r="E61" s="79"/>
      <c r="F61" s="79" t="s">
        <v>170</v>
      </c>
      <c r="G61" s="81" t="s">
        <v>183</v>
      </c>
      <c r="H61" s="8"/>
      <c r="I61" s="8"/>
      <c r="J61" s="5"/>
      <c r="K61" s="108"/>
      <c r="S61" s="122" t="s">
        <v>88</v>
      </c>
      <c r="T61" s="17" t="s">
        <v>90</v>
      </c>
      <c r="U61" s="17">
        <v>3</v>
      </c>
      <c r="V61" s="17">
        <v>2</v>
      </c>
      <c r="W61" s="17"/>
      <c r="X61" s="126">
        <f t="shared" si="21"/>
        <v>3</v>
      </c>
      <c r="Y61" s="125">
        <f t="shared" si="22"/>
        <v>2</v>
      </c>
    </row>
    <row r="62" spans="1:25" ht="15" thickBot="1" x14ac:dyDescent="0.35">
      <c r="A62" s="267"/>
      <c r="B62" s="265"/>
      <c r="C62" s="58">
        <v>34508</v>
      </c>
      <c r="D62" s="79" t="s">
        <v>90</v>
      </c>
      <c r="E62" s="79" t="s">
        <v>10</v>
      </c>
      <c r="F62" s="79">
        <v>0</v>
      </c>
      <c r="G62" s="81">
        <v>0</v>
      </c>
      <c r="H62" s="8"/>
      <c r="I62" s="8" t="s">
        <v>305</v>
      </c>
      <c r="J62" s="5"/>
      <c r="K62" s="108"/>
      <c r="S62" s="122"/>
      <c r="T62" s="17"/>
      <c r="U62" s="17"/>
      <c r="V62" s="17"/>
      <c r="W62" s="17"/>
      <c r="X62" s="126"/>
      <c r="Y62" s="125"/>
    </row>
    <row r="63" spans="1:25" x14ac:dyDescent="0.3">
      <c r="A63" s="267"/>
      <c r="B63" s="265"/>
      <c r="C63" s="40">
        <v>34512</v>
      </c>
      <c r="D63" s="49" t="s">
        <v>10</v>
      </c>
      <c r="E63" s="49" t="s">
        <v>35</v>
      </c>
      <c r="F63" s="49">
        <v>1</v>
      </c>
      <c r="G63" s="51">
        <v>3</v>
      </c>
      <c r="H63" s="5"/>
      <c r="I63" s="5" t="s">
        <v>303</v>
      </c>
      <c r="J63" s="5"/>
      <c r="K63" s="108"/>
      <c r="S63" s="122"/>
      <c r="T63" s="17"/>
      <c r="U63" s="17"/>
      <c r="V63" s="17"/>
      <c r="W63" s="17"/>
      <c r="X63" s="126"/>
      <c r="Y63" s="125"/>
    </row>
    <row r="64" spans="1:25" ht="15" thickBot="1" x14ac:dyDescent="0.35">
      <c r="A64" s="267"/>
      <c r="B64" s="265"/>
      <c r="C64" s="58"/>
      <c r="D64" s="79"/>
      <c r="E64" s="79"/>
      <c r="F64" s="79" t="s">
        <v>170</v>
      </c>
      <c r="G64" s="81" t="s">
        <v>183</v>
      </c>
      <c r="H64" s="8"/>
      <c r="I64" s="8"/>
      <c r="J64" s="5"/>
      <c r="K64" s="108"/>
      <c r="S64" s="122"/>
      <c r="T64" s="17"/>
      <c r="U64" s="17"/>
      <c r="V64" s="17"/>
      <c r="W64" s="17"/>
      <c r="X64" s="126"/>
      <c r="Y64" s="125"/>
    </row>
    <row r="65" spans="1:25" x14ac:dyDescent="0.3">
      <c r="A65" s="267"/>
      <c r="B65" s="265"/>
      <c r="C65" s="40">
        <v>34512</v>
      </c>
      <c r="D65" s="49" t="s">
        <v>88</v>
      </c>
      <c r="E65" s="49" t="s">
        <v>90</v>
      </c>
      <c r="F65" s="49">
        <v>3</v>
      </c>
      <c r="G65" s="51">
        <v>2</v>
      </c>
      <c r="H65" s="5"/>
      <c r="I65" s="5" t="s">
        <v>304</v>
      </c>
      <c r="J65" s="5"/>
      <c r="K65" s="108"/>
      <c r="S65" s="117"/>
      <c r="T65" s="243"/>
      <c r="U65" s="243"/>
      <c r="V65" s="243"/>
      <c r="W65" s="243"/>
      <c r="X65" s="126"/>
      <c r="Y65" s="125"/>
    </row>
    <row r="66" spans="1:25" x14ac:dyDescent="0.3">
      <c r="A66" s="156"/>
      <c r="B66" s="265"/>
      <c r="C66" s="265"/>
      <c r="D66" s="49"/>
      <c r="E66" s="49"/>
      <c r="F66" s="49" t="s">
        <v>264</v>
      </c>
      <c r="G66" s="51" t="s">
        <v>171</v>
      </c>
      <c r="H66" s="5"/>
      <c r="I66" s="5"/>
      <c r="J66" s="5"/>
      <c r="K66" s="108"/>
      <c r="S66" s="117"/>
      <c r="T66" s="243"/>
      <c r="U66" s="243"/>
      <c r="V66" s="243"/>
      <c r="W66" s="243"/>
      <c r="X66" s="126"/>
      <c r="Y66" s="125"/>
    </row>
    <row r="67" spans="1:25" x14ac:dyDescent="0.3">
      <c r="A67" s="156"/>
      <c r="B67" s="265"/>
      <c r="C67" s="265"/>
      <c r="D67" s="265"/>
      <c r="E67" s="265"/>
      <c r="F67" s="265"/>
      <c r="G67" s="5"/>
      <c r="H67" s="5"/>
      <c r="I67" s="5"/>
      <c r="J67" s="5"/>
      <c r="K67" s="108"/>
      <c r="S67" s="117"/>
      <c r="T67" s="243"/>
      <c r="U67" s="243"/>
      <c r="V67" s="243"/>
      <c r="W67" s="243"/>
      <c r="X67" s="126"/>
      <c r="Y67" s="125"/>
    </row>
    <row r="68" spans="1:25" ht="15" thickBot="1" x14ac:dyDescent="0.35">
      <c r="A68" s="267"/>
      <c r="B68" s="265" t="s">
        <v>298</v>
      </c>
      <c r="C68" s="265" t="s">
        <v>12</v>
      </c>
      <c r="D68" s="265" t="s">
        <v>13</v>
      </c>
      <c r="E68" s="265" t="s">
        <v>14</v>
      </c>
      <c r="F68" s="265" t="s">
        <v>15</v>
      </c>
      <c r="G68" s="5" t="s">
        <v>24</v>
      </c>
      <c r="H68" s="5" t="s">
        <v>25</v>
      </c>
      <c r="I68" s="5" t="s">
        <v>301</v>
      </c>
      <c r="J68" s="5"/>
      <c r="K68" s="108"/>
      <c r="S68" s="117"/>
      <c r="T68" s="243"/>
      <c r="U68" s="243"/>
      <c r="V68" s="243"/>
      <c r="W68" s="243"/>
      <c r="X68" s="126"/>
      <c r="Y68" s="125"/>
    </row>
    <row r="69" spans="1:25" x14ac:dyDescent="0.3">
      <c r="A69" s="267"/>
      <c r="B69" s="14" t="s">
        <v>88</v>
      </c>
      <c r="C69" s="394">
        <v>3</v>
      </c>
      <c r="D69" s="394">
        <v>2</v>
      </c>
      <c r="E69" s="394">
        <v>1</v>
      </c>
      <c r="F69" s="394">
        <v>0</v>
      </c>
      <c r="G69" s="15">
        <v>5</v>
      </c>
      <c r="H69" s="15">
        <v>3</v>
      </c>
      <c r="I69" s="16">
        <v>7</v>
      </c>
      <c r="J69" s="18"/>
      <c r="K69" s="108"/>
      <c r="S69" s="117"/>
      <c r="T69" s="243"/>
      <c r="U69" s="243"/>
      <c r="V69" s="243"/>
      <c r="W69" s="243"/>
      <c r="X69" s="126"/>
      <c r="Y69" s="125"/>
    </row>
    <row r="70" spans="1:25" x14ac:dyDescent="0.3">
      <c r="A70" s="267"/>
      <c r="B70" s="21" t="s">
        <v>35</v>
      </c>
      <c r="C70" s="17"/>
      <c r="D70" s="17"/>
      <c r="E70" s="17"/>
      <c r="F70" s="17"/>
      <c r="G70" s="18"/>
      <c r="H70" s="18"/>
      <c r="I70" s="22"/>
      <c r="J70" s="18"/>
      <c r="K70" s="108"/>
      <c r="S70" s="117"/>
      <c r="T70" s="243"/>
      <c r="U70" s="243"/>
      <c r="V70" s="243"/>
      <c r="W70" s="243"/>
      <c r="X70" s="126"/>
      <c r="Y70" s="125"/>
    </row>
    <row r="71" spans="1:25" x14ac:dyDescent="0.3">
      <c r="A71" s="267"/>
      <c r="B71" s="3" t="s">
        <v>90</v>
      </c>
      <c r="C71" s="387"/>
      <c r="D71" s="387"/>
      <c r="E71" s="387"/>
      <c r="F71" s="387"/>
      <c r="G71" s="5"/>
      <c r="H71" s="5"/>
      <c r="I71" s="6"/>
      <c r="J71" s="5"/>
      <c r="K71" s="108"/>
      <c r="S71" s="117"/>
      <c r="T71" s="243"/>
      <c r="U71" s="243"/>
      <c r="V71" s="243"/>
      <c r="W71" s="243"/>
      <c r="X71" s="126"/>
      <c r="Y71" s="125"/>
    </row>
    <row r="72" spans="1:25" ht="15" thickBot="1" x14ac:dyDescent="0.35">
      <c r="A72" s="267"/>
      <c r="B72" s="7" t="s">
        <v>10</v>
      </c>
      <c r="C72" s="393"/>
      <c r="D72" s="393"/>
      <c r="E72" s="393"/>
      <c r="F72" s="393"/>
      <c r="G72" s="8"/>
      <c r="H72" s="8"/>
      <c r="I72" s="9"/>
      <c r="J72" s="5"/>
      <c r="K72" s="108"/>
      <c r="S72" s="117"/>
      <c r="T72" s="243"/>
      <c r="U72" s="243"/>
      <c r="V72" s="243"/>
      <c r="W72" s="243"/>
      <c r="X72" s="126"/>
      <c r="Y72" s="125"/>
    </row>
    <row r="73" spans="1:25" x14ac:dyDescent="0.3">
      <c r="A73" s="267"/>
      <c r="B73" s="265"/>
      <c r="C73" s="265"/>
      <c r="D73" s="265"/>
      <c r="E73" s="265"/>
      <c r="F73" s="265"/>
      <c r="G73" s="5"/>
      <c r="H73" s="5"/>
      <c r="I73" s="5"/>
      <c r="J73" s="5"/>
      <c r="K73" s="108"/>
      <c r="S73" s="117"/>
      <c r="T73" s="243"/>
      <c r="U73" s="243"/>
      <c r="V73" s="243"/>
      <c r="W73" s="243"/>
      <c r="X73" s="126"/>
      <c r="Y73" s="125"/>
    </row>
    <row r="74" spans="1:25" x14ac:dyDescent="0.3">
      <c r="A74" s="267"/>
      <c r="B74" s="265"/>
      <c r="C74" s="265"/>
      <c r="D74" s="265"/>
      <c r="E74" s="265"/>
      <c r="F74" s="265"/>
      <c r="G74" s="5"/>
      <c r="H74" s="5"/>
      <c r="I74" s="5"/>
      <c r="J74" s="5"/>
      <c r="K74" s="108"/>
      <c r="S74" s="117"/>
      <c r="T74" s="243"/>
      <c r="U74" s="243"/>
      <c r="V74" s="243"/>
      <c r="W74" s="243"/>
      <c r="X74" s="126"/>
      <c r="Y74" s="125"/>
    </row>
    <row r="75" spans="1:25" ht="21" x14ac:dyDescent="0.4">
      <c r="A75" s="267"/>
      <c r="B75" s="265"/>
      <c r="C75" s="265"/>
      <c r="D75" s="265"/>
      <c r="E75" s="265"/>
      <c r="F75" s="264" t="s">
        <v>122</v>
      </c>
      <c r="G75" s="5"/>
      <c r="H75" s="5"/>
      <c r="I75" s="5"/>
      <c r="J75" s="5"/>
      <c r="K75" s="108"/>
      <c r="S75" s="117"/>
      <c r="T75" s="243"/>
      <c r="U75" s="243"/>
      <c r="V75" s="243"/>
      <c r="W75" s="243"/>
      <c r="X75" s="126"/>
      <c r="Y75" s="125"/>
    </row>
    <row r="76" spans="1:25" x14ac:dyDescent="0.3">
      <c r="A76" s="267"/>
      <c r="B76" s="265"/>
      <c r="C76" s="265"/>
      <c r="D76" s="265"/>
      <c r="E76" s="265"/>
      <c r="F76" s="28"/>
      <c r="G76" s="5"/>
      <c r="H76" s="5"/>
      <c r="I76" s="5"/>
      <c r="J76" s="5"/>
      <c r="K76" s="108"/>
      <c r="S76" s="117"/>
      <c r="T76" s="243"/>
      <c r="U76" s="243"/>
      <c r="V76" s="243"/>
      <c r="W76" s="243"/>
      <c r="X76" s="126"/>
      <c r="Y76" s="125"/>
    </row>
    <row r="77" spans="1:25" x14ac:dyDescent="0.3">
      <c r="A77" s="267"/>
      <c r="B77" s="265"/>
      <c r="C77" s="40">
        <v>34506</v>
      </c>
      <c r="D77" s="49" t="s">
        <v>5</v>
      </c>
      <c r="E77" s="49" t="s">
        <v>306</v>
      </c>
      <c r="F77" s="49">
        <v>4</v>
      </c>
      <c r="G77" s="51">
        <v>0</v>
      </c>
      <c r="H77" s="5"/>
      <c r="I77" s="5" t="s">
        <v>305</v>
      </c>
      <c r="J77" s="5"/>
      <c r="K77" s="108"/>
      <c r="S77" s="117" t="s">
        <v>5</v>
      </c>
      <c r="T77" s="243" t="s">
        <v>306</v>
      </c>
      <c r="U77" s="243">
        <v>4</v>
      </c>
      <c r="V77" s="243">
        <v>0</v>
      </c>
      <c r="W77" s="243"/>
      <c r="X77" s="126">
        <f t="shared" ref="X77:X78" si="23">(IF(U77&gt;V77,3,IF(U77=V77,1,2)))</f>
        <v>3</v>
      </c>
      <c r="Y77" s="125">
        <f t="shared" ref="Y77:Y78" si="24">(IF(V77&gt;U77,3,IF(U77=V77,1,2)))</f>
        <v>2</v>
      </c>
    </row>
    <row r="78" spans="1:25" ht="15" thickBot="1" x14ac:dyDescent="0.35">
      <c r="A78" s="267"/>
      <c r="B78" s="265"/>
      <c r="C78" s="58"/>
      <c r="D78" s="79"/>
      <c r="E78" s="79"/>
      <c r="F78" s="79" t="s">
        <v>215</v>
      </c>
      <c r="G78" s="81" t="s">
        <v>171</v>
      </c>
      <c r="H78" s="8"/>
      <c r="I78" s="8"/>
      <c r="J78" s="5"/>
      <c r="K78" s="108"/>
      <c r="S78" s="117" t="s">
        <v>307</v>
      </c>
      <c r="T78" s="243" t="s">
        <v>125</v>
      </c>
      <c r="U78" s="243">
        <v>3</v>
      </c>
      <c r="V78" s="243">
        <v>0</v>
      </c>
      <c r="W78" s="243"/>
      <c r="X78" s="126">
        <f t="shared" si="23"/>
        <v>3</v>
      </c>
      <c r="Y78" s="125">
        <f t="shared" si="24"/>
        <v>2</v>
      </c>
    </row>
    <row r="79" spans="1:25" x14ac:dyDescent="0.3">
      <c r="A79" s="267"/>
      <c r="B79" s="265"/>
      <c r="C79" s="40">
        <v>34506</v>
      </c>
      <c r="D79" s="49" t="s">
        <v>307</v>
      </c>
      <c r="E79" s="49" t="s">
        <v>125</v>
      </c>
      <c r="F79" s="49">
        <v>3</v>
      </c>
      <c r="G79" s="51">
        <v>0</v>
      </c>
      <c r="H79" s="5"/>
      <c r="I79" s="5" t="s">
        <v>304</v>
      </c>
      <c r="J79" s="5"/>
      <c r="K79" s="108"/>
      <c r="S79" s="117" t="s">
        <v>5</v>
      </c>
      <c r="T79" s="243" t="s">
        <v>307</v>
      </c>
      <c r="U79" s="243">
        <v>2</v>
      </c>
      <c r="V79" s="243">
        <v>1</v>
      </c>
      <c r="W79" s="243"/>
      <c r="X79" s="126">
        <f t="shared" ref="X79:X82" si="25">(IF(U79&gt;V79,3,IF(U79=V79,1,2)))</f>
        <v>3</v>
      </c>
      <c r="Y79" s="125">
        <f t="shared" ref="Y79:Y82" si="26">(IF(V79&gt;U79,3,IF(U79=V79,1,2)))</f>
        <v>2</v>
      </c>
    </row>
    <row r="80" spans="1:25" ht="15" thickBot="1" x14ac:dyDescent="0.35">
      <c r="A80" s="267"/>
      <c r="B80" s="265"/>
      <c r="C80" s="58"/>
      <c r="D80" s="79"/>
      <c r="E80" s="79"/>
      <c r="F80" s="79" t="s">
        <v>215</v>
      </c>
      <c r="G80" s="81" t="s">
        <v>171</v>
      </c>
      <c r="H80" s="8"/>
      <c r="I80" s="8"/>
      <c r="J80" s="5"/>
      <c r="K80" s="108"/>
      <c r="S80" s="117" t="s">
        <v>125</v>
      </c>
      <c r="T80" s="243" t="s">
        <v>306</v>
      </c>
      <c r="U80" s="243">
        <v>4</v>
      </c>
      <c r="V80" s="243">
        <v>0</v>
      </c>
      <c r="W80" s="243"/>
      <c r="X80" s="126">
        <f t="shared" si="25"/>
        <v>3</v>
      </c>
      <c r="Y80" s="125">
        <f t="shared" si="26"/>
        <v>2</v>
      </c>
    </row>
    <row r="81" spans="1:25" x14ac:dyDescent="0.3">
      <c r="A81" s="267"/>
      <c r="B81" s="265"/>
      <c r="C81" s="40">
        <v>34510</v>
      </c>
      <c r="D81" s="49" t="s">
        <v>5</v>
      </c>
      <c r="E81" s="49" t="s">
        <v>307</v>
      </c>
      <c r="F81" s="49">
        <v>2</v>
      </c>
      <c r="G81" s="51">
        <v>1</v>
      </c>
      <c r="H81" s="5"/>
      <c r="I81" s="5" t="s">
        <v>305</v>
      </c>
      <c r="J81" s="5"/>
      <c r="K81" s="108"/>
      <c r="S81" s="117" t="s">
        <v>306</v>
      </c>
      <c r="T81" s="243" t="s">
        <v>307</v>
      </c>
      <c r="U81" s="243">
        <v>0</v>
      </c>
      <c r="V81" s="243">
        <v>2</v>
      </c>
      <c r="W81" s="243"/>
      <c r="X81" s="126">
        <f t="shared" si="25"/>
        <v>2</v>
      </c>
      <c r="Y81" s="125">
        <f t="shared" si="26"/>
        <v>3</v>
      </c>
    </row>
    <row r="82" spans="1:25" ht="15" thickBot="1" x14ac:dyDescent="0.35">
      <c r="A82" s="267"/>
      <c r="B82" s="265"/>
      <c r="C82" s="58"/>
      <c r="D82" s="79"/>
      <c r="E82" s="79"/>
      <c r="F82" s="79" t="s">
        <v>215</v>
      </c>
      <c r="G82" s="81" t="s">
        <v>183</v>
      </c>
      <c r="H82" s="8"/>
      <c r="I82" s="8"/>
      <c r="J82" s="5"/>
      <c r="K82" s="108"/>
      <c r="S82" s="117" t="s">
        <v>5</v>
      </c>
      <c r="T82" s="243" t="s">
        <v>125</v>
      </c>
      <c r="U82" s="243">
        <v>0</v>
      </c>
      <c r="V82" s="243">
        <v>2</v>
      </c>
      <c r="W82" s="243"/>
      <c r="X82" s="126">
        <f t="shared" si="25"/>
        <v>2</v>
      </c>
      <c r="Y82" s="125">
        <f t="shared" si="26"/>
        <v>3</v>
      </c>
    </row>
    <row r="83" spans="1:25" x14ac:dyDescent="0.3">
      <c r="A83" s="267"/>
      <c r="B83" s="265"/>
      <c r="C83" s="40">
        <v>34511</v>
      </c>
      <c r="D83" s="49" t="s">
        <v>125</v>
      </c>
      <c r="E83" s="49" t="s">
        <v>306</v>
      </c>
      <c r="F83" s="49">
        <v>4</v>
      </c>
      <c r="G83" s="51">
        <v>0</v>
      </c>
      <c r="H83" s="5"/>
      <c r="I83" s="5" t="s">
        <v>303</v>
      </c>
      <c r="J83" s="5"/>
      <c r="K83" s="108"/>
      <c r="S83" s="117"/>
      <c r="T83" s="243"/>
      <c r="U83" s="243"/>
      <c r="V83" s="243"/>
      <c r="W83" s="243"/>
      <c r="X83" s="126"/>
      <c r="Y83" s="125"/>
    </row>
    <row r="84" spans="1:25" ht="15" thickBot="1" x14ac:dyDescent="0.35">
      <c r="A84" s="267"/>
      <c r="B84" s="265"/>
      <c r="C84" s="58"/>
      <c r="D84" s="79"/>
      <c r="E84" s="79"/>
      <c r="F84" s="79" t="s">
        <v>172</v>
      </c>
      <c r="G84" s="81" t="s">
        <v>171</v>
      </c>
      <c r="H84" s="8"/>
      <c r="I84" s="8"/>
      <c r="J84" s="5"/>
      <c r="K84" s="108"/>
      <c r="S84" s="117"/>
      <c r="T84" s="243"/>
      <c r="U84" s="243"/>
      <c r="V84" s="243"/>
      <c r="W84" s="243"/>
      <c r="X84" s="126"/>
      <c r="Y84" s="125"/>
    </row>
    <row r="85" spans="1:25" x14ac:dyDescent="0.3">
      <c r="A85" s="267"/>
      <c r="B85" s="265"/>
      <c r="C85" s="40">
        <v>34515</v>
      </c>
      <c r="D85" s="49" t="s">
        <v>306</v>
      </c>
      <c r="E85" s="49" t="s">
        <v>307</v>
      </c>
      <c r="F85" s="49">
        <v>0</v>
      </c>
      <c r="G85" s="51">
        <v>2</v>
      </c>
      <c r="H85" s="5"/>
      <c r="I85" s="5" t="s">
        <v>305</v>
      </c>
      <c r="J85" s="5"/>
      <c r="K85" s="108"/>
      <c r="S85" s="117"/>
      <c r="T85" s="243"/>
      <c r="U85" s="243"/>
      <c r="V85" s="243"/>
      <c r="W85" s="243"/>
      <c r="X85" s="126"/>
      <c r="Y85" s="125"/>
    </row>
    <row r="86" spans="1:25" ht="15" thickBot="1" x14ac:dyDescent="0.35">
      <c r="A86" s="267"/>
      <c r="B86" s="265"/>
      <c r="C86" s="58"/>
      <c r="D86" s="79"/>
      <c r="E86" s="79"/>
      <c r="F86" s="79" t="s">
        <v>170</v>
      </c>
      <c r="G86" s="81" t="s">
        <v>183</v>
      </c>
      <c r="H86" s="8"/>
      <c r="I86" s="8"/>
      <c r="J86" s="5"/>
      <c r="K86" s="108"/>
      <c r="S86" s="117"/>
      <c r="T86" s="243"/>
      <c r="U86" s="243"/>
      <c r="V86" s="243"/>
      <c r="W86" s="243"/>
      <c r="X86" s="126"/>
      <c r="Y86" s="125"/>
    </row>
    <row r="87" spans="1:25" x14ac:dyDescent="0.3">
      <c r="A87" s="267"/>
      <c r="B87" s="17"/>
      <c r="C87" s="40">
        <v>34515</v>
      </c>
      <c r="D87" s="43" t="s">
        <v>5</v>
      </c>
      <c r="E87" s="43" t="s">
        <v>125</v>
      </c>
      <c r="F87" s="49">
        <v>0</v>
      </c>
      <c r="G87" s="51">
        <v>2</v>
      </c>
      <c r="H87" s="5"/>
      <c r="I87" s="5" t="s">
        <v>304</v>
      </c>
      <c r="J87" s="5"/>
      <c r="K87" s="108"/>
      <c r="S87" s="117"/>
      <c r="T87" s="243"/>
      <c r="U87" s="243"/>
      <c r="V87" s="243"/>
      <c r="W87" s="243"/>
      <c r="X87" s="243"/>
      <c r="Y87" s="118"/>
    </row>
    <row r="88" spans="1:25" x14ac:dyDescent="0.3">
      <c r="A88" s="156"/>
      <c r="B88" s="17"/>
      <c r="C88" s="17"/>
      <c r="D88" s="43"/>
      <c r="E88" s="43"/>
      <c r="F88" s="49" t="s">
        <v>170</v>
      </c>
      <c r="G88" s="51" t="s">
        <v>171</v>
      </c>
      <c r="H88" s="5"/>
      <c r="I88" s="5"/>
      <c r="J88" s="5"/>
      <c r="K88" s="108"/>
      <c r="S88" s="117"/>
      <c r="T88" s="243"/>
      <c r="U88" s="243"/>
      <c r="V88" s="243"/>
      <c r="W88" s="243"/>
      <c r="X88" s="126"/>
      <c r="Y88" s="125"/>
    </row>
    <row r="89" spans="1:25" x14ac:dyDescent="0.3">
      <c r="A89" s="156"/>
      <c r="B89" s="17"/>
      <c r="C89" s="17"/>
      <c r="D89" s="17"/>
      <c r="E89" s="17"/>
      <c r="F89" s="265"/>
      <c r="G89" s="5"/>
      <c r="H89" s="5"/>
      <c r="I89" s="5"/>
      <c r="J89" s="5"/>
      <c r="K89" s="108"/>
      <c r="S89" s="117"/>
      <c r="T89" s="243"/>
      <c r="U89" s="243"/>
      <c r="V89" s="243"/>
      <c r="W89" s="243"/>
      <c r="X89" s="126"/>
      <c r="Y89" s="125"/>
    </row>
    <row r="90" spans="1:25" ht="15" thickBot="1" x14ac:dyDescent="0.35">
      <c r="A90" s="267"/>
      <c r="B90" s="265" t="s">
        <v>298</v>
      </c>
      <c r="C90" s="265" t="s">
        <v>12</v>
      </c>
      <c r="D90" s="265" t="s">
        <v>13</v>
      </c>
      <c r="E90" s="265" t="s">
        <v>14</v>
      </c>
      <c r="F90" s="265" t="s">
        <v>15</v>
      </c>
      <c r="G90" s="5" t="s">
        <v>24</v>
      </c>
      <c r="H90" s="5" t="s">
        <v>25</v>
      </c>
      <c r="I90" s="5" t="s">
        <v>301</v>
      </c>
      <c r="J90" s="5"/>
      <c r="K90" s="108"/>
      <c r="S90" s="117"/>
      <c r="T90" s="243"/>
      <c r="U90" s="243"/>
      <c r="V90" s="243"/>
      <c r="W90" s="243"/>
      <c r="X90" s="126"/>
      <c r="Y90" s="125"/>
    </row>
    <row r="91" spans="1:25" x14ac:dyDescent="0.3">
      <c r="A91" s="267"/>
      <c r="B91" s="14" t="s">
        <v>307</v>
      </c>
      <c r="C91" s="394">
        <v>3</v>
      </c>
      <c r="D91" s="394">
        <v>2</v>
      </c>
      <c r="E91" s="394">
        <v>0</v>
      </c>
      <c r="F91" s="394">
        <v>1</v>
      </c>
      <c r="G91" s="15">
        <v>6</v>
      </c>
      <c r="H91" s="15">
        <v>2</v>
      </c>
      <c r="I91" s="16">
        <v>6</v>
      </c>
      <c r="J91" s="18"/>
      <c r="K91" s="108"/>
      <c r="S91" s="117"/>
      <c r="T91" s="243"/>
      <c r="U91" s="243"/>
      <c r="V91" s="243"/>
      <c r="W91" s="243"/>
      <c r="X91" s="126"/>
      <c r="Y91" s="125"/>
    </row>
    <row r="92" spans="1:25" x14ac:dyDescent="0.3">
      <c r="A92" s="267"/>
      <c r="B92" s="21" t="s">
        <v>125</v>
      </c>
      <c r="C92" s="17"/>
      <c r="D92" s="17"/>
      <c r="E92" s="17"/>
      <c r="F92" s="17"/>
      <c r="G92" s="18"/>
      <c r="H92" s="18"/>
      <c r="I92" s="22"/>
      <c r="J92" s="18"/>
      <c r="K92" s="108"/>
      <c r="S92" s="117"/>
      <c r="T92" s="243"/>
      <c r="U92" s="243"/>
      <c r="V92" s="243"/>
      <c r="W92" s="243"/>
      <c r="X92" s="243"/>
      <c r="Y92" s="118"/>
    </row>
    <row r="93" spans="1:25" x14ac:dyDescent="0.3">
      <c r="A93" s="267"/>
      <c r="B93" s="3" t="s">
        <v>5</v>
      </c>
      <c r="C93" s="387"/>
      <c r="D93" s="387"/>
      <c r="E93" s="387"/>
      <c r="F93" s="387"/>
      <c r="G93" s="5"/>
      <c r="H93" s="5"/>
      <c r="I93" s="6"/>
      <c r="J93" s="5"/>
      <c r="K93" s="108"/>
      <c r="S93" s="117"/>
      <c r="T93" s="243"/>
      <c r="U93" s="243"/>
      <c r="V93" s="243"/>
      <c r="W93" s="243"/>
      <c r="X93" s="243"/>
      <c r="Y93" s="118"/>
    </row>
    <row r="94" spans="1:25" ht="15" thickBot="1" x14ac:dyDescent="0.35">
      <c r="A94" s="267"/>
      <c r="B94" s="7" t="s">
        <v>306</v>
      </c>
      <c r="C94" s="393"/>
      <c r="D94" s="393"/>
      <c r="E94" s="393"/>
      <c r="F94" s="393"/>
      <c r="G94" s="8"/>
      <c r="H94" s="8"/>
      <c r="I94" s="9"/>
      <c r="J94" s="5"/>
      <c r="K94" s="108"/>
      <c r="S94" s="117"/>
      <c r="T94" s="243"/>
      <c r="U94" s="243"/>
      <c r="V94" s="243"/>
      <c r="W94" s="243"/>
      <c r="X94" s="243"/>
      <c r="Y94" s="118"/>
    </row>
    <row r="95" spans="1:25" x14ac:dyDescent="0.3">
      <c r="A95" s="267"/>
      <c r="B95" s="265"/>
      <c r="C95" s="265"/>
      <c r="D95" s="265"/>
      <c r="E95" s="265"/>
      <c r="F95" s="265"/>
      <c r="G95" s="5"/>
      <c r="H95" s="5"/>
      <c r="I95" s="5"/>
      <c r="J95" s="5"/>
      <c r="K95" s="108"/>
      <c r="S95" s="117"/>
      <c r="T95" s="243"/>
      <c r="U95" s="243"/>
      <c r="V95" s="243"/>
      <c r="W95" s="243"/>
      <c r="X95" s="126"/>
      <c r="Y95" s="125"/>
    </row>
    <row r="96" spans="1:25" x14ac:dyDescent="0.3">
      <c r="A96" s="267"/>
      <c r="B96" s="265"/>
      <c r="C96" s="67" t="s">
        <v>308</v>
      </c>
      <c r="D96" s="265"/>
      <c r="E96" s="265"/>
      <c r="F96" s="265"/>
      <c r="G96" s="5"/>
      <c r="H96" s="5"/>
      <c r="I96" s="5"/>
      <c r="J96" s="5"/>
      <c r="K96" s="108"/>
      <c r="S96" s="117"/>
      <c r="T96" s="243"/>
      <c r="U96" s="243"/>
      <c r="V96" s="243"/>
      <c r="W96" s="243"/>
      <c r="X96" s="126"/>
      <c r="Y96" s="125"/>
    </row>
    <row r="97" spans="1:25" x14ac:dyDescent="0.3">
      <c r="A97" s="267"/>
      <c r="B97" s="265"/>
      <c r="C97" s="265"/>
      <c r="D97" s="265"/>
      <c r="E97" s="265"/>
      <c r="F97" s="265"/>
      <c r="G97" s="5"/>
      <c r="H97" s="5"/>
      <c r="I97" s="5"/>
      <c r="J97" s="5"/>
      <c r="K97" s="108"/>
      <c r="S97" s="117"/>
      <c r="T97" s="243"/>
      <c r="U97" s="243"/>
      <c r="V97" s="243"/>
      <c r="W97" s="243"/>
      <c r="X97" s="126"/>
      <c r="Y97" s="125"/>
    </row>
    <row r="98" spans="1:25" x14ac:dyDescent="0.3">
      <c r="A98" s="267"/>
      <c r="B98" s="265"/>
      <c r="C98" s="265"/>
      <c r="D98" s="265"/>
      <c r="E98" s="265"/>
      <c r="F98" s="265"/>
      <c r="G98" s="5"/>
      <c r="H98" s="5"/>
      <c r="I98" s="5"/>
      <c r="J98" s="5"/>
      <c r="K98" s="108"/>
      <c r="S98" s="117"/>
      <c r="T98" s="243"/>
      <c r="U98" s="243"/>
      <c r="V98" s="243"/>
      <c r="W98" s="243"/>
      <c r="X98" s="126"/>
      <c r="Y98" s="125"/>
    </row>
    <row r="99" spans="1:25" ht="21" x14ac:dyDescent="0.4">
      <c r="A99" s="267"/>
      <c r="B99" s="265"/>
      <c r="C99" s="265"/>
      <c r="D99" s="265"/>
      <c r="E99" s="265"/>
      <c r="F99" s="264" t="s">
        <v>246</v>
      </c>
      <c r="G99" s="5"/>
      <c r="H99" s="5"/>
      <c r="I99" s="5"/>
      <c r="J99" s="5"/>
      <c r="K99" s="108"/>
      <c r="S99" s="117"/>
      <c r="T99" s="243"/>
      <c r="U99" s="243"/>
      <c r="V99" s="243"/>
      <c r="W99" s="243"/>
      <c r="X99" s="126"/>
      <c r="Y99" s="125"/>
    </row>
    <row r="100" spans="1:25" x14ac:dyDescent="0.3">
      <c r="A100" s="267"/>
      <c r="B100" s="265"/>
      <c r="C100" s="265"/>
      <c r="D100" s="265"/>
      <c r="E100" s="265"/>
      <c r="F100" s="28"/>
      <c r="G100" s="5"/>
      <c r="H100" s="5"/>
      <c r="I100" s="5"/>
      <c r="J100" s="5"/>
      <c r="K100" s="108"/>
      <c r="S100" s="117"/>
      <c r="T100" s="243"/>
      <c r="U100" s="243"/>
      <c r="V100" s="243"/>
      <c r="W100" s="243"/>
      <c r="X100" s="126"/>
      <c r="Y100" s="125"/>
    </row>
    <row r="101" spans="1:25" x14ac:dyDescent="0.3">
      <c r="A101" s="267"/>
      <c r="B101" s="265"/>
      <c r="C101" s="40">
        <v>34503</v>
      </c>
      <c r="D101" s="49" t="s">
        <v>37</v>
      </c>
      <c r="E101" s="49" t="s">
        <v>290</v>
      </c>
      <c r="F101" s="49">
        <v>0</v>
      </c>
      <c r="G101" s="51">
        <v>1</v>
      </c>
      <c r="H101" s="5"/>
      <c r="I101" s="5" t="s">
        <v>309</v>
      </c>
      <c r="J101" s="5"/>
      <c r="K101" s="108"/>
      <c r="S101" s="117" t="s">
        <v>37</v>
      </c>
      <c r="T101" s="243" t="s">
        <v>290</v>
      </c>
      <c r="U101" s="243">
        <v>0</v>
      </c>
      <c r="V101" s="243">
        <v>1</v>
      </c>
      <c r="W101" s="243"/>
      <c r="X101" s="126">
        <f t="shared" ref="X101:X106" si="27">(IF(U101&gt;V101,3,IF(U101=V101,1,2)))</f>
        <v>2</v>
      </c>
      <c r="Y101" s="125">
        <f t="shared" ref="Y101:Y106" si="28">(IF(V101&gt;U101,3,IF(U101=V101,1,2)))</f>
        <v>3</v>
      </c>
    </row>
    <row r="102" spans="1:25" ht="15" thickBot="1" x14ac:dyDescent="0.35">
      <c r="A102" s="267"/>
      <c r="B102" s="265"/>
      <c r="C102" s="58"/>
      <c r="D102" s="79"/>
      <c r="E102" s="79"/>
      <c r="F102" s="79" t="s">
        <v>170</v>
      </c>
      <c r="G102" s="81" t="s">
        <v>183</v>
      </c>
      <c r="H102" s="8"/>
      <c r="I102" s="8"/>
      <c r="J102" s="5"/>
      <c r="K102" s="108"/>
      <c r="S102" s="117" t="s">
        <v>59</v>
      </c>
      <c r="T102" s="243" t="s">
        <v>4</v>
      </c>
      <c r="U102" s="243">
        <v>1</v>
      </c>
      <c r="V102" s="243">
        <v>0</v>
      </c>
      <c r="W102" s="243"/>
      <c r="X102" s="126">
        <f t="shared" si="27"/>
        <v>3</v>
      </c>
      <c r="Y102" s="125">
        <f t="shared" si="28"/>
        <v>2</v>
      </c>
    </row>
    <row r="103" spans="1:25" x14ac:dyDescent="0.3">
      <c r="A103" s="267"/>
      <c r="B103" s="265"/>
      <c r="C103" s="40">
        <v>34504</v>
      </c>
      <c r="D103" s="49" t="s">
        <v>59</v>
      </c>
      <c r="E103" s="49" t="s">
        <v>4</v>
      </c>
      <c r="F103" s="49">
        <v>1</v>
      </c>
      <c r="G103" s="51">
        <v>0</v>
      </c>
      <c r="H103" s="5"/>
      <c r="I103" s="5" t="s">
        <v>310</v>
      </c>
      <c r="J103" s="5"/>
      <c r="K103" s="108"/>
      <c r="S103" s="117" t="s">
        <v>37</v>
      </c>
      <c r="T103" s="243" t="s">
        <v>59</v>
      </c>
      <c r="U103" s="243">
        <v>1</v>
      </c>
      <c r="V103" s="243">
        <v>0</v>
      </c>
      <c r="W103" s="243"/>
      <c r="X103" s="126">
        <f t="shared" si="27"/>
        <v>3</v>
      </c>
      <c r="Y103" s="125">
        <f t="shared" si="28"/>
        <v>2</v>
      </c>
    </row>
    <row r="104" spans="1:25" ht="15" thickBot="1" x14ac:dyDescent="0.35">
      <c r="A104" s="267"/>
      <c r="B104" s="265"/>
      <c r="C104" s="58"/>
      <c r="D104" s="79"/>
      <c r="E104" s="79"/>
      <c r="F104" s="79" t="s">
        <v>170</v>
      </c>
      <c r="G104" s="81" t="s">
        <v>171</v>
      </c>
      <c r="H104" s="8"/>
      <c r="I104" s="8"/>
      <c r="J104" s="5"/>
      <c r="K104" s="108"/>
      <c r="S104" s="117" t="s">
        <v>4</v>
      </c>
      <c r="T104" s="243" t="s">
        <v>290</v>
      </c>
      <c r="U104" s="243">
        <v>2</v>
      </c>
      <c r="V104" s="243">
        <v>1</v>
      </c>
      <c r="W104" s="243"/>
      <c r="X104" s="126">
        <f t="shared" si="27"/>
        <v>3</v>
      </c>
      <c r="Y104" s="125">
        <f t="shared" si="28"/>
        <v>2</v>
      </c>
    </row>
    <row r="105" spans="1:25" x14ac:dyDescent="0.3">
      <c r="A105" s="267"/>
      <c r="B105" s="265"/>
      <c r="C105" s="40">
        <v>34508</v>
      </c>
      <c r="D105" s="49" t="s">
        <v>37</v>
      </c>
      <c r="E105" s="49" t="s">
        <v>59</v>
      </c>
      <c r="F105" s="49">
        <v>1</v>
      </c>
      <c r="G105" s="51">
        <v>0</v>
      </c>
      <c r="H105" s="5"/>
      <c r="I105" s="5" t="s">
        <v>309</v>
      </c>
      <c r="J105" s="5"/>
      <c r="K105" s="108"/>
      <c r="S105" s="117" t="s">
        <v>290</v>
      </c>
      <c r="T105" s="243" t="s">
        <v>59</v>
      </c>
      <c r="U105" s="243">
        <v>0</v>
      </c>
      <c r="V105" s="243">
        <v>0</v>
      </c>
      <c r="W105" s="243"/>
      <c r="X105" s="126">
        <f t="shared" si="27"/>
        <v>1</v>
      </c>
      <c r="Y105" s="125">
        <f t="shared" si="28"/>
        <v>1</v>
      </c>
    </row>
    <row r="106" spans="1:25" ht="15" thickBot="1" x14ac:dyDescent="0.35">
      <c r="A106" s="267"/>
      <c r="B106" s="265"/>
      <c r="C106" s="58"/>
      <c r="D106" s="79"/>
      <c r="E106" s="79"/>
      <c r="F106" s="79" t="s">
        <v>170</v>
      </c>
      <c r="G106" s="81" t="s">
        <v>171</v>
      </c>
      <c r="H106" s="8"/>
      <c r="I106" s="8"/>
      <c r="J106" s="5"/>
      <c r="K106" s="108"/>
      <c r="S106" s="117" t="s">
        <v>37</v>
      </c>
      <c r="T106" s="243" t="s">
        <v>4</v>
      </c>
      <c r="U106" s="243">
        <v>1</v>
      </c>
      <c r="V106" s="243">
        <v>1</v>
      </c>
      <c r="W106" s="243"/>
      <c r="X106" s="126">
        <f t="shared" si="27"/>
        <v>1</v>
      </c>
      <c r="Y106" s="125">
        <f t="shared" si="28"/>
        <v>1</v>
      </c>
    </row>
    <row r="107" spans="1:25" x14ac:dyDescent="0.3">
      <c r="A107" s="267"/>
      <c r="B107" s="265"/>
      <c r="C107" s="40">
        <v>34509</v>
      </c>
      <c r="D107" s="49" t="s">
        <v>4</v>
      </c>
      <c r="E107" s="49" t="s">
        <v>290</v>
      </c>
      <c r="F107" s="49">
        <v>2</v>
      </c>
      <c r="G107" s="51">
        <v>1</v>
      </c>
      <c r="H107" s="5"/>
      <c r="I107" s="5" t="s">
        <v>311</v>
      </c>
      <c r="J107" s="5"/>
      <c r="K107" s="108"/>
      <c r="S107" s="117"/>
      <c r="T107" s="243"/>
      <c r="U107" s="243"/>
      <c r="V107" s="243"/>
      <c r="W107" s="243"/>
      <c r="X107" s="126"/>
      <c r="Y107" s="125"/>
    </row>
    <row r="108" spans="1:25" ht="15" thickBot="1" x14ac:dyDescent="0.35">
      <c r="A108" s="267"/>
      <c r="B108" s="265"/>
      <c r="C108" s="58"/>
      <c r="D108" s="79"/>
      <c r="E108" s="79"/>
      <c r="F108" s="79" t="s">
        <v>172</v>
      </c>
      <c r="G108" s="81" t="s">
        <v>171</v>
      </c>
      <c r="H108" s="8"/>
      <c r="I108" s="8"/>
      <c r="J108" s="5"/>
      <c r="K108" s="108"/>
      <c r="S108" s="117"/>
      <c r="T108" s="243"/>
      <c r="U108" s="243"/>
      <c r="V108" s="243"/>
      <c r="W108" s="243"/>
      <c r="X108" s="126"/>
      <c r="Y108" s="125"/>
    </row>
    <row r="109" spans="1:25" ht="15" thickBot="1" x14ac:dyDescent="0.35">
      <c r="A109" s="267"/>
      <c r="B109" s="265"/>
      <c r="C109" s="58">
        <v>34513</v>
      </c>
      <c r="D109" s="79" t="s">
        <v>290</v>
      </c>
      <c r="E109" s="79" t="s">
        <v>59</v>
      </c>
      <c r="F109" s="79">
        <v>0</v>
      </c>
      <c r="G109" s="81">
        <v>0</v>
      </c>
      <c r="H109" s="8"/>
      <c r="I109" s="8" t="s">
        <v>309</v>
      </c>
      <c r="J109" s="5"/>
      <c r="K109" s="108"/>
      <c r="S109" s="117"/>
      <c r="T109" s="243"/>
      <c r="U109" s="243"/>
      <c r="V109" s="243"/>
      <c r="W109" s="243"/>
      <c r="X109" s="126"/>
      <c r="Y109" s="125"/>
    </row>
    <row r="110" spans="1:25" x14ac:dyDescent="0.3">
      <c r="A110" s="267"/>
      <c r="B110" s="17"/>
      <c r="C110" s="40">
        <v>34513</v>
      </c>
      <c r="D110" s="43" t="s">
        <v>37</v>
      </c>
      <c r="E110" s="43" t="s">
        <v>4</v>
      </c>
      <c r="F110" s="49">
        <v>1</v>
      </c>
      <c r="G110" s="51">
        <v>1</v>
      </c>
      <c r="H110" s="5"/>
      <c r="I110" s="5" t="s">
        <v>310</v>
      </c>
      <c r="J110" s="5"/>
      <c r="K110" s="108"/>
      <c r="S110" s="117"/>
      <c r="T110" s="243"/>
      <c r="U110" s="243"/>
      <c r="V110" s="243"/>
      <c r="W110" s="243"/>
      <c r="X110" s="126"/>
      <c r="Y110" s="125"/>
    </row>
    <row r="111" spans="1:25" x14ac:dyDescent="0.3">
      <c r="A111" s="156"/>
      <c r="B111" s="17"/>
      <c r="C111" s="17"/>
      <c r="D111" s="43"/>
      <c r="E111" s="43"/>
      <c r="F111" s="49" t="s">
        <v>170</v>
      </c>
      <c r="G111" s="51" t="s">
        <v>171</v>
      </c>
      <c r="H111" s="5"/>
      <c r="I111" s="5"/>
      <c r="J111" s="5"/>
      <c r="K111" s="108"/>
      <c r="S111" s="117"/>
      <c r="T111" s="243"/>
      <c r="U111" s="243"/>
      <c r="V111" s="243"/>
      <c r="W111" s="243"/>
      <c r="X111" s="126"/>
      <c r="Y111" s="125"/>
    </row>
    <row r="112" spans="1:25" x14ac:dyDescent="0.3">
      <c r="A112" s="156"/>
      <c r="B112" s="17"/>
      <c r="C112" s="17"/>
      <c r="D112" s="17"/>
      <c r="E112" s="17"/>
      <c r="F112" s="265"/>
      <c r="G112" s="5"/>
      <c r="H112" s="5"/>
      <c r="I112" s="5"/>
      <c r="J112" s="5"/>
      <c r="K112" s="108"/>
      <c r="S112" s="117"/>
      <c r="T112" s="243"/>
      <c r="U112" s="243"/>
      <c r="V112" s="243"/>
      <c r="W112" s="243"/>
      <c r="X112" s="126"/>
      <c r="Y112" s="125"/>
    </row>
    <row r="113" spans="1:25" ht="15" thickBot="1" x14ac:dyDescent="0.35">
      <c r="A113" s="267"/>
      <c r="B113" s="265" t="s">
        <v>298</v>
      </c>
      <c r="C113" s="265" t="s">
        <v>12</v>
      </c>
      <c r="D113" s="265" t="s">
        <v>13</v>
      </c>
      <c r="E113" s="265" t="s">
        <v>14</v>
      </c>
      <c r="F113" s="265" t="s">
        <v>15</v>
      </c>
      <c r="G113" s="5" t="s">
        <v>24</v>
      </c>
      <c r="H113" s="5" t="s">
        <v>25</v>
      </c>
      <c r="I113" s="5" t="s">
        <v>301</v>
      </c>
      <c r="J113" s="5"/>
      <c r="K113" s="108"/>
      <c r="S113" s="117"/>
      <c r="T113" s="243"/>
      <c r="U113" s="243"/>
      <c r="V113" s="243"/>
      <c r="W113" s="243"/>
      <c r="X113" s="243"/>
      <c r="Y113" s="118"/>
    </row>
    <row r="114" spans="1:25" x14ac:dyDescent="0.3">
      <c r="A114" s="267"/>
      <c r="B114" s="14" t="s">
        <v>4</v>
      </c>
      <c r="C114" s="394">
        <v>3</v>
      </c>
      <c r="D114" s="394">
        <v>1</v>
      </c>
      <c r="E114" s="394">
        <v>1</v>
      </c>
      <c r="F114" s="394">
        <v>1</v>
      </c>
      <c r="G114" s="15">
        <v>3</v>
      </c>
      <c r="H114" s="15">
        <v>3</v>
      </c>
      <c r="I114" s="16">
        <v>4</v>
      </c>
      <c r="J114" s="18"/>
      <c r="K114" s="108"/>
      <c r="S114" s="117"/>
      <c r="T114" s="243"/>
      <c r="U114" s="243"/>
      <c r="V114" s="243"/>
      <c r="W114" s="243"/>
      <c r="X114" s="243"/>
      <c r="Y114" s="118"/>
    </row>
    <row r="115" spans="1:25" x14ac:dyDescent="0.3">
      <c r="A115" s="267"/>
      <c r="B115" s="21" t="s">
        <v>290</v>
      </c>
      <c r="C115" s="17"/>
      <c r="D115" s="17"/>
      <c r="E115" s="17"/>
      <c r="F115" s="17"/>
      <c r="G115" s="18"/>
      <c r="H115" s="18"/>
      <c r="I115" s="22"/>
      <c r="J115" s="18"/>
      <c r="K115" s="108"/>
      <c r="S115" s="117"/>
      <c r="T115" s="243"/>
      <c r="U115" s="243"/>
      <c r="V115" s="243"/>
      <c r="W115" s="243"/>
      <c r="X115" s="126"/>
      <c r="Y115" s="125"/>
    </row>
    <row r="116" spans="1:25" x14ac:dyDescent="0.3">
      <c r="A116" s="267"/>
      <c r="B116" s="3" t="s">
        <v>37</v>
      </c>
      <c r="C116" s="387"/>
      <c r="D116" s="387"/>
      <c r="E116" s="387"/>
      <c r="F116" s="387"/>
      <c r="G116" s="5"/>
      <c r="H116" s="5"/>
      <c r="I116" s="6"/>
      <c r="J116" s="5"/>
      <c r="K116" s="108"/>
      <c r="S116" s="117"/>
      <c r="T116" s="243"/>
      <c r="U116" s="243"/>
      <c r="V116" s="243"/>
      <c r="W116" s="243"/>
      <c r="X116" s="126"/>
      <c r="Y116" s="125"/>
    </row>
    <row r="117" spans="1:25" ht="15" thickBot="1" x14ac:dyDescent="0.35">
      <c r="A117" s="267"/>
      <c r="B117" s="7" t="s">
        <v>59</v>
      </c>
      <c r="C117" s="393"/>
      <c r="D117" s="393"/>
      <c r="E117" s="393"/>
      <c r="F117" s="393"/>
      <c r="G117" s="8"/>
      <c r="H117" s="8"/>
      <c r="I117" s="9"/>
      <c r="J117" s="5"/>
      <c r="K117" s="108"/>
      <c r="S117" s="117"/>
      <c r="T117" s="243"/>
      <c r="U117" s="243"/>
      <c r="V117" s="243"/>
      <c r="W117" s="243"/>
      <c r="X117" s="126"/>
      <c r="Y117" s="125"/>
    </row>
    <row r="118" spans="1:25" x14ac:dyDescent="0.3">
      <c r="A118" s="267"/>
      <c r="B118" s="265"/>
      <c r="C118" s="265"/>
      <c r="D118" s="265"/>
      <c r="E118" s="265"/>
      <c r="F118" s="265"/>
      <c r="G118" s="5"/>
      <c r="H118" s="5"/>
      <c r="I118" s="5"/>
      <c r="J118" s="5"/>
      <c r="K118" s="108"/>
      <c r="S118" s="117"/>
      <c r="T118" s="243"/>
      <c r="U118" s="243"/>
      <c r="V118" s="243"/>
      <c r="W118" s="243"/>
      <c r="X118" s="126"/>
      <c r="Y118" s="125"/>
    </row>
    <row r="119" spans="1:25" x14ac:dyDescent="0.3">
      <c r="A119" s="267"/>
      <c r="B119" s="265"/>
      <c r="C119" s="67" t="s">
        <v>312</v>
      </c>
      <c r="D119" s="265"/>
      <c r="E119" s="265"/>
      <c r="F119" s="265"/>
      <c r="G119" s="5"/>
      <c r="H119" s="5"/>
      <c r="I119" s="5"/>
      <c r="J119" s="5"/>
      <c r="K119" s="108"/>
      <c r="S119" s="117"/>
      <c r="T119" s="243"/>
      <c r="U119" s="243"/>
      <c r="V119" s="243"/>
      <c r="W119" s="243"/>
      <c r="X119" s="126"/>
      <c r="Y119" s="125"/>
    </row>
    <row r="120" spans="1:25" x14ac:dyDescent="0.3">
      <c r="A120" s="267"/>
      <c r="B120" s="265"/>
      <c r="C120" s="265"/>
      <c r="D120" s="265"/>
      <c r="E120" s="265"/>
      <c r="F120" s="265"/>
      <c r="G120" s="5"/>
      <c r="H120" s="5"/>
      <c r="I120" s="5"/>
      <c r="J120" s="5"/>
      <c r="K120" s="108"/>
      <c r="S120" s="117"/>
      <c r="T120" s="243"/>
      <c r="U120" s="243"/>
      <c r="V120" s="243"/>
      <c r="W120" s="243"/>
      <c r="X120" s="126"/>
      <c r="Y120" s="125"/>
    </row>
    <row r="121" spans="1:25" x14ac:dyDescent="0.3">
      <c r="A121" s="267"/>
      <c r="B121" s="265"/>
      <c r="C121" s="265"/>
      <c r="D121" s="265"/>
      <c r="E121" s="265"/>
      <c r="F121" s="265"/>
      <c r="G121" s="5"/>
      <c r="H121" s="5"/>
      <c r="I121" s="5"/>
      <c r="J121" s="5"/>
      <c r="K121" s="108"/>
      <c r="S121" s="117"/>
      <c r="T121" s="243"/>
      <c r="U121" s="243"/>
      <c r="V121" s="243"/>
      <c r="W121" s="243"/>
      <c r="X121" s="126"/>
      <c r="Y121" s="125"/>
    </row>
    <row r="122" spans="1:25" ht="21" x14ac:dyDescent="0.4">
      <c r="A122" s="267"/>
      <c r="B122" s="265"/>
      <c r="C122" s="265"/>
      <c r="D122" s="265"/>
      <c r="E122" s="265"/>
      <c r="F122" s="264" t="s">
        <v>247</v>
      </c>
      <c r="G122" s="5"/>
      <c r="H122" s="5"/>
      <c r="I122" s="5"/>
      <c r="J122" s="5"/>
      <c r="K122" s="108"/>
      <c r="S122" s="117"/>
      <c r="T122" s="243"/>
      <c r="U122" s="243"/>
      <c r="V122" s="243"/>
      <c r="W122" s="243"/>
      <c r="X122" s="126"/>
      <c r="Y122" s="125"/>
    </row>
    <row r="123" spans="1:25" x14ac:dyDescent="0.3">
      <c r="A123" s="267"/>
      <c r="B123" s="265"/>
      <c r="C123" s="265"/>
      <c r="D123" s="265"/>
      <c r="E123" s="265"/>
      <c r="F123" s="28"/>
      <c r="G123" s="5"/>
      <c r="H123" s="5"/>
      <c r="I123" s="5"/>
      <c r="J123" s="5"/>
      <c r="K123" s="108"/>
      <c r="S123" s="117"/>
      <c r="T123" s="243"/>
      <c r="U123" s="243"/>
      <c r="V123" s="243"/>
      <c r="W123" s="243"/>
      <c r="X123" s="126"/>
      <c r="Y123" s="125"/>
    </row>
    <row r="124" spans="1:25" x14ac:dyDescent="0.3">
      <c r="A124" s="267"/>
      <c r="B124" s="265"/>
      <c r="C124" s="40">
        <v>34504</v>
      </c>
      <c r="D124" s="49" t="s">
        <v>21</v>
      </c>
      <c r="E124" s="49" t="s">
        <v>147</v>
      </c>
      <c r="F124" s="49">
        <v>1</v>
      </c>
      <c r="G124" s="51">
        <v>0</v>
      </c>
      <c r="H124" s="5"/>
      <c r="I124" s="5" t="s">
        <v>311</v>
      </c>
      <c r="J124" s="5"/>
      <c r="K124" s="108"/>
      <c r="S124" s="117" t="s">
        <v>21</v>
      </c>
      <c r="T124" s="243" t="s">
        <v>147</v>
      </c>
      <c r="U124" s="243">
        <v>1</v>
      </c>
      <c r="V124" s="243">
        <v>0</v>
      </c>
      <c r="W124" s="243"/>
      <c r="X124" s="126">
        <f t="shared" ref="X124:X129" si="29">(IF(U124&gt;V124,3,IF(U124=V124,1,2)))</f>
        <v>3</v>
      </c>
      <c r="Y124" s="125">
        <f t="shared" ref="Y124:Y129" si="30">(IF(V124&gt;U124,3,IF(U124=V124,1,2)))</f>
        <v>2</v>
      </c>
    </row>
    <row r="125" spans="1:25" ht="15" thickBot="1" x14ac:dyDescent="0.35">
      <c r="A125" s="267"/>
      <c r="B125" s="265"/>
      <c r="C125" s="58"/>
      <c r="D125" s="79"/>
      <c r="E125" s="79"/>
      <c r="F125" s="79" t="s">
        <v>172</v>
      </c>
      <c r="G125" s="81" t="s">
        <v>171</v>
      </c>
      <c r="H125" s="8"/>
      <c r="I125" s="8"/>
      <c r="J125" s="5"/>
      <c r="K125" s="108"/>
      <c r="S125" s="117" t="s">
        <v>63</v>
      </c>
      <c r="T125" s="243" t="s">
        <v>313</v>
      </c>
      <c r="U125" s="243">
        <v>2</v>
      </c>
      <c r="V125" s="243">
        <v>1</v>
      </c>
      <c r="W125" s="243"/>
      <c r="X125" s="126">
        <f t="shared" si="29"/>
        <v>3</v>
      </c>
      <c r="Y125" s="125">
        <f t="shared" si="30"/>
        <v>2</v>
      </c>
    </row>
    <row r="126" spans="1:25" x14ac:dyDescent="0.3">
      <c r="A126" s="267"/>
      <c r="B126" s="265"/>
      <c r="C126" s="40">
        <v>34505</v>
      </c>
      <c r="D126" s="49" t="s">
        <v>63</v>
      </c>
      <c r="E126" s="49" t="s">
        <v>313</v>
      </c>
      <c r="F126" s="49">
        <v>2</v>
      </c>
      <c r="G126" s="51">
        <v>1</v>
      </c>
      <c r="H126" s="5"/>
      <c r="I126" s="5" t="s">
        <v>310</v>
      </c>
      <c r="J126" s="5"/>
      <c r="K126" s="108"/>
      <c r="S126" s="117" t="s">
        <v>21</v>
      </c>
      <c r="T126" s="243" t="s">
        <v>63</v>
      </c>
      <c r="U126" s="243">
        <v>1</v>
      </c>
      <c r="V126" s="243">
        <v>0</v>
      </c>
      <c r="W126" s="243"/>
      <c r="X126" s="126">
        <f t="shared" si="29"/>
        <v>3</v>
      </c>
      <c r="Y126" s="125">
        <f t="shared" si="30"/>
        <v>2</v>
      </c>
    </row>
    <row r="127" spans="1:25" ht="15" thickBot="1" x14ac:dyDescent="0.35">
      <c r="A127" s="267"/>
      <c r="B127" s="265"/>
      <c r="C127" s="58"/>
      <c r="D127" s="79"/>
      <c r="E127" s="79"/>
      <c r="F127" s="79" t="s">
        <v>170</v>
      </c>
      <c r="G127" s="81" t="s">
        <v>183</v>
      </c>
      <c r="H127" s="8"/>
      <c r="I127" s="8"/>
      <c r="J127" s="5"/>
      <c r="K127" s="108"/>
      <c r="S127" s="117" t="s">
        <v>313</v>
      </c>
      <c r="T127" s="243" t="s">
        <v>147</v>
      </c>
      <c r="U127" s="243">
        <v>2</v>
      </c>
      <c r="V127" s="243">
        <v>1</v>
      </c>
      <c r="W127" s="243"/>
      <c r="X127" s="126">
        <f t="shared" si="29"/>
        <v>3</v>
      </c>
      <c r="Y127" s="125">
        <f t="shared" si="30"/>
        <v>2</v>
      </c>
    </row>
    <row r="128" spans="1:25" x14ac:dyDescent="0.3">
      <c r="A128" s="267"/>
      <c r="B128" s="265"/>
      <c r="C128" s="40">
        <v>34510</v>
      </c>
      <c r="D128" s="49" t="s">
        <v>21</v>
      </c>
      <c r="E128" s="49" t="s">
        <v>63</v>
      </c>
      <c r="F128" s="49">
        <v>1</v>
      </c>
      <c r="G128" s="51">
        <v>0</v>
      </c>
      <c r="H128" s="5"/>
      <c r="I128" s="5" t="s">
        <v>311</v>
      </c>
      <c r="J128" s="5"/>
      <c r="K128" s="108"/>
      <c r="S128" s="117" t="s">
        <v>147</v>
      </c>
      <c r="T128" s="243" t="s">
        <v>63</v>
      </c>
      <c r="U128" s="243">
        <v>1</v>
      </c>
      <c r="V128" s="243">
        <v>2</v>
      </c>
      <c r="W128" s="243"/>
      <c r="X128" s="126">
        <f t="shared" si="29"/>
        <v>2</v>
      </c>
      <c r="Y128" s="125">
        <f t="shared" si="30"/>
        <v>3</v>
      </c>
    </row>
    <row r="129" spans="1:25" ht="15" thickBot="1" x14ac:dyDescent="0.35">
      <c r="A129" s="267"/>
      <c r="B129" s="265"/>
      <c r="C129" s="58"/>
      <c r="D129" s="79"/>
      <c r="E129" s="79"/>
      <c r="F129" s="79" t="s">
        <v>170</v>
      </c>
      <c r="G129" s="81" t="s">
        <v>171</v>
      </c>
      <c r="H129" s="8"/>
      <c r="I129" s="8"/>
      <c r="J129" s="5"/>
      <c r="K129" s="108"/>
      <c r="S129" s="117" t="s">
        <v>21</v>
      </c>
      <c r="T129" s="243" t="s">
        <v>313</v>
      </c>
      <c r="U129" s="243">
        <v>0</v>
      </c>
      <c r="V129" s="243">
        <v>1</v>
      </c>
      <c r="W129" s="243"/>
      <c r="X129" s="126">
        <f t="shared" si="29"/>
        <v>2</v>
      </c>
      <c r="Y129" s="125">
        <f t="shared" si="30"/>
        <v>3</v>
      </c>
    </row>
    <row r="130" spans="1:25" x14ac:dyDescent="0.3">
      <c r="A130" s="267"/>
      <c r="B130" s="265"/>
      <c r="C130" s="40">
        <v>34510</v>
      </c>
      <c r="D130" s="49" t="s">
        <v>313</v>
      </c>
      <c r="E130" s="49" t="s">
        <v>147</v>
      </c>
      <c r="F130" s="49">
        <v>2</v>
      </c>
      <c r="G130" s="51">
        <v>1</v>
      </c>
      <c r="H130" s="5"/>
      <c r="I130" s="5" t="s">
        <v>309</v>
      </c>
      <c r="J130" s="5"/>
      <c r="K130" s="108"/>
      <c r="S130" s="117"/>
      <c r="T130" s="243"/>
      <c r="U130" s="243"/>
      <c r="V130" s="243"/>
      <c r="W130" s="243"/>
      <c r="X130" s="126"/>
      <c r="Y130" s="125"/>
    </row>
    <row r="131" spans="1:25" ht="15" thickBot="1" x14ac:dyDescent="0.35">
      <c r="A131" s="267"/>
      <c r="B131" s="265"/>
      <c r="C131" s="58"/>
      <c r="D131" s="79"/>
      <c r="E131" s="79"/>
      <c r="F131" s="79" t="s">
        <v>215</v>
      </c>
      <c r="G131" s="81" t="s">
        <v>183</v>
      </c>
      <c r="H131" s="8"/>
      <c r="I131" s="8"/>
      <c r="J131" s="5"/>
      <c r="K131" s="108"/>
      <c r="S131" s="117"/>
      <c r="T131" s="243"/>
      <c r="U131" s="243"/>
      <c r="V131" s="243"/>
      <c r="W131" s="243"/>
      <c r="X131" s="126"/>
      <c r="Y131" s="125"/>
    </row>
    <row r="132" spans="1:25" x14ac:dyDescent="0.3">
      <c r="A132" s="267"/>
      <c r="B132" s="265"/>
      <c r="C132" s="40">
        <v>34514</v>
      </c>
      <c r="D132" s="49" t="s">
        <v>147</v>
      </c>
      <c r="E132" s="49" t="s">
        <v>63</v>
      </c>
      <c r="F132" s="49">
        <v>1</v>
      </c>
      <c r="G132" s="51">
        <v>2</v>
      </c>
      <c r="H132" s="5"/>
      <c r="I132" s="5" t="s">
        <v>311</v>
      </c>
      <c r="J132" s="5"/>
      <c r="K132" s="108"/>
      <c r="S132" s="117"/>
      <c r="T132" s="243"/>
      <c r="U132" s="243"/>
      <c r="V132" s="243"/>
      <c r="W132" s="243"/>
      <c r="X132" s="126"/>
      <c r="Y132" s="125"/>
    </row>
    <row r="133" spans="1:25" ht="15" thickBot="1" x14ac:dyDescent="0.35">
      <c r="A133" s="267"/>
      <c r="B133" s="265"/>
      <c r="C133" s="58"/>
      <c r="D133" s="79"/>
      <c r="E133" s="79"/>
      <c r="F133" s="79" t="s">
        <v>170</v>
      </c>
      <c r="G133" s="81" t="s">
        <v>183</v>
      </c>
      <c r="H133" s="8"/>
      <c r="I133" s="8"/>
      <c r="J133" s="5"/>
      <c r="K133" s="108"/>
      <c r="S133" s="117"/>
      <c r="T133" s="243"/>
      <c r="U133" s="243"/>
      <c r="V133" s="243"/>
      <c r="W133" s="243"/>
      <c r="X133" s="126"/>
      <c r="Y133" s="125"/>
    </row>
    <row r="134" spans="1:25" x14ac:dyDescent="0.3">
      <c r="A134" s="267"/>
      <c r="B134" s="17"/>
      <c r="C134" s="40">
        <v>34514</v>
      </c>
      <c r="D134" s="43" t="s">
        <v>21</v>
      </c>
      <c r="E134" s="43" t="s">
        <v>313</v>
      </c>
      <c r="F134" s="49">
        <v>0</v>
      </c>
      <c r="G134" s="51">
        <v>1</v>
      </c>
      <c r="H134" s="5"/>
      <c r="I134" s="5" t="s">
        <v>310</v>
      </c>
      <c r="J134" s="5"/>
      <c r="K134" s="108"/>
      <c r="S134" s="117"/>
      <c r="T134" s="243"/>
      <c r="U134" s="243"/>
      <c r="V134" s="243"/>
      <c r="W134" s="243"/>
      <c r="X134" s="126"/>
      <c r="Y134" s="125"/>
    </row>
    <row r="135" spans="1:25" x14ac:dyDescent="0.3">
      <c r="A135" s="156"/>
      <c r="B135" s="17"/>
      <c r="C135" s="17"/>
      <c r="D135" s="43"/>
      <c r="E135" s="43"/>
      <c r="F135" s="49" t="s">
        <v>170</v>
      </c>
      <c r="G135" s="51" t="s">
        <v>183</v>
      </c>
      <c r="H135" s="5"/>
      <c r="I135" s="5"/>
      <c r="J135" s="5"/>
      <c r="K135" s="108"/>
      <c r="S135" s="117"/>
      <c r="T135" s="243"/>
      <c r="U135" s="243"/>
      <c r="V135" s="243"/>
      <c r="W135" s="243"/>
      <c r="X135" s="126"/>
      <c r="Y135" s="125"/>
    </row>
    <row r="136" spans="1:25" x14ac:dyDescent="0.3">
      <c r="A136" s="156"/>
      <c r="B136" s="17"/>
      <c r="C136" s="17"/>
      <c r="D136" s="17"/>
      <c r="E136" s="17"/>
      <c r="F136" s="265"/>
      <c r="G136" s="5"/>
      <c r="H136" s="5"/>
      <c r="I136" s="5"/>
      <c r="J136" s="5"/>
      <c r="K136" s="108"/>
      <c r="S136" s="168"/>
      <c r="T136" s="95"/>
      <c r="U136" s="95"/>
      <c r="V136" s="95"/>
      <c r="W136" s="95"/>
      <c r="X136" s="95"/>
      <c r="Y136" s="169"/>
    </row>
    <row r="137" spans="1:25" ht="15" thickBot="1" x14ac:dyDescent="0.35">
      <c r="A137" s="267"/>
      <c r="B137" s="265" t="s">
        <v>298</v>
      </c>
      <c r="C137" s="265" t="s">
        <v>12</v>
      </c>
      <c r="D137" s="265" t="s">
        <v>13</v>
      </c>
      <c r="E137" s="265" t="s">
        <v>14</v>
      </c>
      <c r="F137" s="265" t="s">
        <v>15</v>
      </c>
      <c r="G137" s="5" t="s">
        <v>24</v>
      </c>
      <c r="H137" s="5" t="s">
        <v>25</v>
      </c>
      <c r="I137" s="5" t="s">
        <v>301</v>
      </c>
      <c r="J137" s="5"/>
      <c r="K137" s="108"/>
      <c r="S137" s="117"/>
      <c r="T137" s="243"/>
      <c r="U137" s="243"/>
      <c r="V137" s="243"/>
      <c r="W137" s="243"/>
      <c r="X137" s="126"/>
      <c r="Y137" s="125"/>
    </row>
    <row r="138" spans="1:25" x14ac:dyDescent="0.3">
      <c r="A138" s="267"/>
      <c r="B138" s="14" t="s">
        <v>63</v>
      </c>
      <c r="C138" s="394">
        <v>3</v>
      </c>
      <c r="D138" s="394">
        <v>2</v>
      </c>
      <c r="E138" s="394">
        <v>0</v>
      </c>
      <c r="F138" s="394">
        <v>1</v>
      </c>
      <c r="G138" s="15">
        <v>4</v>
      </c>
      <c r="H138" s="15">
        <v>3</v>
      </c>
      <c r="I138" s="16">
        <v>6</v>
      </c>
      <c r="J138" s="18"/>
      <c r="K138" s="108"/>
      <c r="S138" s="117"/>
      <c r="T138" s="243"/>
      <c r="U138" s="243"/>
      <c r="V138" s="243"/>
      <c r="W138" s="243"/>
      <c r="X138" s="126"/>
      <c r="Y138" s="125"/>
    </row>
    <row r="139" spans="1:25" x14ac:dyDescent="0.3">
      <c r="A139" s="267"/>
      <c r="B139" s="21" t="s">
        <v>313</v>
      </c>
      <c r="C139" s="17"/>
      <c r="D139" s="17"/>
      <c r="E139" s="17"/>
      <c r="F139" s="17"/>
      <c r="G139" s="18"/>
      <c r="H139" s="18"/>
      <c r="I139" s="22"/>
      <c r="J139" s="18"/>
      <c r="K139" s="108"/>
      <c r="S139" s="117"/>
      <c r="T139" s="243"/>
      <c r="U139" s="243"/>
      <c r="V139" s="243"/>
      <c r="W139" s="243"/>
      <c r="X139" s="126"/>
      <c r="Y139" s="125"/>
    </row>
    <row r="140" spans="1:25" x14ac:dyDescent="0.3">
      <c r="A140" s="267"/>
      <c r="B140" s="3" t="s">
        <v>21</v>
      </c>
      <c r="C140" s="387"/>
      <c r="D140" s="387"/>
      <c r="E140" s="387"/>
      <c r="F140" s="387"/>
      <c r="G140" s="5"/>
      <c r="H140" s="5"/>
      <c r="I140" s="6"/>
      <c r="J140" s="5"/>
      <c r="K140" s="108"/>
      <c r="S140" s="117"/>
      <c r="T140" s="243"/>
      <c r="U140" s="243"/>
      <c r="V140" s="243"/>
      <c r="W140" s="243"/>
      <c r="X140" s="126"/>
      <c r="Y140" s="125"/>
    </row>
    <row r="141" spans="1:25" ht="15" thickBot="1" x14ac:dyDescent="0.35">
      <c r="A141" s="267"/>
      <c r="B141" s="7" t="s">
        <v>147</v>
      </c>
      <c r="C141" s="393"/>
      <c r="D141" s="393"/>
      <c r="E141" s="393"/>
      <c r="F141" s="393"/>
      <c r="G141" s="8"/>
      <c r="H141" s="8"/>
      <c r="I141" s="9"/>
      <c r="J141" s="5"/>
      <c r="K141" s="108"/>
      <c r="S141" s="117"/>
      <c r="T141" s="243"/>
      <c r="U141" s="243"/>
      <c r="V141" s="243"/>
      <c r="W141" s="243"/>
      <c r="X141" s="126"/>
      <c r="Y141" s="125"/>
    </row>
    <row r="142" spans="1:25" x14ac:dyDescent="0.3">
      <c r="A142" s="267"/>
      <c r="B142" s="265"/>
      <c r="C142" s="265"/>
      <c r="D142" s="265"/>
      <c r="E142" s="265"/>
      <c r="F142" s="265"/>
      <c r="G142" s="5"/>
      <c r="H142" s="5"/>
      <c r="I142" s="5"/>
      <c r="J142" s="5"/>
      <c r="K142" s="108"/>
      <c r="S142" s="117"/>
      <c r="T142" s="243"/>
      <c r="U142" s="243"/>
      <c r="V142" s="243"/>
      <c r="W142" s="243"/>
      <c r="X142" s="243"/>
      <c r="Y142" s="118"/>
    </row>
    <row r="143" spans="1:25" x14ac:dyDescent="0.3">
      <c r="A143" s="267"/>
      <c r="B143" s="265"/>
      <c r="C143" s="67" t="s">
        <v>314</v>
      </c>
      <c r="D143" s="265"/>
      <c r="E143" s="265"/>
      <c r="F143" s="265"/>
      <c r="G143" s="5"/>
      <c r="H143" s="5"/>
      <c r="I143" s="5"/>
      <c r="J143" s="5"/>
      <c r="K143" s="108"/>
      <c r="S143" s="117"/>
      <c r="T143" s="243"/>
      <c r="U143" s="243"/>
      <c r="V143" s="243"/>
      <c r="W143" s="243"/>
      <c r="X143" s="243"/>
      <c r="Y143" s="118"/>
    </row>
    <row r="144" spans="1:25" x14ac:dyDescent="0.3">
      <c r="A144" s="267"/>
      <c r="B144" s="265"/>
      <c r="C144" s="265"/>
      <c r="D144" s="265"/>
      <c r="E144" s="265"/>
      <c r="F144" s="265"/>
      <c r="G144" s="5"/>
      <c r="H144" s="5"/>
      <c r="I144" s="5"/>
      <c r="J144" s="5"/>
      <c r="K144" s="108"/>
      <c r="S144" s="168"/>
      <c r="T144" s="95"/>
      <c r="U144" s="95"/>
      <c r="V144" s="95"/>
      <c r="W144" s="95"/>
      <c r="X144" s="95"/>
      <c r="Y144" s="169"/>
    </row>
    <row r="145" spans="1:25" x14ac:dyDescent="0.3">
      <c r="A145" s="267"/>
      <c r="B145" s="265"/>
      <c r="C145" s="265"/>
      <c r="D145" s="265"/>
      <c r="E145" s="265"/>
      <c r="F145" s="265"/>
      <c r="G145" s="5"/>
      <c r="H145" s="5"/>
      <c r="I145" s="5"/>
      <c r="J145" s="5"/>
      <c r="K145" s="108"/>
      <c r="S145" s="117"/>
      <c r="T145" s="243"/>
      <c r="U145" s="243"/>
      <c r="V145" s="243"/>
      <c r="W145" s="243"/>
      <c r="X145" s="126"/>
      <c r="Y145" s="125"/>
    </row>
    <row r="146" spans="1:25" ht="21" x14ac:dyDescent="0.4">
      <c r="A146" s="267"/>
      <c r="B146" s="265"/>
      <c r="C146" s="265"/>
      <c r="D146" s="265"/>
      <c r="E146" s="265"/>
      <c r="F146" s="264" t="s">
        <v>459</v>
      </c>
      <c r="G146" s="5"/>
      <c r="H146" s="5"/>
      <c r="I146" s="5"/>
      <c r="J146" s="5"/>
      <c r="K146" s="108"/>
      <c r="S146" s="117"/>
      <c r="T146" s="243"/>
      <c r="U146" s="243"/>
      <c r="V146" s="243"/>
      <c r="W146" s="243"/>
      <c r="X146" s="126"/>
      <c r="Y146" s="125"/>
    </row>
    <row r="147" spans="1:25" ht="14.4" customHeight="1" x14ac:dyDescent="0.4">
      <c r="A147" s="267"/>
      <c r="B147" s="265"/>
      <c r="C147" s="265"/>
      <c r="D147" s="265"/>
      <c r="E147" s="265"/>
      <c r="F147" s="266"/>
      <c r="G147" s="5"/>
      <c r="H147" s="5"/>
      <c r="I147" s="5"/>
      <c r="J147" s="5"/>
      <c r="K147" s="108"/>
      <c r="S147" s="117"/>
      <c r="T147" s="243"/>
      <c r="U147" s="243"/>
      <c r="V147" s="243"/>
      <c r="W147" s="243"/>
      <c r="X147" s="126"/>
      <c r="Y147" s="125"/>
    </row>
    <row r="148" spans="1:25" ht="15" thickBot="1" x14ac:dyDescent="0.35">
      <c r="A148" s="267"/>
      <c r="B148" s="265" t="s">
        <v>298</v>
      </c>
      <c r="C148" s="265" t="s">
        <v>12</v>
      </c>
      <c r="D148" s="265" t="s">
        <v>13</v>
      </c>
      <c r="E148" s="265" t="s">
        <v>14</v>
      </c>
      <c r="F148" s="265" t="s">
        <v>15</v>
      </c>
      <c r="G148" s="5" t="s">
        <v>24</v>
      </c>
      <c r="H148" s="5" t="s">
        <v>25</v>
      </c>
      <c r="I148" s="5" t="s">
        <v>301</v>
      </c>
      <c r="J148" s="5"/>
      <c r="K148" s="108"/>
      <c r="S148" s="117"/>
      <c r="T148" s="243"/>
      <c r="U148" s="243"/>
      <c r="V148" s="243"/>
      <c r="W148" s="243"/>
      <c r="X148" s="126"/>
      <c r="Y148" s="125"/>
    </row>
    <row r="149" spans="1:25" x14ac:dyDescent="0.3">
      <c r="A149" s="267"/>
      <c r="B149" s="71" t="s">
        <v>5</v>
      </c>
      <c r="C149" s="72">
        <v>3</v>
      </c>
      <c r="D149" s="72">
        <v>2</v>
      </c>
      <c r="E149" s="72">
        <v>0</v>
      </c>
      <c r="F149" s="72">
        <v>1</v>
      </c>
      <c r="G149" s="73">
        <v>6</v>
      </c>
      <c r="H149" s="73">
        <v>3</v>
      </c>
      <c r="I149" s="74">
        <v>6</v>
      </c>
      <c r="J149" s="18"/>
      <c r="K149" s="108"/>
      <c r="S149" s="117"/>
      <c r="T149" s="243"/>
      <c r="U149" s="243"/>
      <c r="V149" s="243"/>
      <c r="W149" s="243"/>
      <c r="X149" s="126"/>
      <c r="Y149" s="125"/>
    </row>
    <row r="150" spans="1:25" x14ac:dyDescent="0.3">
      <c r="A150" s="267"/>
      <c r="B150" s="75" t="s">
        <v>21</v>
      </c>
      <c r="C150" s="76">
        <v>3</v>
      </c>
      <c r="D150" s="76">
        <v>2</v>
      </c>
      <c r="E150" s="76">
        <v>0</v>
      </c>
      <c r="F150" s="76">
        <v>1</v>
      </c>
      <c r="G150" s="77">
        <v>2</v>
      </c>
      <c r="H150" s="77">
        <v>1</v>
      </c>
      <c r="I150" s="78">
        <v>6</v>
      </c>
      <c r="J150" s="18"/>
      <c r="K150" s="108"/>
      <c r="S150" s="117"/>
      <c r="T150" s="243"/>
      <c r="U150" s="243"/>
      <c r="V150" s="243"/>
      <c r="W150" s="243"/>
      <c r="X150" s="126"/>
      <c r="Y150" s="125"/>
    </row>
    <row r="151" spans="1:25" x14ac:dyDescent="0.3">
      <c r="A151" s="267"/>
      <c r="B151" s="75" t="s">
        <v>20</v>
      </c>
      <c r="C151" s="76">
        <v>3</v>
      </c>
      <c r="D151" s="76">
        <v>1</v>
      </c>
      <c r="E151" s="76">
        <v>1</v>
      </c>
      <c r="F151" s="76">
        <v>1</v>
      </c>
      <c r="G151" s="77">
        <v>3</v>
      </c>
      <c r="H151" s="77">
        <v>3</v>
      </c>
      <c r="I151" s="78">
        <v>4</v>
      </c>
      <c r="J151" s="18"/>
      <c r="K151" s="108"/>
      <c r="S151" s="122"/>
      <c r="T151" s="17"/>
      <c r="U151" s="17"/>
      <c r="V151" s="17"/>
      <c r="W151" s="17"/>
      <c r="X151" s="126"/>
      <c r="Y151" s="125"/>
    </row>
    <row r="152" spans="1:25" x14ac:dyDescent="0.3">
      <c r="A152" s="267"/>
      <c r="B152" s="75" t="s">
        <v>37</v>
      </c>
      <c r="C152" s="76">
        <v>3</v>
      </c>
      <c r="D152" s="76">
        <v>1</v>
      </c>
      <c r="E152" s="76">
        <v>1</v>
      </c>
      <c r="F152" s="76">
        <v>1</v>
      </c>
      <c r="G152" s="77">
        <v>2</v>
      </c>
      <c r="H152" s="77">
        <v>2</v>
      </c>
      <c r="I152" s="78">
        <v>4</v>
      </c>
      <c r="J152" s="18"/>
      <c r="K152" s="108"/>
      <c r="S152" s="117"/>
      <c r="T152" s="243"/>
      <c r="U152" s="243"/>
      <c r="V152" s="243"/>
      <c r="W152" s="243"/>
      <c r="X152" s="243"/>
      <c r="Y152" s="118"/>
    </row>
    <row r="153" spans="1:25" x14ac:dyDescent="0.3">
      <c r="A153" s="267"/>
      <c r="B153" s="21" t="s">
        <v>302</v>
      </c>
      <c r="C153" s="17">
        <v>3</v>
      </c>
      <c r="D153" s="17">
        <v>1</v>
      </c>
      <c r="E153" s="17">
        <v>0</v>
      </c>
      <c r="F153" s="17">
        <v>2</v>
      </c>
      <c r="G153" s="18">
        <v>7</v>
      </c>
      <c r="H153" s="18">
        <v>6</v>
      </c>
      <c r="I153" s="22">
        <v>3</v>
      </c>
      <c r="J153" s="18"/>
      <c r="K153" s="108"/>
      <c r="S153" s="117"/>
      <c r="T153" s="243"/>
      <c r="U153" s="243"/>
      <c r="V153" s="243"/>
      <c r="W153" s="243"/>
      <c r="X153" s="126"/>
      <c r="Y153" s="125"/>
    </row>
    <row r="154" spans="1:25" ht="15" thickBot="1" x14ac:dyDescent="0.35">
      <c r="A154" s="267"/>
      <c r="B154" s="29" t="s">
        <v>90</v>
      </c>
      <c r="C154" s="30">
        <v>3</v>
      </c>
      <c r="D154" s="30">
        <v>0</v>
      </c>
      <c r="E154" s="30">
        <v>2</v>
      </c>
      <c r="F154" s="30">
        <v>1</v>
      </c>
      <c r="G154" s="31">
        <v>4</v>
      </c>
      <c r="H154" s="31">
        <v>5</v>
      </c>
      <c r="I154" s="32">
        <v>2</v>
      </c>
      <c r="J154" s="18"/>
      <c r="K154" s="108"/>
      <c r="S154" s="117"/>
      <c r="T154" s="243"/>
      <c r="U154" s="243"/>
      <c r="V154" s="243"/>
      <c r="W154" s="243"/>
      <c r="X154" s="243"/>
      <c r="Y154" s="118"/>
    </row>
    <row r="155" spans="1:25" x14ac:dyDescent="0.3">
      <c r="A155" s="267"/>
      <c r="B155" s="265"/>
      <c r="C155" s="265"/>
      <c r="D155" s="265"/>
      <c r="E155" s="265"/>
      <c r="F155" s="265"/>
      <c r="G155" s="5"/>
      <c r="H155" s="5"/>
      <c r="I155" s="5"/>
      <c r="J155" s="5"/>
      <c r="K155" s="108"/>
      <c r="S155" s="122"/>
      <c r="T155" s="17"/>
      <c r="U155" s="17"/>
      <c r="V155" s="17"/>
      <c r="W155" s="17"/>
      <c r="X155" s="126"/>
      <c r="Y155" s="125"/>
    </row>
    <row r="156" spans="1:25" x14ac:dyDescent="0.3">
      <c r="A156" s="267"/>
      <c r="B156" s="265"/>
      <c r="C156" s="265"/>
      <c r="D156" s="265"/>
      <c r="E156" s="265"/>
      <c r="F156" s="265"/>
      <c r="G156" s="5"/>
      <c r="H156" s="5"/>
      <c r="I156" s="5"/>
      <c r="J156" s="5"/>
      <c r="K156" s="108"/>
      <c r="S156" s="117"/>
      <c r="T156" s="243"/>
      <c r="U156" s="243"/>
      <c r="V156" s="243"/>
      <c r="W156" s="243"/>
      <c r="X156" s="126"/>
      <c r="Y156" s="125"/>
    </row>
    <row r="157" spans="1:25" ht="21" x14ac:dyDescent="0.4">
      <c r="A157" s="267"/>
      <c r="B157" s="265"/>
      <c r="C157" s="265"/>
      <c r="D157" s="265"/>
      <c r="E157" s="265"/>
      <c r="F157" s="264" t="s">
        <v>457</v>
      </c>
      <c r="G157" s="5"/>
      <c r="H157" s="5"/>
      <c r="I157" s="5"/>
      <c r="J157" s="5"/>
      <c r="K157" s="108"/>
      <c r="S157" s="122"/>
      <c r="T157" s="17"/>
      <c r="U157" s="17"/>
      <c r="V157" s="17"/>
      <c r="W157" s="17"/>
      <c r="X157" s="126"/>
      <c r="Y157" s="125"/>
    </row>
    <row r="158" spans="1:25" x14ac:dyDescent="0.3">
      <c r="A158" s="267"/>
      <c r="B158" s="265"/>
      <c r="C158" s="49"/>
      <c r="D158" s="49"/>
      <c r="E158" s="49"/>
      <c r="F158" s="49"/>
      <c r="G158" s="51"/>
      <c r="H158" s="51"/>
      <c r="I158" s="51"/>
      <c r="J158" s="5"/>
      <c r="K158" s="108"/>
      <c r="S158" s="117"/>
      <c r="T158" s="243"/>
      <c r="U158" s="243"/>
      <c r="V158" s="243"/>
      <c r="W158" s="243"/>
      <c r="X158" s="126"/>
      <c r="Y158" s="125"/>
    </row>
    <row r="159" spans="1:25" x14ac:dyDescent="0.3">
      <c r="A159" s="267"/>
      <c r="B159" s="265"/>
      <c r="C159" s="82">
        <v>34517</v>
      </c>
      <c r="D159" s="43" t="s">
        <v>88</v>
      </c>
      <c r="E159" s="43" t="s">
        <v>21</v>
      </c>
      <c r="F159" s="43">
        <v>3</v>
      </c>
      <c r="G159" s="48">
        <v>2</v>
      </c>
      <c r="H159" s="51"/>
      <c r="I159" s="51" t="s">
        <v>303</v>
      </c>
      <c r="J159" s="5"/>
      <c r="K159" s="108"/>
      <c r="S159" s="117" t="s">
        <v>88</v>
      </c>
      <c r="T159" s="243" t="s">
        <v>21</v>
      </c>
      <c r="U159" s="243">
        <v>3</v>
      </c>
      <c r="V159" s="243">
        <v>2</v>
      </c>
      <c r="W159" s="243"/>
      <c r="X159" s="126">
        <f t="shared" ref="X159:X166" si="31">(IF(U159&gt;V159,3,IF(U159=V159,1,2)))</f>
        <v>3</v>
      </c>
      <c r="Y159" s="125">
        <f t="shared" ref="Y159:Y166" si="32">(IF(V159&gt;U159,3,IF(U159=V159,1,2)))</f>
        <v>2</v>
      </c>
    </row>
    <row r="160" spans="1:25" ht="15" thickBot="1" x14ac:dyDescent="0.35">
      <c r="A160" s="267"/>
      <c r="B160" s="265"/>
      <c r="C160" s="83"/>
      <c r="D160" s="80"/>
      <c r="E160" s="80"/>
      <c r="F160" s="80" t="s">
        <v>264</v>
      </c>
      <c r="G160" s="84" t="s">
        <v>183</v>
      </c>
      <c r="H160" s="81"/>
      <c r="I160" s="81"/>
      <c r="J160" s="5"/>
      <c r="K160" s="108"/>
      <c r="S160" s="122" t="s">
        <v>43</v>
      </c>
      <c r="T160" s="17" t="s">
        <v>35</v>
      </c>
      <c r="U160" s="17">
        <v>0</v>
      </c>
      <c r="V160" s="17">
        <v>3</v>
      </c>
      <c r="W160" s="17"/>
      <c r="X160" s="126">
        <f t="shared" si="31"/>
        <v>2</v>
      </c>
      <c r="Y160" s="125">
        <f t="shared" si="32"/>
        <v>3</v>
      </c>
    </row>
    <row r="161" spans="1:25" x14ac:dyDescent="0.3">
      <c r="A161" s="267"/>
      <c r="B161" s="265"/>
      <c r="C161" s="82">
        <v>34517</v>
      </c>
      <c r="D161" s="43" t="s">
        <v>43</v>
      </c>
      <c r="E161" s="43" t="s">
        <v>35</v>
      </c>
      <c r="F161" s="43">
        <v>0</v>
      </c>
      <c r="G161" s="48">
        <v>3</v>
      </c>
      <c r="H161" s="51"/>
      <c r="I161" s="51" t="s">
        <v>310</v>
      </c>
      <c r="J161" s="5"/>
      <c r="K161" s="108"/>
      <c r="S161" s="117" t="s">
        <v>313</v>
      </c>
      <c r="T161" s="243" t="s">
        <v>41</v>
      </c>
      <c r="U161" s="243">
        <v>1</v>
      </c>
      <c r="V161" s="243">
        <v>3</v>
      </c>
      <c r="W161" s="243"/>
      <c r="X161" s="126">
        <f t="shared" si="31"/>
        <v>2</v>
      </c>
      <c r="Y161" s="125">
        <f t="shared" si="32"/>
        <v>3</v>
      </c>
    </row>
    <row r="162" spans="1:25" ht="15" thickBot="1" x14ac:dyDescent="0.35">
      <c r="A162" s="267"/>
      <c r="B162" s="265"/>
      <c r="C162" s="83"/>
      <c r="D162" s="80"/>
      <c r="E162" s="80"/>
      <c r="F162" s="80" t="s">
        <v>170</v>
      </c>
      <c r="G162" s="84" t="s">
        <v>183</v>
      </c>
      <c r="H162" s="81"/>
      <c r="I162" s="81"/>
      <c r="J162" s="5"/>
      <c r="K162" s="108"/>
      <c r="S162" s="117" t="s">
        <v>16</v>
      </c>
      <c r="T162" s="243" t="s">
        <v>5</v>
      </c>
      <c r="U162" s="243">
        <v>3</v>
      </c>
      <c r="V162" s="243">
        <v>2</v>
      </c>
      <c r="W162" s="243"/>
      <c r="X162" s="126">
        <f t="shared" si="31"/>
        <v>3</v>
      </c>
      <c r="Y162" s="125">
        <f t="shared" si="32"/>
        <v>2</v>
      </c>
    </row>
    <row r="163" spans="1:25" x14ac:dyDescent="0.3">
      <c r="A163" s="267"/>
      <c r="B163" s="33"/>
      <c r="C163" s="82">
        <v>34518</v>
      </c>
      <c r="D163" s="43" t="s">
        <v>313</v>
      </c>
      <c r="E163" s="43" t="s">
        <v>41</v>
      </c>
      <c r="F163" s="43">
        <v>1</v>
      </c>
      <c r="G163" s="48">
        <v>3</v>
      </c>
      <c r="H163" s="51"/>
      <c r="I163" s="51" t="s">
        <v>304</v>
      </c>
      <c r="J163" s="5"/>
      <c r="K163" s="108"/>
      <c r="S163" s="117" t="s">
        <v>63</v>
      </c>
      <c r="T163" s="243" t="s">
        <v>290</v>
      </c>
      <c r="U163" s="243">
        <v>2</v>
      </c>
      <c r="V163" s="243">
        <v>0</v>
      </c>
      <c r="W163" s="243"/>
      <c r="X163" s="243">
        <f t="shared" si="31"/>
        <v>3</v>
      </c>
      <c r="Y163" s="118">
        <f t="shared" si="32"/>
        <v>2</v>
      </c>
    </row>
    <row r="164" spans="1:25" ht="15" thickBot="1" x14ac:dyDescent="0.35">
      <c r="A164" s="267"/>
      <c r="B164" s="33"/>
      <c r="C164" s="83"/>
      <c r="D164" s="80"/>
      <c r="E164" s="80"/>
      <c r="F164" s="80" t="s">
        <v>170</v>
      </c>
      <c r="G164" s="84" t="s">
        <v>183</v>
      </c>
      <c r="H164" s="81"/>
      <c r="I164" s="81"/>
      <c r="J164" s="5"/>
      <c r="K164" s="108"/>
      <c r="S164" s="122" t="s">
        <v>9</v>
      </c>
      <c r="T164" s="17" t="s">
        <v>20</v>
      </c>
      <c r="U164" s="17">
        <v>1</v>
      </c>
      <c r="V164" s="17">
        <v>0</v>
      </c>
      <c r="W164" s="17"/>
      <c r="X164" s="17">
        <f t="shared" si="31"/>
        <v>3</v>
      </c>
      <c r="Y164" s="123">
        <f t="shared" si="32"/>
        <v>2</v>
      </c>
    </row>
    <row r="165" spans="1:25" x14ac:dyDescent="0.3">
      <c r="A165" s="156"/>
      <c r="B165" s="265"/>
      <c r="C165" s="82">
        <v>34518</v>
      </c>
      <c r="D165" s="43" t="s">
        <v>16</v>
      </c>
      <c r="E165" s="43" t="s">
        <v>5</v>
      </c>
      <c r="F165" s="43">
        <v>3</v>
      </c>
      <c r="G165" s="48">
        <v>2</v>
      </c>
      <c r="H165" s="51"/>
      <c r="I165" s="51" t="s">
        <v>300</v>
      </c>
      <c r="J165" s="5"/>
      <c r="K165" s="108"/>
      <c r="S165" s="117" t="s">
        <v>307</v>
      </c>
      <c r="T165" s="243" t="s">
        <v>37</v>
      </c>
      <c r="U165" s="243">
        <v>1</v>
      </c>
      <c r="V165" s="243">
        <v>2</v>
      </c>
      <c r="W165" s="243"/>
      <c r="X165" s="126">
        <f t="shared" si="31"/>
        <v>2</v>
      </c>
      <c r="Y165" s="125">
        <f t="shared" si="32"/>
        <v>3</v>
      </c>
    </row>
    <row r="166" spans="1:25" ht="15" thickBot="1" x14ac:dyDescent="0.35">
      <c r="A166" s="156"/>
      <c r="B166" s="265"/>
      <c r="C166" s="83"/>
      <c r="D166" s="80"/>
      <c r="E166" s="80"/>
      <c r="F166" s="80" t="s">
        <v>215</v>
      </c>
      <c r="G166" s="84" t="s">
        <v>183</v>
      </c>
      <c r="H166" s="81"/>
      <c r="I166" s="81"/>
      <c r="J166" s="5"/>
      <c r="K166" s="108"/>
      <c r="S166" s="122" t="s">
        <v>4</v>
      </c>
      <c r="T166" s="17" t="s">
        <v>125</v>
      </c>
      <c r="U166" s="17">
        <v>2</v>
      </c>
      <c r="V166" s="17">
        <v>4</v>
      </c>
      <c r="W166" s="17"/>
      <c r="X166" s="126">
        <f t="shared" si="31"/>
        <v>2</v>
      </c>
      <c r="Y166" s="125">
        <f t="shared" si="32"/>
        <v>3</v>
      </c>
    </row>
    <row r="167" spans="1:25" x14ac:dyDescent="0.3">
      <c r="A167" s="156"/>
      <c r="B167" s="265"/>
      <c r="C167" s="82">
        <v>34519</v>
      </c>
      <c r="D167" s="43" t="s">
        <v>63</v>
      </c>
      <c r="E167" s="43" t="s">
        <v>290</v>
      </c>
      <c r="F167" s="43">
        <v>2</v>
      </c>
      <c r="G167" s="48">
        <v>0</v>
      </c>
      <c r="H167" s="51"/>
      <c r="I167" s="51" t="s">
        <v>311</v>
      </c>
      <c r="J167" s="5"/>
      <c r="K167" s="108"/>
      <c r="S167" s="117"/>
      <c r="T167" s="243"/>
      <c r="U167" s="243"/>
      <c r="V167" s="243"/>
      <c r="W167" s="243"/>
      <c r="X167" s="243"/>
      <c r="Y167" s="118"/>
    </row>
    <row r="168" spans="1:25" ht="15" thickBot="1" x14ac:dyDescent="0.35">
      <c r="A168" s="156"/>
      <c r="B168" s="265"/>
      <c r="C168" s="83"/>
      <c r="D168" s="80"/>
      <c r="E168" s="80"/>
      <c r="F168" s="80" t="s">
        <v>215</v>
      </c>
      <c r="G168" s="84" t="s">
        <v>171</v>
      </c>
      <c r="H168" s="81"/>
      <c r="I168" s="81"/>
      <c r="J168" s="5"/>
      <c r="K168" s="108"/>
      <c r="S168" s="117"/>
      <c r="T168" s="243"/>
      <c r="U168" s="243"/>
      <c r="V168" s="243"/>
      <c r="W168" s="243"/>
      <c r="X168" s="126"/>
      <c r="Y168" s="125"/>
    </row>
    <row r="169" spans="1:25" x14ac:dyDescent="0.3">
      <c r="A169" s="156"/>
      <c r="B169" s="265"/>
      <c r="C169" s="82">
        <v>34519</v>
      </c>
      <c r="D169" s="43" t="s">
        <v>9</v>
      </c>
      <c r="E169" s="43" t="s">
        <v>20</v>
      </c>
      <c r="F169" s="43">
        <v>1</v>
      </c>
      <c r="G169" s="48">
        <v>0</v>
      </c>
      <c r="H169" s="51"/>
      <c r="I169" s="51" t="s">
        <v>315</v>
      </c>
      <c r="J169" s="5"/>
      <c r="K169" s="108"/>
      <c r="S169" s="117"/>
      <c r="T169" s="243"/>
      <c r="U169" s="243"/>
      <c r="V169" s="243"/>
      <c r="W169" s="243"/>
      <c r="X169" s="126"/>
      <c r="Y169" s="125"/>
    </row>
    <row r="170" spans="1:25" ht="15" thickBot="1" x14ac:dyDescent="0.35">
      <c r="A170" s="156"/>
      <c r="B170" s="265"/>
      <c r="C170" s="83"/>
      <c r="D170" s="80"/>
      <c r="E170" s="80"/>
      <c r="F170" s="80" t="s">
        <v>170</v>
      </c>
      <c r="G170" s="84" t="s">
        <v>171</v>
      </c>
      <c r="H170" s="81"/>
      <c r="I170" s="81"/>
      <c r="J170" s="5"/>
      <c r="K170" s="108"/>
      <c r="S170" s="122"/>
      <c r="T170" s="17"/>
      <c r="U170" s="17"/>
      <c r="V170" s="17"/>
      <c r="W170" s="17"/>
      <c r="X170" s="17"/>
      <c r="Y170" s="123"/>
    </row>
    <row r="171" spans="1:25" x14ac:dyDescent="0.3">
      <c r="A171" s="156"/>
      <c r="B171" s="265"/>
      <c r="C171" s="82">
        <v>34520</v>
      </c>
      <c r="D171" s="43" t="s">
        <v>307</v>
      </c>
      <c r="E171" s="43" t="s">
        <v>37</v>
      </c>
      <c r="F171" s="43">
        <v>1</v>
      </c>
      <c r="G171" s="48">
        <v>2</v>
      </c>
      <c r="H171" s="51" t="s">
        <v>30</v>
      </c>
      <c r="I171" s="51" t="s">
        <v>305</v>
      </c>
      <c r="J171" s="5"/>
      <c r="K171" s="108"/>
      <c r="S171" s="117"/>
      <c r="T171" s="243"/>
      <c r="U171" s="243"/>
      <c r="V171" s="243"/>
      <c r="W171" s="243"/>
      <c r="X171" s="243"/>
      <c r="Y171" s="118"/>
    </row>
    <row r="172" spans="1:25" x14ac:dyDescent="0.3">
      <c r="A172" s="156"/>
      <c r="B172" s="265"/>
      <c r="C172" s="82"/>
      <c r="D172" s="43"/>
      <c r="E172" s="43"/>
      <c r="F172" s="43">
        <v>1</v>
      </c>
      <c r="G172" s="48">
        <v>1</v>
      </c>
      <c r="H172" s="51"/>
      <c r="I172" s="51"/>
      <c r="J172" s="5"/>
      <c r="K172" s="108"/>
      <c r="S172" s="117"/>
      <c r="T172" s="243"/>
      <c r="U172" s="243"/>
      <c r="V172" s="243"/>
      <c r="W172" s="243"/>
      <c r="X172" s="243"/>
      <c r="Y172" s="118"/>
    </row>
    <row r="173" spans="1:25" ht="15" thickBot="1" x14ac:dyDescent="0.35">
      <c r="A173" s="156"/>
      <c r="B173" s="265"/>
      <c r="C173" s="83"/>
      <c r="D173" s="80"/>
      <c r="E173" s="80"/>
      <c r="F173" s="80" t="s">
        <v>172</v>
      </c>
      <c r="G173" s="84" t="s">
        <v>171</v>
      </c>
      <c r="H173" s="81"/>
      <c r="I173" s="81"/>
      <c r="J173" s="5"/>
      <c r="K173" s="108"/>
      <c r="S173" s="117"/>
      <c r="T173" s="243"/>
      <c r="U173" s="243"/>
      <c r="V173" s="243"/>
      <c r="W173" s="243"/>
      <c r="X173" s="243"/>
      <c r="Y173" s="118"/>
    </row>
    <row r="174" spans="1:25" x14ac:dyDescent="0.3">
      <c r="A174" s="156"/>
      <c r="B174" s="265"/>
      <c r="C174" s="82">
        <v>34520</v>
      </c>
      <c r="D174" s="43" t="s">
        <v>4</v>
      </c>
      <c r="E174" s="43" t="s">
        <v>125</v>
      </c>
      <c r="F174" s="43">
        <v>1</v>
      </c>
      <c r="G174" s="48">
        <v>3</v>
      </c>
      <c r="H174" s="51" t="s">
        <v>214</v>
      </c>
      <c r="I174" s="51" t="s">
        <v>309</v>
      </c>
      <c r="J174" s="5"/>
      <c r="K174" s="108"/>
      <c r="S174" s="117"/>
      <c r="T174" s="243"/>
      <c r="U174" s="243"/>
      <c r="V174" s="243"/>
      <c r="W174" s="243"/>
      <c r="X174" s="243"/>
      <c r="Y174" s="118"/>
    </row>
    <row r="175" spans="1:25" x14ac:dyDescent="0.3">
      <c r="A175" s="156"/>
      <c r="B175" s="265"/>
      <c r="C175" s="49"/>
      <c r="D175" s="43"/>
      <c r="E175" s="43"/>
      <c r="F175" s="43">
        <v>1</v>
      </c>
      <c r="G175" s="48">
        <v>1</v>
      </c>
      <c r="H175" s="51" t="s">
        <v>30</v>
      </c>
      <c r="I175" s="51"/>
      <c r="J175" s="5"/>
      <c r="K175" s="108"/>
      <c r="S175" s="117"/>
      <c r="T175" s="243"/>
      <c r="U175" s="243"/>
      <c r="V175" s="243"/>
      <c r="W175" s="243"/>
      <c r="X175" s="243"/>
      <c r="Y175" s="118"/>
    </row>
    <row r="176" spans="1:25" x14ac:dyDescent="0.3">
      <c r="A176" s="156"/>
      <c r="B176" s="265"/>
      <c r="C176" s="49"/>
      <c r="D176" s="49"/>
      <c r="E176" s="49"/>
      <c r="F176" s="49">
        <v>1</v>
      </c>
      <c r="G176" s="51">
        <v>1</v>
      </c>
      <c r="H176" s="51"/>
      <c r="I176" s="51"/>
      <c r="J176" s="5"/>
      <c r="K176" s="108"/>
      <c r="S176" s="117"/>
      <c r="T176" s="243"/>
      <c r="U176" s="243"/>
      <c r="V176" s="243"/>
      <c r="W176" s="243"/>
      <c r="X176" s="126"/>
      <c r="Y176" s="125"/>
    </row>
    <row r="177" spans="1:25" x14ac:dyDescent="0.3">
      <c r="A177" s="156"/>
      <c r="B177" s="265"/>
      <c r="C177" s="49"/>
      <c r="D177" s="49"/>
      <c r="E177" s="49"/>
      <c r="F177" s="49" t="s">
        <v>172</v>
      </c>
      <c r="G177" s="51" t="s">
        <v>183</v>
      </c>
      <c r="H177" s="51"/>
      <c r="I177" s="51"/>
      <c r="J177" s="5"/>
      <c r="K177" s="108"/>
      <c r="S177" s="117"/>
      <c r="T177" s="243"/>
      <c r="U177" s="243"/>
      <c r="V177" s="243"/>
      <c r="W177" s="243"/>
      <c r="X177" s="243"/>
      <c r="Y177" s="118"/>
    </row>
    <row r="178" spans="1:25" x14ac:dyDescent="0.3">
      <c r="A178" s="156"/>
      <c r="B178" s="265"/>
      <c r="C178" s="265"/>
      <c r="D178" s="265"/>
      <c r="E178" s="265"/>
      <c r="F178" s="265"/>
      <c r="G178" s="5"/>
      <c r="H178" s="5"/>
      <c r="I178" s="5"/>
      <c r="J178" s="5"/>
      <c r="K178" s="108"/>
      <c r="S178" s="117"/>
      <c r="T178" s="243"/>
      <c r="U178" s="243"/>
      <c r="V178" s="243"/>
      <c r="W178" s="243"/>
      <c r="X178" s="243"/>
      <c r="Y178" s="118"/>
    </row>
    <row r="179" spans="1:25" x14ac:dyDescent="0.3">
      <c r="A179" s="156"/>
      <c r="B179" s="265"/>
      <c r="C179" s="265"/>
      <c r="D179" s="265"/>
      <c r="E179" s="265"/>
      <c r="F179" s="265"/>
      <c r="G179" s="5"/>
      <c r="H179" s="5"/>
      <c r="I179" s="5"/>
      <c r="J179" s="5"/>
      <c r="K179" s="108"/>
      <c r="S179" s="117"/>
      <c r="T179" s="243"/>
      <c r="U179" s="243"/>
      <c r="V179" s="243"/>
      <c r="W179" s="243"/>
      <c r="X179" s="243"/>
      <c r="Y179" s="118"/>
    </row>
    <row r="180" spans="1:25" ht="21" x14ac:dyDescent="0.4">
      <c r="A180" s="156"/>
      <c r="B180" s="265"/>
      <c r="C180" s="265"/>
      <c r="D180" s="265"/>
      <c r="E180" s="265"/>
      <c r="F180" s="264" t="s">
        <v>456</v>
      </c>
      <c r="G180" s="5"/>
      <c r="H180" s="5"/>
      <c r="I180" s="5"/>
      <c r="J180" s="5"/>
      <c r="K180" s="108"/>
      <c r="S180" s="117"/>
      <c r="T180" s="243"/>
      <c r="U180" s="243"/>
      <c r="V180" s="243"/>
      <c r="W180" s="243"/>
      <c r="X180" s="243"/>
      <c r="Y180" s="118"/>
    </row>
    <row r="181" spans="1:25" x14ac:dyDescent="0.3">
      <c r="A181" s="156"/>
      <c r="B181" s="265"/>
      <c r="C181" s="265"/>
      <c r="D181" s="49"/>
      <c r="E181" s="49"/>
      <c r="F181" s="49"/>
      <c r="G181" s="51"/>
      <c r="H181" s="51"/>
      <c r="I181" s="5"/>
      <c r="J181" s="5"/>
      <c r="K181" s="108"/>
      <c r="S181" s="117"/>
      <c r="T181" s="243"/>
      <c r="U181" s="243"/>
      <c r="V181" s="243"/>
      <c r="W181" s="243"/>
      <c r="X181" s="243"/>
      <c r="Y181" s="118"/>
    </row>
    <row r="182" spans="1:25" x14ac:dyDescent="0.3">
      <c r="A182" s="156"/>
      <c r="B182" s="265"/>
      <c r="C182" s="40">
        <v>34524</v>
      </c>
      <c r="D182" s="49" t="s">
        <v>37</v>
      </c>
      <c r="E182" s="43" t="s">
        <v>35</v>
      </c>
      <c r="F182" s="43">
        <v>2</v>
      </c>
      <c r="G182" s="48">
        <v>1</v>
      </c>
      <c r="H182" s="48"/>
      <c r="I182" s="5" t="s">
        <v>305</v>
      </c>
      <c r="J182" s="5"/>
      <c r="K182" s="108"/>
      <c r="S182" s="117" t="s">
        <v>37</v>
      </c>
      <c r="T182" s="243" t="s">
        <v>35</v>
      </c>
      <c r="U182" s="243">
        <v>2</v>
      </c>
      <c r="V182" s="243">
        <v>1</v>
      </c>
      <c r="W182" s="243"/>
      <c r="X182" s="126">
        <f t="shared" ref="X182:X185" si="33">(IF(U182&gt;V182,3,IF(U182=V182,1,2)))</f>
        <v>3</v>
      </c>
      <c r="Y182" s="125">
        <f t="shared" ref="Y182:Y185" si="34">(IF(V182&gt;U182,3,IF(U182=V182,1,2)))</f>
        <v>2</v>
      </c>
    </row>
    <row r="183" spans="1:25" ht="15" thickBot="1" x14ac:dyDescent="0.35">
      <c r="A183" s="156"/>
      <c r="B183" s="265"/>
      <c r="C183" s="58"/>
      <c r="D183" s="80"/>
      <c r="E183" s="80"/>
      <c r="F183" s="80" t="s">
        <v>172</v>
      </c>
      <c r="G183" s="84" t="s">
        <v>171</v>
      </c>
      <c r="H183" s="84"/>
      <c r="I183" s="8"/>
      <c r="J183" s="5"/>
      <c r="K183" s="108"/>
      <c r="S183" s="117" t="s">
        <v>9</v>
      </c>
      <c r="T183" s="243" t="s">
        <v>63</v>
      </c>
      <c r="U183" s="243">
        <v>3</v>
      </c>
      <c r="V183" s="243">
        <v>2</v>
      </c>
      <c r="W183" s="243"/>
      <c r="X183" s="126">
        <f t="shared" si="33"/>
        <v>3</v>
      </c>
      <c r="Y183" s="125">
        <f t="shared" si="34"/>
        <v>2</v>
      </c>
    </row>
    <row r="184" spans="1:25" x14ac:dyDescent="0.3">
      <c r="A184" s="156"/>
      <c r="B184" s="265"/>
      <c r="C184" s="40">
        <v>34524</v>
      </c>
      <c r="D184" s="43" t="s">
        <v>9</v>
      </c>
      <c r="E184" s="43" t="s">
        <v>63</v>
      </c>
      <c r="F184" s="43">
        <v>3</v>
      </c>
      <c r="G184" s="48">
        <v>2</v>
      </c>
      <c r="H184" s="48"/>
      <c r="I184" s="5" t="s">
        <v>304</v>
      </c>
      <c r="J184" s="5"/>
      <c r="K184" s="108"/>
      <c r="S184" s="117" t="s">
        <v>88</v>
      </c>
      <c r="T184" s="243" t="s">
        <v>125</v>
      </c>
      <c r="U184" s="243">
        <v>1</v>
      </c>
      <c r="V184" s="243">
        <v>2</v>
      </c>
      <c r="W184" s="243"/>
      <c r="X184" s="126">
        <f t="shared" si="33"/>
        <v>2</v>
      </c>
      <c r="Y184" s="125">
        <f t="shared" si="34"/>
        <v>3</v>
      </c>
    </row>
    <row r="185" spans="1:25" ht="15" thickBot="1" x14ac:dyDescent="0.35">
      <c r="A185" s="156"/>
      <c r="B185" s="265"/>
      <c r="C185" s="58"/>
      <c r="D185" s="80"/>
      <c r="E185" s="80"/>
      <c r="F185" s="80" t="s">
        <v>172</v>
      </c>
      <c r="G185" s="84" t="s">
        <v>171</v>
      </c>
      <c r="H185" s="84"/>
      <c r="I185" s="8"/>
      <c r="J185" s="5"/>
      <c r="K185" s="108"/>
      <c r="S185" s="117" t="s">
        <v>16</v>
      </c>
      <c r="T185" s="243" t="s">
        <v>41</v>
      </c>
      <c r="U185" s="243">
        <v>6</v>
      </c>
      <c r="V185" s="243">
        <v>7</v>
      </c>
      <c r="W185" s="243"/>
      <c r="X185" s="126">
        <f t="shared" si="33"/>
        <v>2</v>
      </c>
      <c r="Y185" s="125">
        <f t="shared" si="34"/>
        <v>3</v>
      </c>
    </row>
    <row r="186" spans="1:25" x14ac:dyDescent="0.3">
      <c r="A186" s="156"/>
      <c r="B186" s="265"/>
      <c r="C186" s="40">
        <v>34525</v>
      </c>
      <c r="D186" s="43" t="s">
        <v>88</v>
      </c>
      <c r="E186" s="43" t="s">
        <v>125</v>
      </c>
      <c r="F186" s="43">
        <v>1</v>
      </c>
      <c r="G186" s="48">
        <v>2</v>
      </c>
      <c r="H186" s="48"/>
      <c r="I186" s="5" t="s">
        <v>309</v>
      </c>
      <c r="J186" s="5"/>
      <c r="K186" s="108"/>
      <c r="S186" s="117"/>
      <c r="T186" s="243"/>
      <c r="U186" s="243"/>
      <c r="V186" s="243"/>
      <c r="W186" s="243"/>
      <c r="X186" s="126"/>
      <c r="Y186" s="125"/>
    </row>
    <row r="187" spans="1:25" ht="15" thickBot="1" x14ac:dyDescent="0.35">
      <c r="A187" s="156"/>
      <c r="B187" s="265"/>
      <c r="C187" s="58"/>
      <c r="D187" s="80"/>
      <c r="E187" s="80"/>
      <c r="F187" s="80" t="s">
        <v>170</v>
      </c>
      <c r="G187" s="84" t="s">
        <v>171</v>
      </c>
      <c r="H187" s="84"/>
      <c r="I187" s="8"/>
      <c r="J187" s="5"/>
      <c r="K187" s="108"/>
      <c r="S187" s="117"/>
      <c r="T187" s="243"/>
      <c r="U187" s="243"/>
      <c r="V187" s="243"/>
      <c r="W187" s="243"/>
      <c r="X187" s="126"/>
      <c r="Y187" s="125"/>
    </row>
    <row r="188" spans="1:25" x14ac:dyDescent="0.3">
      <c r="A188" s="156"/>
      <c r="B188" s="265"/>
      <c r="C188" s="40">
        <v>34525</v>
      </c>
      <c r="D188" s="43" t="s">
        <v>16</v>
      </c>
      <c r="E188" s="43" t="s">
        <v>41</v>
      </c>
      <c r="F188" s="43">
        <v>4</v>
      </c>
      <c r="G188" s="48">
        <v>5</v>
      </c>
      <c r="H188" s="48" t="s">
        <v>214</v>
      </c>
      <c r="I188" s="5" t="s">
        <v>315</v>
      </c>
      <c r="J188" s="5"/>
      <c r="K188" s="108"/>
      <c r="S188" s="117"/>
      <c r="T188" s="243"/>
      <c r="U188" s="243"/>
      <c r="V188" s="243"/>
      <c r="W188" s="243"/>
      <c r="X188" s="243"/>
      <c r="Y188" s="118"/>
    </row>
    <row r="189" spans="1:25" x14ac:dyDescent="0.3">
      <c r="A189" s="156"/>
      <c r="B189" s="265"/>
      <c r="C189" s="265"/>
      <c r="D189" s="43"/>
      <c r="E189" s="43"/>
      <c r="F189" s="43">
        <v>2</v>
      </c>
      <c r="G189" s="48">
        <v>2</v>
      </c>
      <c r="H189" s="48" t="s">
        <v>30</v>
      </c>
      <c r="I189" s="5"/>
      <c r="J189" s="5"/>
      <c r="K189" s="108"/>
      <c r="S189" s="117"/>
      <c r="T189" s="243"/>
      <c r="U189" s="243"/>
      <c r="V189" s="243"/>
      <c r="W189" s="243"/>
      <c r="X189" s="243"/>
      <c r="Y189" s="118"/>
    </row>
    <row r="190" spans="1:25" x14ac:dyDescent="0.3">
      <c r="A190" s="156"/>
      <c r="B190" s="265"/>
      <c r="C190" s="265"/>
      <c r="D190" s="43"/>
      <c r="E190" s="43"/>
      <c r="F190" s="43">
        <v>1</v>
      </c>
      <c r="G190" s="48">
        <v>1</v>
      </c>
      <c r="H190" s="48"/>
      <c r="I190" s="5"/>
      <c r="J190" s="5"/>
      <c r="K190" s="108"/>
      <c r="S190" s="117"/>
      <c r="T190" s="243"/>
      <c r="U190" s="243"/>
      <c r="V190" s="243"/>
      <c r="W190" s="243"/>
      <c r="X190" s="243"/>
      <c r="Y190" s="118"/>
    </row>
    <row r="191" spans="1:25" x14ac:dyDescent="0.3">
      <c r="A191" s="156"/>
      <c r="B191" s="265"/>
      <c r="C191" s="265"/>
      <c r="D191" s="43"/>
      <c r="E191" s="43"/>
      <c r="F191" s="43" t="s">
        <v>170</v>
      </c>
      <c r="G191" s="48" t="s">
        <v>171</v>
      </c>
      <c r="H191" s="48"/>
      <c r="I191" s="5"/>
      <c r="J191" s="5"/>
      <c r="K191" s="108"/>
      <c r="S191" s="117"/>
      <c r="T191" s="243"/>
      <c r="U191" s="243"/>
      <c r="V191" s="243"/>
      <c r="W191" s="243"/>
      <c r="X191" s="243"/>
      <c r="Y191" s="118"/>
    </row>
    <row r="192" spans="1:25" x14ac:dyDescent="0.3">
      <c r="A192" s="156"/>
      <c r="B192" s="265"/>
      <c r="C192" s="265"/>
      <c r="D192" s="17"/>
      <c r="E192" s="17"/>
      <c r="F192" s="17"/>
      <c r="G192" s="18"/>
      <c r="H192" s="18"/>
      <c r="I192" s="5"/>
      <c r="J192" s="5"/>
      <c r="K192" s="108"/>
      <c r="S192" s="117"/>
      <c r="T192" s="243"/>
      <c r="U192" s="243"/>
      <c r="V192" s="243"/>
      <c r="W192" s="243"/>
      <c r="X192" s="243"/>
      <c r="Y192" s="118"/>
    </row>
    <row r="193" spans="1:25" x14ac:dyDescent="0.3">
      <c r="A193" s="24"/>
      <c r="B193" s="17"/>
      <c r="C193" s="17"/>
      <c r="D193" s="17"/>
      <c r="E193" s="17"/>
      <c r="F193" s="17"/>
      <c r="G193" s="18"/>
      <c r="H193" s="18"/>
      <c r="I193" s="18"/>
      <c r="J193" s="18"/>
      <c r="K193" s="108"/>
      <c r="S193" s="117"/>
      <c r="Y193" s="118"/>
    </row>
    <row r="194" spans="1:25" ht="21" x14ac:dyDescent="0.4">
      <c r="A194" s="24"/>
      <c r="B194" s="17"/>
      <c r="C194" s="17"/>
      <c r="D194" s="17"/>
      <c r="E194" s="17"/>
      <c r="F194" s="70" t="s">
        <v>458</v>
      </c>
      <c r="G194" s="18"/>
      <c r="H194" s="18"/>
      <c r="I194" s="18"/>
      <c r="J194" s="18"/>
      <c r="K194" s="108"/>
      <c r="S194" s="117"/>
      <c r="Y194" s="118"/>
    </row>
    <row r="195" spans="1:25" x14ac:dyDescent="0.3">
      <c r="A195" s="156"/>
      <c r="B195" s="28"/>
      <c r="C195" s="265"/>
      <c r="D195" s="49"/>
      <c r="E195" s="49"/>
      <c r="F195" s="49"/>
      <c r="G195" s="51"/>
      <c r="H195" s="5"/>
      <c r="I195" s="5"/>
      <c r="J195" s="5"/>
      <c r="K195" s="108"/>
      <c r="S195" s="117"/>
      <c r="Y195" s="118"/>
    </row>
    <row r="196" spans="1:25" s="13" customFormat="1" x14ac:dyDescent="0.3">
      <c r="A196" s="186"/>
      <c r="B196" s="95"/>
      <c r="C196" s="165">
        <v>34528</v>
      </c>
      <c r="D196" s="43" t="s">
        <v>125</v>
      </c>
      <c r="E196" s="43" t="s">
        <v>37</v>
      </c>
      <c r="F196" s="43">
        <v>1</v>
      </c>
      <c r="G196" s="43">
        <v>2</v>
      </c>
      <c r="H196" s="17"/>
      <c r="I196" s="18" t="s">
        <v>309</v>
      </c>
      <c r="J196" s="18"/>
      <c r="K196" s="109"/>
      <c r="S196" s="117" t="s">
        <v>125</v>
      </c>
      <c r="T196" s="244" t="s">
        <v>37</v>
      </c>
      <c r="U196" s="244">
        <v>1</v>
      </c>
      <c r="V196" s="244">
        <v>2</v>
      </c>
      <c r="W196" s="244"/>
      <c r="X196" s="126">
        <f t="shared" ref="X196:X197" si="35">(IF(U196&gt;V196,3,IF(U196=V196,1,2)))</f>
        <v>2</v>
      </c>
      <c r="Y196" s="125">
        <f t="shared" ref="Y196:Y197" si="36">(IF(V196&gt;U196,3,IF(U196=V196,1,2)))</f>
        <v>3</v>
      </c>
    </row>
    <row r="197" spans="1:25" s="13" customFormat="1" ht="15" thickBot="1" x14ac:dyDescent="0.35">
      <c r="A197" s="186"/>
      <c r="B197" s="95"/>
      <c r="C197" s="62"/>
      <c r="D197" s="80"/>
      <c r="E197" s="80"/>
      <c r="F197" s="80" t="s">
        <v>172</v>
      </c>
      <c r="G197" s="80" t="s">
        <v>173</v>
      </c>
      <c r="H197" s="30"/>
      <c r="I197" s="31"/>
      <c r="J197" s="18"/>
      <c r="K197" s="109"/>
      <c r="S197" s="117" t="s">
        <v>41</v>
      </c>
      <c r="T197" s="244" t="s">
        <v>9</v>
      </c>
      <c r="U197" s="244">
        <v>0</v>
      </c>
      <c r="V197" s="244">
        <v>1</v>
      </c>
      <c r="W197" s="244"/>
      <c r="X197" s="126">
        <f t="shared" si="35"/>
        <v>2</v>
      </c>
      <c r="Y197" s="125">
        <f t="shared" si="36"/>
        <v>3</v>
      </c>
    </row>
    <row r="198" spans="1:25" s="13" customFormat="1" x14ac:dyDescent="0.3">
      <c r="A198" s="186"/>
      <c r="B198" s="95"/>
      <c r="C198" s="165">
        <v>34528</v>
      </c>
      <c r="D198" s="43" t="s">
        <v>41</v>
      </c>
      <c r="E198" s="43" t="s">
        <v>9</v>
      </c>
      <c r="F198" s="43">
        <v>0</v>
      </c>
      <c r="G198" s="43">
        <v>1</v>
      </c>
      <c r="H198" s="17"/>
      <c r="I198" s="18" t="s">
        <v>300</v>
      </c>
      <c r="J198" s="18"/>
      <c r="K198" s="109"/>
      <c r="S198" s="117"/>
      <c r="T198" s="244"/>
      <c r="U198" s="244"/>
      <c r="V198" s="244"/>
      <c r="W198" s="244"/>
      <c r="X198" s="244"/>
      <c r="Y198" s="118"/>
    </row>
    <row r="199" spans="1:25" x14ac:dyDescent="0.3">
      <c r="A199" s="156"/>
      <c r="B199" s="265"/>
      <c r="C199" s="265"/>
      <c r="D199" s="49"/>
      <c r="E199" s="49"/>
      <c r="F199" s="49" t="s">
        <v>170</v>
      </c>
      <c r="G199" s="51" t="s">
        <v>171</v>
      </c>
      <c r="H199" s="5"/>
      <c r="I199" s="5"/>
      <c r="J199" s="5"/>
      <c r="K199" s="108"/>
      <c r="S199" s="117"/>
      <c r="Y199" s="118"/>
    </row>
    <row r="200" spans="1:25" x14ac:dyDescent="0.3">
      <c r="A200" s="156"/>
      <c r="B200" s="265"/>
      <c r="C200" s="265"/>
      <c r="D200" s="265"/>
      <c r="E200" s="265"/>
      <c r="F200" s="265"/>
      <c r="G200" s="5"/>
      <c r="H200" s="5"/>
      <c r="I200" s="5"/>
      <c r="J200" s="5"/>
      <c r="K200" s="108"/>
      <c r="S200" s="117"/>
      <c r="Y200" s="118"/>
    </row>
    <row r="201" spans="1:25" ht="15" thickBot="1" x14ac:dyDescent="0.35">
      <c r="A201" s="156"/>
      <c r="B201" s="265"/>
      <c r="C201" s="265"/>
      <c r="D201" s="265"/>
      <c r="E201" s="265"/>
      <c r="F201" s="265"/>
      <c r="G201" s="5"/>
      <c r="H201" s="5"/>
      <c r="I201" s="5"/>
      <c r="J201" s="5"/>
      <c r="K201" s="108"/>
      <c r="S201" s="117"/>
      <c r="Y201" s="118"/>
    </row>
    <row r="202" spans="1:25" ht="21" x14ac:dyDescent="0.4">
      <c r="A202" s="156"/>
      <c r="B202" s="265"/>
      <c r="C202" s="420" t="s">
        <v>455</v>
      </c>
      <c r="D202" s="444"/>
      <c r="E202" s="444"/>
      <c r="F202" s="444"/>
      <c r="G202" s="444"/>
      <c r="H202" s="444"/>
      <c r="I202" s="445"/>
      <c r="J202" s="5"/>
      <c r="K202" s="93"/>
      <c r="L202" s="69"/>
      <c r="S202" s="117"/>
      <c r="Y202" s="118"/>
    </row>
    <row r="203" spans="1:25" ht="14.4" customHeight="1" x14ac:dyDescent="0.4">
      <c r="A203" s="156"/>
      <c r="B203" s="387"/>
      <c r="C203" s="364"/>
      <c r="D203" s="388"/>
      <c r="E203" s="388"/>
      <c r="F203" s="388"/>
      <c r="G203" s="388"/>
      <c r="H203" s="388"/>
      <c r="I203" s="384"/>
      <c r="J203" s="5"/>
      <c r="K203" s="391"/>
      <c r="L203" s="357"/>
      <c r="S203" s="117"/>
      <c r="T203" s="357"/>
      <c r="U203" s="357"/>
      <c r="V203" s="357"/>
      <c r="W203" s="357"/>
      <c r="X203" s="357"/>
      <c r="Y203" s="118"/>
    </row>
    <row r="204" spans="1:25" s="13" customFormat="1" x14ac:dyDescent="0.3">
      <c r="A204" s="194"/>
      <c r="B204" s="17"/>
      <c r="C204" s="21"/>
      <c r="D204" s="43" t="s">
        <v>41</v>
      </c>
      <c r="E204" s="85" t="s">
        <v>125</v>
      </c>
      <c r="F204" s="17">
        <v>4</v>
      </c>
      <c r="G204" s="18">
        <v>0</v>
      </c>
      <c r="I204" s="22"/>
      <c r="J204" s="18"/>
      <c r="K204" s="35"/>
      <c r="L204" s="10"/>
      <c r="S204" s="117" t="s">
        <v>41</v>
      </c>
      <c r="T204" s="244" t="s">
        <v>125</v>
      </c>
      <c r="U204" s="244">
        <v>4</v>
      </c>
      <c r="V204" s="244">
        <v>0</v>
      </c>
      <c r="W204" s="244"/>
      <c r="X204" s="126">
        <f t="shared" ref="X204" si="37">(IF(U204&gt;V204,3,IF(U204=V204,1,2)))</f>
        <v>3</v>
      </c>
      <c r="Y204" s="125">
        <f t="shared" ref="Y204" si="38">(IF(V204&gt;U204,3,IF(U204=V204,1,2)))</f>
        <v>2</v>
      </c>
    </row>
    <row r="205" spans="1:25" x14ac:dyDescent="0.3">
      <c r="A205" s="156"/>
      <c r="B205" s="265"/>
      <c r="C205" s="3"/>
      <c r="D205" s="49"/>
      <c r="E205" s="49"/>
      <c r="F205" s="278" t="s">
        <v>268</v>
      </c>
      <c r="G205" s="5" t="s">
        <v>171</v>
      </c>
      <c r="I205" s="6"/>
      <c r="J205" s="5"/>
      <c r="K205" s="93"/>
      <c r="L205" s="69"/>
      <c r="S205" s="117"/>
      <c r="Y205" s="118"/>
    </row>
    <row r="206" spans="1:25" ht="15" thickBot="1" x14ac:dyDescent="0.35">
      <c r="A206" s="156"/>
      <c r="B206" s="265"/>
      <c r="C206" s="7"/>
      <c r="D206" s="280"/>
      <c r="E206" s="280"/>
      <c r="F206" s="280"/>
      <c r="G206" s="280"/>
      <c r="H206" s="8"/>
      <c r="I206" s="9"/>
      <c r="J206" s="5"/>
      <c r="K206" s="93"/>
      <c r="L206" s="69"/>
      <c r="S206" s="117"/>
      <c r="Y206" s="118"/>
    </row>
    <row r="207" spans="1:25" x14ac:dyDescent="0.3">
      <c r="A207" s="156"/>
      <c r="B207" s="265"/>
      <c r="C207" s="265"/>
      <c r="D207" s="265"/>
      <c r="E207" s="265"/>
      <c r="F207" s="265"/>
      <c r="G207" s="265"/>
      <c r="H207" s="5"/>
      <c r="I207" s="5"/>
      <c r="J207" s="5"/>
      <c r="K207" s="93"/>
      <c r="L207" s="69"/>
      <c r="S207" s="117"/>
      <c r="Y207" s="118"/>
    </row>
    <row r="208" spans="1:25" x14ac:dyDescent="0.3">
      <c r="A208" s="156"/>
      <c r="B208" s="265"/>
      <c r="C208" s="265"/>
      <c r="D208" s="265"/>
      <c r="E208" s="265"/>
      <c r="F208" s="265"/>
      <c r="G208" s="265"/>
      <c r="H208" s="5"/>
      <c r="I208" s="5"/>
      <c r="J208" s="5"/>
      <c r="K208" s="93"/>
      <c r="L208" s="69"/>
      <c r="S208" s="117"/>
      <c r="Y208" s="118"/>
    </row>
    <row r="209" spans="1:25" x14ac:dyDescent="0.3">
      <c r="A209" s="156"/>
      <c r="B209" s="265"/>
      <c r="C209" s="265"/>
      <c r="D209" s="265"/>
      <c r="E209" s="265"/>
      <c r="F209" s="265"/>
      <c r="G209" s="265"/>
      <c r="H209" s="5"/>
      <c r="I209" s="5"/>
      <c r="J209" s="5"/>
      <c r="K209" s="93"/>
      <c r="L209" s="69"/>
      <c r="S209" s="117"/>
      <c r="Y209" s="118"/>
    </row>
    <row r="210" spans="1:25" ht="15" thickBot="1" x14ac:dyDescent="0.35">
      <c r="A210" s="156"/>
      <c r="B210" s="265"/>
      <c r="C210" s="265"/>
      <c r="D210" s="265"/>
      <c r="E210" s="265"/>
      <c r="F210" s="265"/>
      <c r="G210" s="265"/>
      <c r="H210" s="5"/>
      <c r="I210" s="5"/>
      <c r="J210" s="5"/>
      <c r="K210" s="93"/>
      <c r="L210" s="69"/>
      <c r="S210" s="117"/>
      <c r="Y210" s="118"/>
    </row>
    <row r="211" spans="1:25" ht="21" x14ac:dyDescent="0.4">
      <c r="A211" s="156"/>
      <c r="B211" s="265"/>
      <c r="C211" s="420" t="s">
        <v>454</v>
      </c>
      <c r="D211" s="444"/>
      <c r="E211" s="444"/>
      <c r="F211" s="444"/>
      <c r="G211" s="444"/>
      <c r="H211" s="444"/>
      <c r="I211" s="445"/>
      <c r="J211" s="5"/>
      <c r="K211" s="93"/>
      <c r="L211" s="69"/>
      <c r="S211" s="117"/>
      <c r="Y211" s="118"/>
    </row>
    <row r="212" spans="1:25" ht="14.4" customHeight="1" x14ac:dyDescent="0.4">
      <c r="A212" s="156"/>
      <c r="B212" s="387"/>
      <c r="C212" s="364"/>
      <c r="D212" s="388"/>
      <c r="E212" s="388"/>
      <c r="F212" s="388"/>
      <c r="G212" s="388"/>
      <c r="H212" s="388"/>
      <c r="I212" s="384"/>
      <c r="J212" s="5"/>
      <c r="K212" s="391"/>
      <c r="L212" s="357"/>
      <c r="S212" s="117"/>
      <c r="T212" s="357"/>
      <c r="U212" s="357"/>
      <c r="V212" s="357"/>
      <c r="W212" s="357"/>
      <c r="X212" s="357"/>
      <c r="Y212" s="118"/>
    </row>
    <row r="213" spans="1:25" s="13" customFormat="1" x14ac:dyDescent="0.3">
      <c r="A213" s="194"/>
      <c r="B213" s="17"/>
      <c r="C213" s="21"/>
      <c r="D213" s="43" t="s">
        <v>9</v>
      </c>
      <c r="E213" s="85" t="s">
        <v>37</v>
      </c>
      <c r="F213" s="43">
        <v>3</v>
      </c>
      <c r="G213" s="48">
        <v>2</v>
      </c>
      <c r="H213" s="18" t="s">
        <v>214</v>
      </c>
      <c r="I213" s="22"/>
      <c r="J213" s="18"/>
      <c r="K213" s="35"/>
      <c r="L213" s="10"/>
      <c r="S213" s="117" t="s">
        <v>9</v>
      </c>
      <c r="T213" s="244" t="s">
        <v>37</v>
      </c>
      <c r="U213" s="244">
        <v>3</v>
      </c>
      <c r="V213" s="244">
        <v>2</v>
      </c>
      <c r="W213" s="244"/>
      <c r="X213" s="126">
        <f t="shared" ref="X213" si="39">(IF(U213&gt;V213,3,IF(U213=V213,1,2)))</f>
        <v>3</v>
      </c>
      <c r="Y213" s="125">
        <f t="shared" ref="Y213" si="40">(IF(V213&gt;U213,3,IF(U213=V213,1,2)))</f>
        <v>2</v>
      </c>
    </row>
    <row r="214" spans="1:25" s="13" customFormat="1" x14ac:dyDescent="0.3">
      <c r="A214" s="194"/>
      <c r="B214" s="17"/>
      <c r="C214" s="21"/>
      <c r="D214" s="17"/>
      <c r="F214" s="43">
        <v>0</v>
      </c>
      <c r="G214" s="48">
        <v>0</v>
      </c>
      <c r="H214" s="18" t="s">
        <v>30</v>
      </c>
      <c r="I214" s="22"/>
      <c r="J214" s="18"/>
      <c r="K214" s="35"/>
      <c r="L214" s="10"/>
      <c r="S214" s="117"/>
      <c r="T214" s="244"/>
      <c r="U214" s="244"/>
      <c r="V214" s="244"/>
      <c r="W214" s="244"/>
      <c r="X214" s="244"/>
      <c r="Y214" s="118"/>
    </row>
    <row r="215" spans="1:25" s="13" customFormat="1" ht="15" thickBot="1" x14ac:dyDescent="0.35">
      <c r="A215" s="194"/>
      <c r="B215" s="17"/>
      <c r="C215" s="21"/>
      <c r="D215" s="17"/>
      <c r="F215" s="33">
        <v>0</v>
      </c>
      <c r="G215" s="51">
        <v>0</v>
      </c>
      <c r="H215" s="5"/>
      <c r="I215" s="22"/>
      <c r="J215" s="18"/>
      <c r="K215" s="35"/>
      <c r="L215" s="10"/>
      <c r="S215" s="119"/>
      <c r="T215" s="120"/>
      <c r="U215" s="120"/>
      <c r="V215" s="120"/>
      <c r="W215" s="120"/>
      <c r="X215" s="120"/>
      <c r="Y215" s="121"/>
    </row>
    <row r="216" spans="1:25" x14ac:dyDescent="0.3">
      <c r="A216" s="156"/>
      <c r="B216" s="265"/>
      <c r="C216" s="3"/>
      <c r="D216" s="278"/>
      <c r="F216" s="33" t="s">
        <v>170</v>
      </c>
      <c r="G216" s="2" t="s">
        <v>171</v>
      </c>
      <c r="I216" s="6"/>
      <c r="J216" s="5"/>
      <c r="K216" s="93"/>
      <c r="L216" s="69"/>
    </row>
    <row r="217" spans="1:25" ht="15" thickBot="1" x14ac:dyDescent="0.35">
      <c r="A217" s="156"/>
      <c r="B217" s="265"/>
      <c r="C217" s="7"/>
      <c r="D217" s="280"/>
      <c r="E217" s="280"/>
      <c r="F217" s="280"/>
      <c r="G217" s="8"/>
      <c r="H217" s="8"/>
      <c r="I217" s="9"/>
      <c r="J217" s="5"/>
      <c r="K217" s="93"/>
      <c r="L217" s="69"/>
    </row>
    <row r="218" spans="1:25" x14ac:dyDescent="0.3">
      <c r="A218" s="156"/>
      <c r="B218" s="265"/>
      <c r="C218" s="265"/>
      <c r="D218" s="265"/>
      <c r="E218" s="265"/>
      <c r="F218" s="265"/>
      <c r="G218" s="5"/>
      <c r="H218" s="5"/>
      <c r="I218" s="5"/>
      <c r="J218" s="5"/>
      <c r="K218" s="93"/>
      <c r="L218" s="69"/>
    </row>
    <row r="219" spans="1:25" s="13" customFormat="1" x14ac:dyDescent="0.3">
      <c r="A219" s="194"/>
      <c r="B219" s="17"/>
      <c r="C219" s="17"/>
      <c r="D219" s="17"/>
      <c r="E219" s="17"/>
      <c r="F219" s="17"/>
      <c r="G219" s="18"/>
      <c r="H219" s="18"/>
      <c r="I219" s="18"/>
      <c r="J219" s="18"/>
      <c r="K219" s="35"/>
      <c r="L219" s="10"/>
      <c r="S219" s="244"/>
      <c r="T219" s="244"/>
      <c r="U219" s="244"/>
      <c r="V219" s="244"/>
      <c r="W219" s="244"/>
      <c r="X219" s="244"/>
      <c r="Y219" s="244"/>
    </row>
    <row r="220" spans="1:25" s="13" customFormat="1" x14ac:dyDescent="0.3">
      <c r="A220" s="24"/>
      <c r="B220" s="17"/>
      <c r="C220" s="17"/>
      <c r="D220" s="17"/>
      <c r="E220" s="17"/>
      <c r="F220" s="17"/>
      <c r="G220" s="18"/>
      <c r="H220" s="18"/>
      <c r="I220" s="18"/>
      <c r="J220" s="18"/>
      <c r="K220" s="109"/>
      <c r="S220" s="244"/>
      <c r="T220" s="244"/>
      <c r="U220" s="244"/>
      <c r="V220" s="244"/>
      <c r="W220" s="244"/>
      <c r="X220" s="244"/>
      <c r="Y220" s="244"/>
    </row>
    <row r="221" spans="1:25" s="13" customFormat="1" x14ac:dyDescent="0.3">
      <c r="A221" s="24"/>
      <c r="B221" s="17"/>
      <c r="C221" s="17"/>
      <c r="D221" s="17"/>
      <c r="E221" s="17"/>
      <c r="F221" s="17"/>
      <c r="G221" s="18"/>
      <c r="H221" s="18"/>
      <c r="I221" s="18"/>
      <c r="J221" s="18"/>
      <c r="K221" s="109"/>
      <c r="S221" s="244"/>
      <c r="T221" s="244"/>
      <c r="U221" s="244"/>
      <c r="V221" s="244"/>
      <c r="W221" s="244"/>
      <c r="X221" s="244"/>
      <c r="Y221" s="244"/>
    </row>
    <row r="222" spans="1:25" ht="15" thickBot="1" x14ac:dyDescent="0.35">
      <c r="A222" s="267"/>
      <c r="B222" s="265" t="s">
        <v>298</v>
      </c>
      <c r="C222" s="265" t="s">
        <v>12</v>
      </c>
      <c r="D222" s="265" t="s">
        <v>13</v>
      </c>
      <c r="E222" s="265" t="s">
        <v>14</v>
      </c>
      <c r="F222" s="265" t="s">
        <v>15</v>
      </c>
      <c r="G222" s="5" t="s">
        <v>24</v>
      </c>
      <c r="H222" s="5" t="s">
        <v>25</v>
      </c>
      <c r="I222" s="5" t="s">
        <v>301</v>
      </c>
      <c r="J222" s="5"/>
      <c r="K222" s="93"/>
      <c r="L222" s="69"/>
    </row>
    <row r="223" spans="1:25" s="13" customFormat="1" x14ac:dyDescent="0.3">
      <c r="A223" s="24"/>
      <c r="B223" s="14" t="s">
        <v>9</v>
      </c>
      <c r="C223" s="281">
        <f>COUNTIF($S$12:$T$213,"Brasilien")</f>
        <v>7</v>
      </c>
      <c r="D223" s="124">
        <f t="shared" ref="D223:D246" si="41">SUMPRODUCT(($S$12:$T$213=B223)*($X$12:$Y$213=3))</f>
        <v>6</v>
      </c>
      <c r="E223" s="124">
        <f t="shared" ref="E223:E246" si="42">SUMPRODUCT(($S$12:$T$213=B223)*($X$12:$Y$213=1))</f>
        <v>1</v>
      </c>
      <c r="F223" s="124">
        <f t="shared" ref="F223:F246" si="43">SUMPRODUCT(($S$12:$T$213=B223)*($X$12:$Y$213=2))</f>
        <v>0</v>
      </c>
      <c r="G223" s="124">
        <f t="shared" ref="G223:G246" si="44">SUMPRODUCT(($S$12:$S$213=B223)*($U$12:$U$213))+SUMPRODUCT(($T$12:$T$213=B223)*($V$12:$V$213))</f>
        <v>14</v>
      </c>
      <c r="H223" s="124">
        <f t="shared" ref="H223:H246" si="45">SUMPRODUCT(($S$12:$S$213=B223)*($V$12:$V$213))+SUMPRODUCT(($T$12:$T$213=B223)*($U$12:$U$213))</f>
        <v>5</v>
      </c>
      <c r="I223" s="16">
        <f t="shared" ref="I223:I246" si="46">(D223*3)+E223</f>
        <v>19</v>
      </c>
      <c r="J223" s="18"/>
      <c r="K223" s="109"/>
      <c r="S223" s="10"/>
      <c r="T223" s="10"/>
      <c r="U223" s="10"/>
      <c r="V223" s="10"/>
      <c r="W223" s="10"/>
      <c r="X223" s="10"/>
      <c r="Y223" s="10"/>
    </row>
    <row r="224" spans="1:25" s="13" customFormat="1" x14ac:dyDescent="0.3">
      <c r="A224" s="24"/>
      <c r="B224" s="21" t="s">
        <v>41</v>
      </c>
      <c r="C224" s="17">
        <f>COUNTIF($S$12:$T$213,"Schweden")</f>
        <v>7</v>
      </c>
      <c r="D224" s="43">
        <f t="shared" si="41"/>
        <v>4</v>
      </c>
      <c r="E224" s="43">
        <f t="shared" si="42"/>
        <v>2</v>
      </c>
      <c r="F224" s="43">
        <f t="shared" si="43"/>
        <v>1</v>
      </c>
      <c r="G224" s="43">
        <f t="shared" si="44"/>
        <v>20</v>
      </c>
      <c r="H224" s="43">
        <f t="shared" si="45"/>
        <v>12</v>
      </c>
      <c r="I224" s="22">
        <f t="shared" si="46"/>
        <v>14</v>
      </c>
      <c r="J224" s="18"/>
      <c r="K224" s="109"/>
      <c r="S224" s="10"/>
      <c r="T224" s="10"/>
      <c r="U224" s="10"/>
      <c r="V224" s="10"/>
      <c r="W224" s="10"/>
      <c r="X224" s="10"/>
      <c r="Y224" s="10"/>
    </row>
    <row r="225" spans="1:25" s="13" customFormat="1" x14ac:dyDescent="0.3">
      <c r="A225" s="24"/>
      <c r="B225" s="21" t="s">
        <v>37</v>
      </c>
      <c r="C225" s="17">
        <f>COUNTIF($S$12:$T$213,"Italien")</f>
        <v>7</v>
      </c>
      <c r="D225" s="43">
        <f t="shared" si="41"/>
        <v>4</v>
      </c>
      <c r="E225" s="43">
        <f t="shared" si="42"/>
        <v>1</v>
      </c>
      <c r="F225" s="43">
        <f t="shared" si="43"/>
        <v>2</v>
      </c>
      <c r="G225" s="43">
        <f t="shared" si="44"/>
        <v>10</v>
      </c>
      <c r="H225" s="43">
        <f t="shared" si="45"/>
        <v>8</v>
      </c>
      <c r="I225" s="22">
        <f t="shared" si="46"/>
        <v>13</v>
      </c>
      <c r="J225" s="18"/>
      <c r="K225" s="109"/>
      <c r="S225" s="10"/>
      <c r="T225" s="10"/>
      <c r="U225" s="10"/>
      <c r="V225" s="10"/>
      <c r="W225" s="10"/>
      <c r="X225" s="10"/>
      <c r="Y225" s="10"/>
    </row>
    <row r="226" spans="1:25" s="13" customFormat="1" x14ac:dyDescent="0.3">
      <c r="A226" s="24"/>
      <c r="B226" s="21" t="s">
        <v>125</v>
      </c>
      <c r="C226" s="17">
        <f>COUNTIF($S$12:$T$213,"Bulgarien")</f>
        <v>7</v>
      </c>
      <c r="D226" s="43">
        <f t="shared" si="41"/>
        <v>4</v>
      </c>
      <c r="E226" s="43">
        <f t="shared" si="42"/>
        <v>0</v>
      </c>
      <c r="F226" s="43">
        <f t="shared" si="43"/>
        <v>3</v>
      </c>
      <c r="G226" s="43">
        <f t="shared" si="44"/>
        <v>13</v>
      </c>
      <c r="H226" s="43">
        <f t="shared" si="45"/>
        <v>12</v>
      </c>
      <c r="I226" s="22">
        <f t="shared" si="46"/>
        <v>12</v>
      </c>
      <c r="J226" s="18"/>
      <c r="K226" s="109"/>
      <c r="S226" s="10"/>
      <c r="T226" s="10"/>
      <c r="U226" s="10"/>
      <c r="V226" s="10"/>
      <c r="W226" s="10"/>
      <c r="X226" s="10"/>
      <c r="Y226" s="10"/>
    </row>
    <row r="227" spans="1:25" s="13" customFormat="1" x14ac:dyDescent="0.3">
      <c r="A227" s="24"/>
      <c r="B227" s="21" t="s">
        <v>88</v>
      </c>
      <c r="C227" s="17">
        <f>COUNTIF($S$12:$T$213,"BRD")</f>
        <v>5</v>
      </c>
      <c r="D227" s="43">
        <f t="shared" si="41"/>
        <v>3</v>
      </c>
      <c r="E227" s="43">
        <f t="shared" si="42"/>
        <v>1</v>
      </c>
      <c r="F227" s="43">
        <f t="shared" si="43"/>
        <v>1</v>
      </c>
      <c r="G227" s="43">
        <f t="shared" si="44"/>
        <v>9</v>
      </c>
      <c r="H227" s="43">
        <f t="shared" si="45"/>
        <v>7</v>
      </c>
      <c r="I227" s="22">
        <f t="shared" si="46"/>
        <v>10</v>
      </c>
      <c r="J227" s="18"/>
      <c r="K227" s="109"/>
      <c r="S227" s="10"/>
      <c r="T227" s="10"/>
      <c r="U227" s="10"/>
      <c r="V227" s="10"/>
      <c r="W227" s="10"/>
      <c r="X227" s="10"/>
      <c r="Y227" s="10"/>
    </row>
    <row r="228" spans="1:25" s="13" customFormat="1" x14ac:dyDescent="0.3">
      <c r="A228" s="24"/>
      <c r="B228" s="21" t="s">
        <v>16</v>
      </c>
      <c r="C228" s="17">
        <f>COUNTIF($S$12:$T$213,"Rumänien")</f>
        <v>5</v>
      </c>
      <c r="D228" s="43">
        <f t="shared" si="41"/>
        <v>3</v>
      </c>
      <c r="E228" s="43">
        <f t="shared" si="42"/>
        <v>0</v>
      </c>
      <c r="F228" s="43">
        <f t="shared" si="43"/>
        <v>2</v>
      </c>
      <c r="G228" s="43">
        <f t="shared" si="44"/>
        <v>14</v>
      </c>
      <c r="H228" s="43">
        <f t="shared" si="45"/>
        <v>14</v>
      </c>
      <c r="I228" s="22">
        <f t="shared" si="46"/>
        <v>9</v>
      </c>
      <c r="J228" s="18"/>
      <c r="K228" s="35"/>
      <c r="L228" s="10"/>
      <c r="S228" s="10"/>
      <c r="T228" s="10"/>
      <c r="U228" s="10"/>
      <c r="V228" s="10"/>
      <c r="W228" s="10"/>
      <c r="X228" s="10"/>
      <c r="Y228" s="10"/>
    </row>
    <row r="229" spans="1:25" s="13" customFormat="1" x14ac:dyDescent="0.3">
      <c r="A229" s="24"/>
      <c r="B229" s="21" t="s">
        <v>63</v>
      </c>
      <c r="C229" s="17">
        <f>COUNTIF($S$12:$T$213,"Niederlande")</f>
        <v>5</v>
      </c>
      <c r="D229" s="43">
        <f t="shared" si="41"/>
        <v>3</v>
      </c>
      <c r="E229" s="43">
        <f t="shared" si="42"/>
        <v>0</v>
      </c>
      <c r="F229" s="43">
        <f t="shared" si="43"/>
        <v>2</v>
      </c>
      <c r="G229" s="43">
        <f t="shared" si="44"/>
        <v>8</v>
      </c>
      <c r="H229" s="43">
        <f t="shared" si="45"/>
        <v>6</v>
      </c>
      <c r="I229" s="22">
        <f t="shared" si="46"/>
        <v>9</v>
      </c>
      <c r="J229" s="18"/>
      <c r="K229" s="109"/>
      <c r="S229" s="10"/>
      <c r="T229" s="10"/>
      <c r="U229" s="10"/>
      <c r="V229" s="10"/>
      <c r="W229" s="10"/>
      <c r="X229" s="10"/>
      <c r="Y229" s="10"/>
    </row>
    <row r="230" spans="1:25" s="13" customFormat="1" x14ac:dyDescent="0.3">
      <c r="A230" s="24"/>
      <c r="B230" s="21" t="s">
        <v>35</v>
      </c>
      <c r="C230" s="17">
        <f>COUNTIF($S$12:$T$213,"Spanien")</f>
        <v>5</v>
      </c>
      <c r="D230" s="43">
        <f t="shared" si="41"/>
        <v>2</v>
      </c>
      <c r="E230" s="43">
        <f t="shared" si="42"/>
        <v>2</v>
      </c>
      <c r="F230" s="43">
        <f t="shared" si="43"/>
        <v>1</v>
      </c>
      <c r="G230" s="43">
        <f t="shared" si="44"/>
        <v>10</v>
      </c>
      <c r="H230" s="43">
        <f t="shared" si="45"/>
        <v>6</v>
      </c>
      <c r="I230" s="22">
        <f t="shared" si="46"/>
        <v>8</v>
      </c>
      <c r="J230" s="18"/>
      <c r="K230" s="109"/>
      <c r="S230" s="10"/>
      <c r="T230" s="10"/>
      <c r="U230" s="10"/>
      <c r="V230" s="10"/>
      <c r="W230" s="10"/>
      <c r="X230" s="10"/>
      <c r="Y230" s="10"/>
    </row>
    <row r="231" spans="1:25" s="13" customFormat="1" x14ac:dyDescent="0.3">
      <c r="A231" s="24"/>
      <c r="B231" s="21" t="s">
        <v>5</v>
      </c>
      <c r="C231" s="17">
        <f>COUNTIF($S$12:$T$213,"Argentinien")</f>
        <v>4</v>
      </c>
      <c r="D231" s="43">
        <f t="shared" si="41"/>
        <v>2</v>
      </c>
      <c r="E231" s="43">
        <f t="shared" si="42"/>
        <v>0</v>
      </c>
      <c r="F231" s="43">
        <f t="shared" si="43"/>
        <v>2</v>
      </c>
      <c r="G231" s="43">
        <f t="shared" si="44"/>
        <v>8</v>
      </c>
      <c r="H231" s="43">
        <f t="shared" si="45"/>
        <v>6</v>
      </c>
      <c r="I231" s="22">
        <f t="shared" si="46"/>
        <v>6</v>
      </c>
      <c r="J231" s="18"/>
      <c r="K231" s="109"/>
      <c r="S231" s="10"/>
      <c r="T231" s="10"/>
      <c r="U231" s="10"/>
      <c r="V231" s="10"/>
      <c r="W231" s="10"/>
      <c r="X231" s="10"/>
      <c r="Y231" s="10"/>
    </row>
    <row r="232" spans="1:25" s="13" customFormat="1" x14ac:dyDescent="0.3">
      <c r="A232" s="24"/>
      <c r="B232" s="21" t="s">
        <v>307</v>
      </c>
      <c r="C232" s="17">
        <f>COUNTIF($S$12:$T$213,"Nigeria")</f>
        <v>4</v>
      </c>
      <c r="D232" s="43">
        <f t="shared" si="41"/>
        <v>2</v>
      </c>
      <c r="E232" s="43">
        <f t="shared" si="42"/>
        <v>0</v>
      </c>
      <c r="F232" s="43">
        <f t="shared" si="43"/>
        <v>2</v>
      </c>
      <c r="G232" s="43">
        <f t="shared" si="44"/>
        <v>7</v>
      </c>
      <c r="H232" s="43">
        <f t="shared" si="45"/>
        <v>4</v>
      </c>
      <c r="I232" s="22">
        <f t="shared" si="46"/>
        <v>6</v>
      </c>
      <c r="J232" s="18"/>
      <c r="K232" s="109"/>
      <c r="S232" s="10"/>
      <c r="T232" s="10"/>
      <c r="U232" s="10"/>
      <c r="V232" s="10"/>
      <c r="W232" s="10"/>
      <c r="X232" s="10"/>
      <c r="Y232" s="10"/>
    </row>
    <row r="233" spans="1:25" s="13" customFormat="1" x14ac:dyDescent="0.3">
      <c r="A233" s="24"/>
      <c r="B233" s="21" t="s">
        <v>313</v>
      </c>
      <c r="C233" s="17">
        <f>COUNTIF($S$12:$T$213,"Saudi-Arabien")</f>
        <v>4</v>
      </c>
      <c r="D233" s="43">
        <f t="shared" si="41"/>
        <v>2</v>
      </c>
      <c r="E233" s="43">
        <f t="shared" si="42"/>
        <v>0</v>
      </c>
      <c r="F233" s="43">
        <f t="shared" si="43"/>
        <v>2</v>
      </c>
      <c r="G233" s="43">
        <f t="shared" si="44"/>
        <v>5</v>
      </c>
      <c r="H233" s="43">
        <f t="shared" si="45"/>
        <v>6</v>
      </c>
      <c r="I233" s="22">
        <f t="shared" si="46"/>
        <v>6</v>
      </c>
      <c r="J233" s="18"/>
      <c r="K233" s="109"/>
      <c r="S233" s="10"/>
      <c r="T233" s="10"/>
      <c r="U233" s="10"/>
      <c r="V233" s="10"/>
      <c r="W233" s="10"/>
      <c r="X233" s="10"/>
      <c r="Y233" s="10"/>
    </row>
    <row r="234" spans="1:25" s="13" customFormat="1" x14ac:dyDescent="0.3">
      <c r="A234" s="24"/>
      <c r="B234" s="21" t="s">
        <v>21</v>
      </c>
      <c r="C234" s="17">
        <f>COUNTIF($S$12:$T$213,"Belgien")</f>
        <v>4</v>
      </c>
      <c r="D234" s="43">
        <f t="shared" si="41"/>
        <v>2</v>
      </c>
      <c r="E234" s="43">
        <f t="shared" si="42"/>
        <v>0</v>
      </c>
      <c r="F234" s="43">
        <f t="shared" si="43"/>
        <v>2</v>
      </c>
      <c r="G234" s="43">
        <f t="shared" si="44"/>
        <v>4</v>
      </c>
      <c r="H234" s="43">
        <f t="shared" si="45"/>
        <v>4</v>
      </c>
      <c r="I234" s="22">
        <f t="shared" si="46"/>
        <v>6</v>
      </c>
      <c r="J234" s="18"/>
      <c r="K234" s="109"/>
      <c r="S234" s="10"/>
      <c r="T234" s="10"/>
      <c r="U234" s="10"/>
      <c r="V234" s="10"/>
      <c r="W234" s="10"/>
      <c r="X234" s="10"/>
      <c r="Y234" s="10"/>
    </row>
    <row r="235" spans="1:25" s="13" customFormat="1" x14ac:dyDescent="0.3">
      <c r="A235" s="24"/>
      <c r="B235" s="21" t="s">
        <v>43</v>
      </c>
      <c r="C235" s="17">
        <f>COUNTIF($S$12:$T$213,"Schweiz")</f>
        <v>4</v>
      </c>
      <c r="D235" s="43">
        <f t="shared" si="41"/>
        <v>1</v>
      </c>
      <c r="E235" s="43">
        <f t="shared" si="42"/>
        <v>1</v>
      </c>
      <c r="F235" s="43">
        <f t="shared" si="43"/>
        <v>2</v>
      </c>
      <c r="G235" s="43">
        <f t="shared" si="44"/>
        <v>5</v>
      </c>
      <c r="H235" s="43">
        <f t="shared" si="45"/>
        <v>7</v>
      </c>
      <c r="I235" s="22">
        <f t="shared" si="46"/>
        <v>4</v>
      </c>
      <c r="J235" s="18"/>
      <c r="K235" s="109"/>
      <c r="S235" s="10"/>
      <c r="T235" s="10"/>
      <c r="U235" s="10"/>
      <c r="V235" s="10"/>
      <c r="W235" s="10"/>
      <c r="X235" s="10"/>
      <c r="Y235" s="10"/>
    </row>
    <row r="236" spans="1:25" s="13" customFormat="1" x14ac:dyDescent="0.3">
      <c r="A236" s="24"/>
      <c r="B236" s="21" t="s">
        <v>4</v>
      </c>
      <c r="C236" s="17">
        <f>COUNTIF($S$12:$T$213,"Mexiko")</f>
        <v>4</v>
      </c>
      <c r="D236" s="43">
        <f t="shared" si="41"/>
        <v>1</v>
      </c>
      <c r="E236" s="43">
        <f t="shared" si="42"/>
        <v>1</v>
      </c>
      <c r="F236" s="43">
        <f t="shared" si="43"/>
        <v>2</v>
      </c>
      <c r="G236" s="43">
        <f t="shared" si="44"/>
        <v>5</v>
      </c>
      <c r="H236" s="43">
        <f t="shared" si="45"/>
        <v>7</v>
      </c>
      <c r="I236" s="22">
        <f t="shared" si="46"/>
        <v>4</v>
      </c>
      <c r="J236" s="18"/>
      <c r="K236" s="109"/>
      <c r="S236" s="10"/>
      <c r="T236" s="10"/>
      <c r="U236" s="10"/>
      <c r="V236" s="10"/>
      <c r="W236" s="10"/>
      <c r="X236" s="10"/>
      <c r="Y236" s="10"/>
    </row>
    <row r="237" spans="1:25" s="13" customFormat="1" x14ac:dyDescent="0.3">
      <c r="A237" s="24"/>
      <c r="B237" s="21" t="s">
        <v>20</v>
      </c>
      <c r="C237" s="17">
        <f>COUNTIF($S$12:$T$213,"USA")</f>
        <v>4</v>
      </c>
      <c r="D237" s="43">
        <f>SUMPRODUCT(($S$12:$T$213=B237)*($X$12:$Y$213=3))</f>
        <v>1</v>
      </c>
      <c r="E237" s="43">
        <f>SUMPRODUCT(($S$12:$T$213=B237)*($X$12:$Y$213=1))</f>
        <v>1</v>
      </c>
      <c r="F237" s="43">
        <f t="shared" si="43"/>
        <v>2</v>
      </c>
      <c r="G237" s="43">
        <f t="shared" si="44"/>
        <v>3</v>
      </c>
      <c r="H237" s="43">
        <f t="shared" si="45"/>
        <v>4</v>
      </c>
      <c r="I237" s="22">
        <f t="shared" si="46"/>
        <v>4</v>
      </c>
      <c r="J237" s="18"/>
      <c r="K237" s="109"/>
      <c r="S237" s="10"/>
      <c r="T237" s="10"/>
      <c r="U237" s="10"/>
      <c r="V237" s="10"/>
      <c r="W237" s="10"/>
      <c r="X237" s="10"/>
      <c r="Y237" s="10"/>
    </row>
    <row r="238" spans="1:25" s="13" customFormat="1" x14ac:dyDescent="0.3">
      <c r="A238" s="24"/>
      <c r="B238" s="21" t="s">
        <v>290</v>
      </c>
      <c r="C238" s="17">
        <f>COUNTIF($S$12:$T$213,"Irland")</f>
        <v>4</v>
      </c>
      <c r="D238" s="43">
        <f t="shared" si="41"/>
        <v>1</v>
      </c>
      <c r="E238" s="43">
        <f t="shared" si="42"/>
        <v>1</v>
      </c>
      <c r="F238" s="43">
        <f t="shared" si="43"/>
        <v>2</v>
      </c>
      <c r="G238" s="43">
        <f t="shared" si="44"/>
        <v>2</v>
      </c>
      <c r="H238" s="43">
        <f t="shared" si="45"/>
        <v>4</v>
      </c>
      <c r="I238" s="22">
        <f t="shared" si="46"/>
        <v>4</v>
      </c>
      <c r="J238" s="18"/>
      <c r="K238" s="109"/>
      <c r="S238" s="10"/>
      <c r="T238" s="10"/>
      <c r="U238" s="10"/>
      <c r="V238" s="10"/>
      <c r="W238" s="10"/>
      <c r="X238" s="10"/>
      <c r="Y238" s="10"/>
    </row>
    <row r="239" spans="1:25" s="13" customFormat="1" x14ac:dyDescent="0.3">
      <c r="A239" s="24"/>
      <c r="B239" s="21" t="s">
        <v>59</v>
      </c>
      <c r="C239" s="17">
        <f>COUNTIF($S$12:$T$213,"Norwegen")</f>
        <v>3</v>
      </c>
      <c r="D239" s="43">
        <f t="shared" si="41"/>
        <v>1</v>
      </c>
      <c r="E239" s="43">
        <f t="shared" si="42"/>
        <v>1</v>
      </c>
      <c r="F239" s="43">
        <f t="shared" si="43"/>
        <v>1</v>
      </c>
      <c r="G239" s="43">
        <f t="shared" si="44"/>
        <v>1</v>
      </c>
      <c r="H239" s="43">
        <f t="shared" si="45"/>
        <v>1</v>
      </c>
      <c r="I239" s="22">
        <f t="shared" si="46"/>
        <v>4</v>
      </c>
      <c r="J239" s="18"/>
      <c r="K239" s="109"/>
      <c r="S239" s="10"/>
      <c r="T239" s="10"/>
      <c r="U239" s="10"/>
      <c r="V239" s="10"/>
      <c r="W239" s="10"/>
      <c r="X239" s="10"/>
      <c r="Y239" s="10"/>
    </row>
    <row r="240" spans="1:25" s="13" customFormat="1" x14ac:dyDescent="0.3">
      <c r="A240" s="24"/>
      <c r="B240" s="21" t="s">
        <v>302</v>
      </c>
      <c r="C240" s="17">
        <f>COUNTIF($S$12:$T$213,"Russland")</f>
        <v>3</v>
      </c>
      <c r="D240" s="43">
        <f t="shared" si="41"/>
        <v>1</v>
      </c>
      <c r="E240" s="43">
        <f t="shared" si="42"/>
        <v>0</v>
      </c>
      <c r="F240" s="43">
        <f t="shared" si="43"/>
        <v>2</v>
      </c>
      <c r="G240" s="43">
        <f t="shared" si="44"/>
        <v>7</v>
      </c>
      <c r="H240" s="43">
        <f t="shared" si="45"/>
        <v>6</v>
      </c>
      <c r="I240" s="22">
        <f t="shared" si="46"/>
        <v>3</v>
      </c>
      <c r="J240" s="18"/>
      <c r="K240" s="109"/>
      <c r="S240" s="10"/>
      <c r="T240" s="10"/>
      <c r="U240" s="10"/>
      <c r="V240" s="10"/>
      <c r="W240" s="10"/>
      <c r="X240" s="10"/>
      <c r="Y240" s="10"/>
    </row>
    <row r="241" spans="1:25" s="13" customFormat="1" x14ac:dyDescent="0.3">
      <c r="A241" s="24"/>
      <c r="B241" s="21" t="s">
        <v>117</v>
      </c>
      <c r="C241" s="17">
        <f>COUNTIF($S$12:$T$213,"Kolumbien")</f>
        <v>3</v>
      </c>
      <c r="D241" s="43">
        <f>SUMPRODUCT(($S$12:$T$213=B241)*($X$12:$Y$213=3))</f>
        <v>1</v>
      </c>
      <c r="E241" s="43">
        <f>SUMPRODUCT(($S$12:$T$213=B241)*($X$12:$Y$213=1))</f>
        <v>0</v>
      </c>
      <c r="F241" s="43">
        <f>SUMPRODUCT(($S$12:$T$213=B241)*($X$12:$Y$213=2))</f>
        <v>2</v>
      </c>
      <c r="G241" s="43">
        <f t="shared" si="44"/>
        <v>4</v>
      </c>
      <c r="H241" s="43">
        <f t="shared" si="45"/>
        <v>5</v>
      </c>
      <c r="I241" s="22">
        <f t="shared" si="46"/>
        <v>3</v>
      </c>
      <c r="J241" s="18"/>
      <c r="K241" s="109"/>
      <c r="S241" s="10"/>
      <c r="T241" s="10"/>
      <c r="U241" s="10"/>
      <c r="V241" s="10"/>
      <c r="W241" s="10"/>
      <c r="X241" s="10"/>
      <c r="Y241" s="10"/>
    </row>
    <row r="242" spans="1:25" s="13" customFormat="1" x14ac:dyDescent="0.3">
      <c r="A242" s="24"/>
      <c r="B242" s="21" t="s">
        <v>90</v>
      </c>
      <c r="C242" s="17">
        <f>COUNTIF($S$12:$T$213,"Südkorea")</f>
        <v>3</v>
      </c>
      <c r="D242" s="43">
        <f t="shared" si="41"/>
        <v>0</v>
      </c>
      <c r="E242" s="43">
        <f t="shared" si="42"/>
        <v>2</v>
      </c>
      <c r="F242" s="43">
        <f t="shared" si="43"/>
        <v>1</v>
      </c>
      <c r="G242" s="43">
        <f t="shared" si="44"/>
        <v>4</v>
      </c>
      <c r="H242" s="43">
        <f t="shared" si="45"/>
        <v>5</v>
      </c>
      <c r="I242" s="22">
        <f t="shared" si="46"/>
        <v>2</v>
      </c>
      <c r="J242" s="18"/>
      <c r="K242" s="109"/>
      <c r="S242" s="10"/>
      <c r="T242" s="10"/>
      <c r="U242" s="10"/>
      <c r="V242" s="10"/>
      <c r="W242" s="10"/>
      <c r="X242" s="10"/>
      <c r="Y242" s="10"/>
    </row>
    <row r="243" spans="1:25" s="13" customFormat="1" x14ac:dyDescent="0.3">
      <c r="A243" s="24"/>
      <c r="B243" s="21" t="s">
        <v>190</v>
      </c>
      <c r="C243" s="17">
        <f>COUNTIF($S$12:$T$213,"Kamerun")</f>
        <v>3</v>
      </c>
      <c r="D243" s="43">
        <f t="shared" si="41"/>
        <v>0</v>
      </c>
      <c r="E243" s="43">
        <f t="shared" si="42"/>
        <v>1</v>
      </c>
      <c r="F243" s="43">
        <f t="shared" si="43"/>
        <v>2</v>
      </c>
      <c r="G243" s="43">
        <f t="shared" si="44"/>
        <v>3</v>
      </c>
      <c r="H243" s="43">
        <f t="shared" si="45"/>
        <v>11</v>
      </c>
      <c r="I243" s="22">
        <f t="shared" si="46"/>
        <v>1</v>
      </c>
      <c r="J243" s="18"/>
      <c r="K243" s="109"/>
      <c r="S243" s="10"/>
      <c r="T243" s="10"/>
      <c r="U243" s="10"/>
      <c r="V243" s="10"/>
      <c r="W243" s="10"/>
      <c r="X243" s="10"/>
      <c r="Y243" s="10"/>
    </row>
    <row r="244" spans="1:25" s="13" customFormat="1" x14ac:dyDescent="0.3">
      <c r="A244" s="24"/>
      <c r="B244" s="21" t="s">
        <v>10</v>
      </c>
      <c r="C244" s="17">
        <f>COUNTIF($S$12:$T$213,"Bolivien")</f>
        <v>3</v>
      </c>
      <c r="D244" s="43">
        <f t="shared" si="41"/>
        <v>0</v>
      </c>
      <c r="E244" s="43">
        <f t="shared" si="42"/>
        <v>1</v>
      </c>
      <c r="F244" s="43">
        <f t="shared" si="43"/>
        <v>2</v>
      </c>
      <c r="G244" s="43">
        <f t="shared" si="44"/>
        <v>1</v>
      </c>
      <c r="H244" s="43">
        <f t="shared" si="45"/>
        <v>4</v>
      </c>
      <c r="I244" s="22">
        <f t="shared" si="46"/>
        <v>1</v>
      </c>
      <c r="J244" s="18"/>
      <c r="K244" s="109"/>
      <c r="S244" s="10"/>
      <c r="T244" s="10"/>
      <c r="U244" s="10"/>
      <c r="V244" s="10"/>
      <c r="W244" s="10"/>
      <c r="X244" s="10"/>
      <c r="Y244" s="10"/>
    </row>
    <row r="245" spans="1:25" s="13" customFormat="1" x14ac:dyDescent="0.3">
      <c r="A245" s="24"/>
      <c r="B245" s="21" t="s">
        <v>147</v>
      </c>
      <c r="C245" s="17">
        <f>COUNTIF($S$12:$T$213,"Marokko")</f>
        <v>3</v>
      </c>
      <c r="D245" s="43">
        <f t="shared" si="41"/>
        <v>0</v>
      </c>
      <c r="E245" s="43">
        <f t="shared" si="42"/>
        <v>0</v>
      </c>
      <c r="F245" s="43">
        <f t="shared" si="43"/>
        <v>3</v>
      </c>
      <c r="G245" s="43">
        <f t="shared" si="44"/>
        <v>2</v>
      </c>
      <c r="H245" s="43">
        <f t="shared" si="45"/>
        <v>5</v>
      </c>
      <c r="I245" s="22">
        <f t="shared" si="46"/>
        <v>0</v>
      </c>
      <c r="J245" s="18"/>
      <c r="K245" s="109"/>
      <c r="S245" s="10"/>
      <c r="T245" s="10"/>
      <c r="U245" s="10"/>
      <c r="V245" s="10"/>
      <c r="W245" s="10"/>
      <c r="X245" s="10"/>
      <c r="Y245" s="10"/>
    </row>
    <row r="246" spans="1:25" s="13" customFormat="1" ht="15" thickBot="1" x14ac:dyDescent="0.35">
      <c r="A246" s="24"/>
      <c r="B246" s="29" t="s">
        <v>306</v>
      </c>
      <c r="C246" s="30">
        <f>COUNTIF($S$12:$T$213,"Griechenland")</f>
        <v>3</v>
      </c>
      <c r="D246" s="80">
        <f t="shared" si="41"/>
        <v>0</v>
      </c>
      <c r="E246" s="80">
        <f t="shared" si="42"/>
        <v>0</v>
      </c>
      <c r="F246" s="80">
        <f t="shared" si="43"/>
        <v>3</v>
      </c>
      <c r="G246" s="80">
        <f t="shared" si="44"/>
        <v>0</v>
      </c>
      <c r="H246" s="80">
        <f t="shared" si="45"/>
        <v>10</v>
      </c>
      <c r="I246" s="32">
        <f t="shared" si="46"/>
        <v>0</v>
      </c>
      <c r="J246" s="18"/>
      <c r="K246" s="109"/>
      <c r="S246" s="10"/>
      <c r="T246" s="10"/>
      <c r="U246" s="10"/>
      <c r="V246" s="10"/>
      <c r="W246" s="10"/>
      <c r="X246" s="10"/>
      <c r="Y246" s="10"/>
    </row>
    <row r="247" spans="1:25" x14ac:dyDescent="0.3">
      <c r="A247" s="267"/>
      <c r="B247" s="265"/>
      <c r="C247" s="265"/>
      <c r="D247" s="265"/>
      <c r="E247" s="265"/>
      <c r="F247" s="265"/>
      <c r="G247" s="5"/>
      <c r="H247" s="5"/>
      <c r="I247" s="5"/>
      <c r="J247" s="5"/>
      <c r="K247" s="108"/>
    </row>
    <row r="248" spans="1:25" ht="15" thickBot="1" x14ac:dyDescent="0.35">
      <c r="A248" s="110"/>
      <c r="B248" s="36"/>
      <c r="C248" s="36"/>
      <c r="D248" s="36"/>
      <c r="E248" s="36"/>
      <c r="F248" s="36"/>
      <c r="G248" s="37"/>
      <c r="H248" s="37"/>
      <c r="I248" s="37"/>
      <c r="J248" s="37"/>
      <c r="K248" s="193"/>
    </row>
    <row r="249" spans="1:25" ht="15" thickTop="1" x14ac:dyDescent="0.3"/>
    <row r="250" spans="1:25" x14ac:dyDescent="0.3">
      <c r="M250" s="387"/>
      <c r="N250" s="387"/>
      <c r="O250" s="387"/>
      <c r="P250" s="387"/>
      <c r="Q250" s="387"/>
      <c r="R250" s="126"/>
      <c r="S250" s="126"/>
      <c r="T250" s="387"/>
    </row>
    <row r="251" spans="1:25" x14ac:dyDescent="0.3">
      <c r="M251" s="387"/>
      <c r="N251" s="387"/>
      <c r="O251" s="387"/>
      <c r="P251" s="387"/>
      <c r="Q251" s="387"/>
      <c r="R251" s="126"/>
      <c r="S251" s="126"/>
      <c r="T251" s="387"/>
    </row>
    <row r="252" spans="1:25" x14ac:dyDescent="0.3">
      <c r="M252" s="39"/>
      <c r="N252" s="39"/>
      <c r="O252" s="39"/>
      <c r="P252" s="39"/>
      <c r="Q252" s="39"/>
      <c r="R252" s="39"/>
      <c r="S252" s="387"/>
      <c r="T252" s="387"/>
    </row>
    <row r="253" spans="1:25" x14ac:dyDescent="0.3">
      <c r="C253" s="17"/>
      <c r="D253" s="43"/>
      <c r="E253" s="43"/>
      <c r="F253" s="43"/>
      <c r="M253" s="39"/>
      <c r="N253" s="39"/>
      <c r="O253" s="39"/>
      <c r="P253" s="39"/>
      <c r="Q253" s="39"/>
      <c r="R253" s="39"/>
      <c r="S253" s="387"/>
      <c r="T253" s="387"/>
    </row>
    <row r="254" spans="1:25" x14ac:dyDescent="0.3">
      <c r="C254" s="17"/>
      <c r="D254" s="43"/>
      <c r="E254" s="43"/>
      <c r="F254" s="43"/>
    </row>
    <row r="255" spans="1:25" x14ac:dyDescent="0.3">
      <c r="C255" s="17"/>
      <c r="D255" s="43"/>
      <c r="E255" s="43"/>
      <c r="F255" s="43"/>
    </row>
    <row r="256" spans="1:25" x14ac:dyDescent="0.3">
      <c r="C256" s="17"/>
      <c r="D256" s="43"/>
      <c r="E256" s="43"/>
      <c r="F256" s="43"/>
    </row>
    <row r="257" spans="3:6" x14ac:dyDescent="0.3">
      <c r="C257" s="17"/>
      <c r="E257" s="43"/>
      <c r="F257" s="43"/>
    </row>
  </sheetData>
  <sortState ref="A220:Y244">
    <sortCondition descending="1" ref="I220:I244"/>
    <sortCondition descending="1" ref="G220:G244"/>
    <sortCondition ref="H220:H244"/>
  </sortState>
  <mergeCells count="5">
    <mergeCell ref="C202:I202"/>
    <mergeCell ref="C211:I211"/>
    <mergeCell ref="A2:J2"/>
    <mergeCell ref="A4:J4"/>
    <mergeCell ref="A5:J5"/>
  </mergeCells>
  <pageMargins left="0.7" right="0.7" top="0.78740157499999996" bottom="0.78740157499999996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A291"/>
  <sheetViews>
    <sheetView topLeftCell="A245" workbookViewId="0">
      <selection activeCell="L262" sqref="L262"/>
    </sheetView>
  </sheetViews>
  <sheetFormatPr baseColWidth="10" defaultRowHeight="14.4" x14ac:dyDescent="0.3"/>
  <cols>
    <col min="1" max="6" width="11.77734375" style="1" customWidth="1"/>
    <col min="7" max="10" width="11.77734375" style="2" customWidth="1"/>
    <col min="11" max="18" width="11.77734375" customWidth="1"/>
    <col min="19" max="25" width="11.77734375" style="259" customWidth="1"/>
  </cols>
  <sheetData>
    <row r="1" spans="1:27" ht="15" thickTop="1" x14ac:dyDescent="0.3">
      <c r="A1" s="106"/>
      <c r="B1" s="25"/>
      <c r="C1" s="25"/>
      <c r="D1" s="25"/>
      <c r="E1" s="25"/>
      <c r="F1" s="25"/>
      <c r="G1" s="26"/>
      <c r="H1" s="26"/>
      <c r="I1" s="26"/>
      <c r="J1" s="26"/>
      <c r="K1" s="107"/>
      <c r="S1" s="114"/>
      <c r="T1" s="115"/>
      <c r="U1" s="115"/>
      <c r="V1" s="115"/>
      <c r="W1" s="115"/>
      <c r="X1" s="115"/>
      <c r="Y1" s="116"/>
    </row>
    <row r="2" spans="1:27" ht="46.2" x14ac:dyDescent="0.85">
      <c r="A2" s="425" t="s">
        <v>220</v>
      </c>
      <c r="B2" s="426"/>
      <c r="C2" s="426"/>
      <c r="D2" s="426"/>
      <c r="E2" s="426"/>
      <c r="F2" s="426"/>
      <c r="G2" s="426"/>
      <c r="H2" s="426"/>
      <c r="I2" s="426"/>
      <c r="J2" s="426"/>
      <c r="K2" s="108"/>
      <c r="S2" s="117"/>
      <c r="T2" s="257"/>
      <c r="U2" s="257"/>
      <c r="V2" s="257"/>
      <c r="W2" s="257"/>
      <c r="X2" s="257"/>
      <c r="Y2" s="118"/>
    </row>
    <row r="3" spans="1:27" x14ac:dyDescent="0.3">
      <c r="A3" s="274"/>
      <c r="B3" s="273"/>
      <c r="C3" s="273"/>
      <c r="D3" s="273"/>
      <c r="E3" s="273"/>
      <c r="F3" s="273"/>
      <c r="G3" s="5"/>
      <c r="H3" s="5"/>
      <c r="I3" s="5"/>
      <c r="J3" s="5"/>
      <c r="K3" s="108"/>
      <c r="S3" s="117"/>
      <c r="T3" s="257"/>
      <c r="U3" s="257"/>
      <c r="V3" s="257"/>
      <c r="W3" s="257"/>
      <c r="X3" s="257"/>
      <c r="Y3" s="118"/>
    </row>
    <row r="4" spans="1:27" ht="28.8" x14ac:dyDescent="0.55000000000000004">
      <c r="A4" s="428" t="s">
        <v>221</v>
      </c>
      <c r="B4" s="429"/>
      <c r="C4" s="429"/>
      <c r="D4" s="429"/>
      <c r="E4" s="429"/>
      <c r="F4" s="429"/>
      <c r="G4" s="429"/>
      <c r="H4" s="429"/>
      <c r="I4" s="429"/>
      <c r="J4" s="429"/>
      <c r="K4" s="108"/>
      <c r="S4" s="117"/>
      <c r="T4" s="257"/>
      <c r="U4" s="257"/>
      <c r="V4" s="257"/>
      <c r="W4" s="257"/>
      <c r="X4" s="257"/>
      <c r="Y4" s="118"/>
    </row>
    <row r="5" spans="1:27" ht="21" x14ac:dyDescent="0.4">
      <c r="A5" s="430" t="s">
        <v>222</v>
      </c>
      <c r="B5" s="431"/>
      <c r="C5" s="431"/>
      <c r="D5" s="431"/>
      <c r="E5" s="431"/>
      <c r="F5" s="431"/>
      <c r="G5" s="431"/>
      <c r="H5" s="431"/>
      <c r="I5" s="431"/>
      <c r="J5" s="431"/>
      <c r="K5" s="108"/>
      <c r="S5" s="117"/>
      <c r="T5" s="257"/>
      <c r="U5" s="257"/>
      <c r="V5" s="257"/>
      <c r="W5" s="257"/>
      <c r="X5" s="257"/>
      <c r="Y5" s="118"/>
    </row>
    <row r="6" spans="1:27" x14ac:dyDescent="0.3">
      <c r="A6" s="274"/>
      <c r="B6" s="273"/>
      <c r="C6" s="273"/>
      <c r="D6" s="273"/>
      <c r="E6" s="273"/>
      <c r="F6" s="273"/>
      <c r="G6" s="5"/>
      <c r="H6" s="5"/>
      <c r="I6" s="5"/>
      <c r="J6" s="5"/>
      <c r="K6" s="108"/>
      <c r="S6" s="117"/>
      <c r="T6" s="257"/>
      <c r="U6" s="257"/>
      <c r="V6" s="257"/>
      <c r="W6" s="257"/>
      <c r="X6" s="257"/>
      <c r="Y6" s="118"/>
    </row>
    <row r="7" spans="1:27" x14ac:dyDescent="0.3">
      <c r="A7" s="274"/>
      <c r="B7" s="273"/>
      <c r="C7" s="273"/>
      <c r="D7" s="273"/>
      <c r="E7" s="273"/>
      <c r="F7" s="273"/>
      <c r="G7" s="5"/>
      <c r="H7" s="5"/>
      <c r="I7" s="5"/>
      <c r="J7" s="5"/>
      <c r="K7" s="108"/>
      <c r="S7" s="117"/>
      <c r="T7" s="262"/>
      <c r="U7" s="262"/>
      <c r="V7" s="262"/>
      <c r="W7" s="262"/>
      <c r="X7" s="262"/>
      <c r="Y7" s="118"/>
    </row>
    <row r="8" spans="1:27" x14ac:dyDescent="0.3">
      <c r="A8" s="274"/>
      <c r="B8" s="273"/>
      <c r="C8" s="273"/>
      <c r="D8" s="273"/>
      <c r="E8" s="273"/>
      <c r="F8" s="273"/>
      <c r="G8" s="5"/>
      <c r="H8" s="5"/>
      <c r="I8" s="5"/>
      <c r="J8" s="5"/>
      <c r="K8" s="108"/>
      <c r="S8" s="117"/>
      <c r="T8" s="262"/>
      <c r="U8" s="262"/>
      <c r="V8" s="262"/>
      <c r="W8" s="262"/>
      <c r="X8" s="262"/>
      <c r="Y8" s="118"/>
    </row>
    <row r="9" spans="1:27" x14ac:dyDescent="0.3">
      <c r="A9" s="274"/>
      <c r="B9" s="273"/>
      <c r="C9" s="273"/>
      <c r="D9" s="273"/>
      <c r="E9" s="273"/>
      <c r="F9" s="273"/>
      <c r="G9" s="5"/>
      <c r="H9" s="5"/>
      <c r="I9" s="5"/>
      <c r="J9" s="5"/>
      <c r="K9" s="108"/>
      <c r="S9" s="117"/>
      <c r="T9" s="257"/>
      <c r="U9" s="257"/>
      <c r="V9" s="257"/>
      <c r="W9" s="257"/>
      <c r="X9" s="257"/>
      <c r="Y9" s="118"/>
    </row>
    <row r="10" spans="1:27" ht="21" x14ac:dyDescent="0.4">
      <c r="A10" s="274"/>
      <c r="B10" s="273"/>
      <c r="C10" s="273"/>
      <c r="D10" s="273"/>
      <c r="E10" s="273"/>
      <c r="F10" s="272" t="s">
        <v>119</v>
      </c>
      <c r="G10" s="5"/>
      <c r="H10" s="5"/>
      <c r="I10" s="5"/>
      <c r="J10" s="5"/>
      <c r="K10" s="108"/>
      <c r="S10" s="117"/>
      <c r="T10" s="257"/>
      <c r="U10" s="257"/>
      <c r="V10" s="257"/>
      <c r="W10" s="257"/>
      <c r="X10" s="257"/>
      <c r="Y10" s="118"/>
    </row>
    <row r="11" spans="1:27" x14ac:dyDescent="0.3">
      <c r="A11" s="274"/>
      <c r="B11" s="273"/>
      <c r="C11" s="273"/>
      <c r="D11" s="273"/>
      <c r="E11" s="273"/>
      <c r="F11" s="28"/>
      <c r="G11" s="5"/>
      <c r="H11" s="5"/>
      <c r="I11" s="5"/>
      <c r="J11" s="5"/>
      <c r="K11" s="108"/>
      <c r="S11" s="117"/>
      <c r="T11" s="257"/>
      <c r="U11" s="257"/>
      <c r="V11" s="257"/>
      <c r="W11" s="257"/>
      <c r="X11" s="257"/>
      <c r="Y11" s="118"/>
    </row>
    <row r="12" spans="1:27" x14ac:dyDescent="0.3">
      <c r="A12" s="274"/>
      <c r="B12" s="273"/>
      <c r="C12" s="40">
        <v>35956</v>
      </c>
      <c r="D12" s="49" t="s">
        <v>9</v>
      </c>
      <c r="E12" s="49" t="s">
        <v>81</v>
      </c>
      <c r="F12" s="49">
        <v>2</v>
      </c>
      <c r="G12" s="49">
        <v>1</v>
      </c>
      <c r="H12" s="273"/>
      <c r="I12" s="17"/>
      <c r="J12" s="5"/>
      <c r="K12" s="108"/>
      <c r="S12" s="117" t="s">
        <v>9</v>
      </c>
      <c r="T12" s="257" t="s">
        <v>81</v>
      </c>
      <c r="U12" s="257">
        <v>2</v>
      </c>
      <c r="V12" s="257">
        <v>1</v>
      </c>
      <c r="W12" s="257"/>
      <c r="X12" s="126">
        <f t="shared" ref="X12:X13" si="0">(IF(U12&gt;V12,3,IF(U12=V12,1,2)))</f>
        <v>3</v>
      </c>
      <c r="Y12" s="125">
        <f t="shared" ref="Y12:Y13" si="1">(IF(V12&gt;U12,3,IF(U12=V12,1,2)))</f>
        <v>2</v>
      </c>
      <c r="AA12" t="s">
        <v>3</v>
      </c>
    </row>
    <row r="13" spans="1:27" ht="15" thickBot="1" x14ac:dyDescent="0.35">
      <c r="A13" s="274"/>
      <c r="B13" s="273"/>
      <c r="C13" s="58"/>
      <c r="D13" s="79"/>
      <c r="E13" s="79"/>
      <c r="F13" s="79" t="s">
        <v>172</v>
      </c>
      <c r="G13" s="79" t="s">
        <v>183</v>
      </c>
      <c r="H13" s="276"/>
      <c r="I13" s="30"/>
      <c r="J13" s="5"/>
      <c r="K13" s="108"/>
      <c r="S13" s="117" t="s">
        <v>147</v>
      </c>
      <c r="T13" s="257" t="s">
        <v>59</v>
      </c>
      <c r="U13" s="257">
        <v>2</v>
      </c>
      <c r="V13" s="257">
        <v>2</v>
      </c>
      <c r="W13" s="257"/>
      <c r="X13" s="126">
        <f t="shared" si="0"/>
        <v>1</v>
      </c>
      <c r="Y13" s="125">
        <f t="shared" si="1"/>
        <v>1</v>
      </c>
      <c r="AA13" t="s">
        <v>9</v>
      </c>
    </row>
    <row r="14" spans="1:27" x14ac:dyDescent="0.3">
      <c r="A14" s="274"/>
      <c r="B14" s="273"/>
      <c r="C14" s="40">
        <v>35956</v>
      </c>
      <c r="D14" s="49" t="s">
        <v>147</v>
      </c>
      <c r="E14" s="49" t="s">
        <v>59</v>
      </c>
      <c r="F14" s="49">
        <v>2</v>
      </c>
      <c r="G14" s="49">
        <v>2</v>
      </c>
      <c r="H14" s="273"/>
      <c r="I14" s="18"/>
      <c r="J14" s="5"/>
      <c r="K14" s="108"/>
      <c r="S14" s="117" t="s">
        <v>81</v>
      </c>
      <c r="T14" s="257" t="s">
        <v>59</v>
      </c>
      <c r="U14" s="257">
        <v>1</v>
      </c>
      <c r="V14" s="257">
        <v>1</v>
      </c>
      <c r="W14" s="257"/>
      <c r="X14" s="126">
        <f t="shared" ref="X14:X17" si="2">(IF(U14&gt;V14,3,IF(U14=V14,1,2)))</f>
        <v>1</v>
      </c>
      <c r="Y14" s="125">
        <f t="shared" ref="Y14:Y17" si="3">(IF(V14&gt;U14,3,IF(U14=V14,1,2)))</f>
        <v>1</v>
      </c>
      <c r="AA14" t="s">
        <v>353</v>
      </c>
    </row>
    <row r="15" spans="1:27" ht="15" thickBot="1" x14ac:dyDescent="0.35">
      <c r="A15" s="274"/>
      <c r="B15" s="273"/>
      <c r="C15" s="58"/>
      <c r="D15" s="79"/>
      <c r="E15" s="79"/>
      <c r="F15" s="79" t="s">
        <v>172</v>
      </c>
      <c r="G15" s="79" t="s">
        <v>183</v>
      </c>
      <c r="H15" s="276"/>
      <c r="I15" s="31"/>
      <c r="J15" s="5"/>
      <c r="K15" s="108"/>
      <c r="S15" s="117" t="s">
        <v>9</v>
      </c>
      <c r="T15" s="257" t="s">
        <v>147</v>
      </c>
      <c r="U15" s="257">
        <v>3</v>
      </c>
      <c r="V15" s="257">
        <v>0</v>
      </c>
      <c r="W15" s="257"/>
      <c r="X15" s="126">
        <f t="shared" si="2"/>
        <v>3</v>
      </c>
      <c r="Y15" s="125">
        <f t="shared" si="3"/>
        <v>2</v>
      </c>
      <c r="AA15" t="s">
        <v>5</v>
      </c>
    </row>
    <row r="16" spans="1:27" x14ac:dyDescent="0.3">
      <c r="A16" s="274"/>
      <c r="B16" s="273"/>
      <c r="C16" s="40">
        <v>35962</v>
      </c>
      <c r="D16" s="49" t="s">
        <v>81</v>
      </c>
      <c r="E16" s="49" t="s">
        <v>59</v>
      </c>
      <c r="F16" s="49">
        <v>1</v>
      </c>
      <c r="G16" s="49">
        <v>1</v>
      </c>
      <c r="H16" s="273"/>
      <c r="I16" s="18"/>
      <c r="J16" s="5"/>
      <c r="K16" s="108"/>
      <c r="S16" s="117" t="s">
        <v>9</v>
      </c>
      <c r="T16" s="250" t="s">
        <v>59</v>
      </c>
      <c r="U16" s="257">
        <v>1</v>
      </c>
      <c r="V16" s="257">
        <v>2</v>
      </c>
      <c r="W16" s="257"/>
      <c r="X16" s="126">
        <f t="shared" si="2"/>
        <v>2</v>
      </c>
      <c r="Y16" s="125">
        <f t="shared" si="3"/>
        <v>3</v>
      </c>
      <c r="AA16" t="s">
        <v>63</v>
      </c>
    </row>
    <row r="17" spans="1:27" ht="15" thickBot="1" x14ac:dyDescent="0.35">
      <c r="A17" s="274"/>
      <c r="B17" s="273"/>
      <c r="C17" s="58"/>
      <c r="D17" s="79"/>
      <c r="E17" s="79"/>
      <c r="F17" s="79" t="s">
        <v>170</v>
      </c>
      <c r="G17" s="79" t="s">
        <v>171</v>
      </c>
      <c r="H17" s="276"/>
      <c r="I17" s="31"/>
      <c r="J17" s="5"/>
      <c r="K17" s="108"/>
      <c r="S17" s="117" t="s">
        <v>81</v>
      </c>
      <c r="T17" s="257" t="s">
        <v>147</v>
      </c>
      <c r="U17" s="257">
        <v>0</v>
      </c>
      <c r="V17" s="257">
        <v>3</v>
      </c>
      <c r="W17" s="257"/>
      <c r="X17" s="126">
        <f t="shared" si="2"/>
        <v>2</v>
      </c>
      <c r="Y17" s="125">
        <f t="shared" si="3"/>
        <v>3</v>
      </c>
      <c r="AA17" t="s">
        <v>37</v>
      </c>
    </row>
    <row r="18" spans="1:27" x14ac:dyDescent="0.3">
      <c r="A18" s="274"/>
      <c r="B18" s="273"/>
      <c r="C18" s="40">
        <v>35962</v>
      </c>
      <c r="D18" s="49" t="s">
        <v>9</v>
      </c>
      <c r="E18" s="49" t="s">
        <v>147</v>
      </c>
      <c r="F18" s="49">
        <v>3</v>
      </c>
      <c r="G18" s="49">
        <v>0</v>
      </c>
      <c r="H18" s="273"/>
      <c r="I18" s="18"/>
      <c r="J18" s="5"/>
      <c r="K18" s="108"/>
      <c r="S18" s="117"/>
      <c r="T18" s="250"/>
      <c r="U18" s="257"/>
      <c r="V18" s="257"/>
      <c r="W18" s="257"/>
      <c r="X18" s="126"/>
      <c r="Y18" s="125"/>
      <c r="AA18" t="s">
        <v>88</v>
      </c>
    </row>
    <row r="19" spans="1:27" ht="15" thickBot="1" x14ac:dyDescent="0.35">
      <c r="A19" s="274"/>
      <c r="B19" s="273"/>
      <c r="C19" s="58"/>
      <c r="D19" s="79"/>
      <c r="E19" s="79"/>
      <c r="F19" s="79" t="s">
        <v>215</v>
      </c>
      <c r="G19" s="79" t="s">
        <v>171</v>
      </c>
      <c r="H19" s="276"/>
      <c r="I19" s="31"/>
      <c r="J19" s="5"/>
      <c r="K19" s="108"/>
      <c r="S19" s="117"/>
      <c r="T19" s="250"/>
      <c r="U19" s="257"/>
      <c r="V19" s="257"/>
      <c r="W19" s="257"/>
      <c r="X19" s="126"/>
      <c r="Y19" s="125"/>
      <c r="AA19" t="s">
        <v>258</v>
      </c>
    </row>
    <row r="20" spans="1:27" x14ac:dyDescent="0.3">
      <c r="A20" s="274"/>
      <c r="B20" s="273"/>
      <c r="C20" s="40">
        <v>35969</v>
      </c>
      <c r="D20" s="49" t="s">
        <v>9</v>
      </c>
      <c r="E20" s="49" t="s">
        <v>59</v>
      </c>
      <c r="F20" s="49">
        <v>1</v>
      </c>
      <c r="G20" s="49">
        <v>2</v>
      </c>
      <c r="H20" s="273"/>
      <c r="I20" s="18"/>
      <c r="J20" s="5"/>
      <c r="K20" s="108"/>
      <c r="S20" s="117"/>
      <c r="T20" s="257"/>
      <c r="U20" s="257"/>
      <c r="V20" s="257"/>
      <c r="W20" s="257"/>
      <c r="X20" s="126"/>
      <c r="Y20" s="125"/>
      <c r="AA20" t="s">
        <v>8</v>
      </c>
    </row>
    <row r="21" spans="1:27" ht="15" thickBot="1" x14ac:dyDescent="0.35">
      <c r="A21" s="274"/>
      <c r="B21" s="273"/>
      <c r="C21" s="58"/>
      <c r="D21" s="79"/>
      <c r="E21" s="79"/>
      <c r="F21" s="79" t="s">
        <v>170</v>
      </c>
      <c r="G21" s="79" t="s">
        <v>171</v>
      </c>
      <c r="H21" s="276"/>
      <c r="I21" s="31"/>
      <c r="J21" s="5"/>
      <c r="K21" s="108"/>
      <c r="S21" s="117"/>
      <c r="T21" s="257"/>
      <c r="U21" s="257"/>
      <c r="V21" s="257"/>
      <c r="W21" s="257"/>
      <c r="X21" s="126"/>
      <c r="Y21" s="125"/>
      <c r="AA21" t="s">
        <v>16</v>
      </c>
    </row>
    <row r="22" spans="1:27" x14ac:dyDescent="0.3">
      <c r="A22" s="274"/>
      <c r="B22" s="273"/>
      <c r="C22" s="40">
        <v>35969</v>
      </c>
      <c r="D22" s="49" t="s">
        <v>81</v>
      </c>
      <c r="E22" s="49" t="s">
        <v>147</v>
      </c>
      <c r="F22" s="49">
        <v>0</v>
      </c>
      <c r="G22" s="49">
        <v>3</v>
      </c>
      <c r="H22" s="273"/>
      <c r="I22" s="18"/>
      <c r="J22" s="5"/>
      <c r="K22" s="108"/>
      <c r="S22" s="117"/>
      <c r="T22" s="257"/>
      <c r="U22" s="257"/>
      <c r="V22" s="257"/>
      <c r="W22" s="257"/>
      <c r="X22" s="126"/>
      <c r="Y22" s="125"/>
      <c r="AA22" t="s">
        <v>74</v>
      </c>
    </row>
    <row r="23" spans="1:27" x14ac:dyDescent="0.3">
      <c r="A23" s="274"/>
      <c r="B23" s="273"/>
      <c r="C23" s="40"/>
      <c r="D23" s="49"/>
      <c r="E23" s="49"/>
      <c r="F23" s="49" t="s">
        <v>170</v>
      </c>
      <c r="G23" s="49" t="s">
        <v>183</v>
      </c>
      <c r="H23" s="273"/>
      <c r="I23" s="18"/>
      <c r="J23" s="5"/>
      <c r="K23" s="108"/>
      <c r="S23" s="117"/>
      <c r="T23" s="257"/>
      <c r="U23" s="257"/>
      <c r="V23" s="257"/>
      <c r="W23" s="257"/>
      <c r="X23" s="257"/>
      <c r="Y23" s="118"/>
      <c r="AA23" t="s">
        <v>307</v>
      </c>
    </row>
    <row r="24" spans="1:27" x14ac:dyDescent="0.3">
      <c r="A24" s="274"/>
      <c r="B24" s="273"/>
      <c r="C24" s="40"/>
      <c r="D24" s="273"/>
      <c r="E24" s="273"/>
      <c r="F24" s="273"/>
      <c r="G24" s="273"/>
      <c r="H24" s="273"/>
      <c r="I24" s="5"/>
      <c r="J24" s="5"/>
      <c r="K24" s="108"/>
      <c r="S24" s="117"/>
      <c r="T24" s="257"/>
      <c r="U24" s="257"/>
      <c r="V24" s="257"/>
      <c r="W24" s="257"/>
      <c r="X24" s="257"/>
      <c r="Y24" s="118"/>
      <c r="AA24" t="s">
        <v>4</v>
      </c>
    </row>
    <row r="25" spans="1:27" ht="15" thickBot="1" x14ac:dyDescent="0.35">
      <c r="A25" s="274"/>
      <c r="B25" s="273" t="s">
        <v>298</v>
      </c>
      <c r="C25" s="273" t="s">
        <v>12</v>
      </c>
      <c r="D25" s="273" t="s">
        <v>13</v>
      </c>
      <c r="E25" s="273" t="s">
        <v>14</v>
      </c>
      <c r="F25" s="273" t="s">
        <v>15</v>
      </c>
      <c r="G25" s="5" t="s">
        <v>24</v>
      </c>
      <c r="H25" s="5" t="s">
        <v>25</v>
      </c>
      <c r="I25" s="5" t="s">
        <v>301</v>
      </c>
      <c r="J25" s="5"/>
      <c r="K25" s="108"/>
      <c r="S25" s="117"/>
      <c r="T25" s="257"/>
      <c r="U25" s="257"/>
      <c r="V25" s="257"/>
      <c r="W25" s="257"/>
      <c r="X25" s="257"/>
      <c r="Y25" s="118"/>
      <c r="AA25" t="s">
        <v>59</v>
      </c>
    </row>
    <row r="26" spans="1:27" x14ac:dyDescent="0.3">
      <c r="A26" s="274"/>
      <c r="B26" s="14" t="s">
        <v>9</v>
      </c>
      <c r="C26" s="275">
        <f>COUNTIF($S$12:$T$17,"Brasilien")</f>
        <v>3</v>
      </c>
      <c r="D26" s="124">
        <f>SUMPRODUCT(($S$12:$T$17=B26)*($X$12:$Y$17=3))</f>
        <v>2</v>
      </c>
      <c r="E26" s="124">
        <f>SUMPRODUCT(($S$12:$T$17=B26)*($X$12:$Y$17=1))</f>
        <v>0</v>
      </c>
      <c r="F26" s="124">
        <f>SUMPRODUCT(($S$12:$T$17=B26)*($X$12:$Y$17=2))</f>
        <v>1</v>
      </c>
      <c r="G26" s="124">
        <f>SUMPRODUCT(($S$12:$S$17=B26)*($U$12:$U$17))+SUMPRODUCT(($T$12:$T$17=B26)*($V$12:$V$17))</f>
        <v>6</v>
      </c>
      <c r="H26" s="124">
        <f>SUMPRODUCT(($S$12:$S$17=B26)*($V$12:$V$17))+SUMPRODUCT(($T$12:$T$17=B26)*($U$12:$U$17))</f>
        <v>3</v>
      </c>
      <c r="I26" s="16">
        <f>(D26*3)+E26</f>
        <v>6</v>
      </c>
      <c r="J26" s="18"/>
      <c r="K26" s="108"/>
      <c r="S26" s="117"/>
      <c r="T26" s="257"/>
      <c r="U26" s="257"/>
      <c r="V26" s="257"/>
      <c r="W26" s="257"/>
      <c r="X26" s="257"/>
      <c r="Y26" s="118"/>
      <c r="AA26" t="s">
        <v>22</v>
      </c>
    </row>
    <row r="27" spans="1:27" x14ac:dyDescent="0.3">
      <c r="A27" s="274"/>
      <c r="B27" s="3" t="s">
        <v>59</v>
      </c>
      <c r="C27" s="387">
        <f>COUNTIF($S$12:$T$17,"Norwegen")</f>
        <v>3</v>
      </c>
      <c r="D27" s="43">
        <f>SUMPRODUCT(($S$12:$T$17=B27)*($X$12:$Y$17=3))</f>
        <v>1</v>
      </c>
      <c r="E27" s="43">
        <f>SUMPRODUCT(($S$12:$T$17=B27)*($X$12:$Y$17=1))</f>
        <v>2</v>
      </c>
      <c r="F27" s="43">
        <f>SUMPRODUCT(($S$12:$T$17=B27)*($X$12:$Y$17=2))</f>
        <v>0</v>
      </c>
      <c r="G27" s="43">
        <f>SUMPRODUCT(($S$12:$S$17=B27)*($U$12:$U$17))+SUMPRODUCT(($T$12:$T$17=B27)*($V$12:$V$17))</f>
        <v>5</v>
      </c>
      <c r="H27" s="43">
        <f>SUMPRODUCT(($S$12:$S$17=B27)*($V$12:$V$17))+SUMPRODUCT(($T$12:$T$17=B27)*($U$12:$U$17))</f>
        <v>4</v>
      </c>
      <c r="I27" s="22">
        <f>(D27*3)+E27</f>
        <v>5</v>
      </c>
      <c r="J27" s="18"/>
      <c r="K27" s="108"/>
      <c r="S27" s="117"/>
      <c r="T27" s="257"/>
      <c r="U27" s="257"/>
      <c r="V27" s="257"/>
      <c r="W27" s="257"/>
      <c r="X27" s="257"/>
      <c r="Y27" s="118"/>
      <c r="AA27" t="s">
        <v>35</v>
      </c>
    </row>
    <row r="28" spans="1:27" x14ac:dyDescent="0.3">
      <c r="A28" s="274"/>
      <c r="B28" s="3" t="s">
        <v>147</v>
      </c>
      <c r="C28" s="273">
        <f>COUNTIF($S$12:$T$17,"Marokko")</f>
        <v>3</v>
      </c>
      <c r="D28" s="43">
        <f>SUMPRODUCT(($S$12:$T$17=B28)*($X$12:$Y$17=3))</f>
        <v>1</v>
      </c>
      <c r="E28" s="43">
        <f>SUMPRODUCT(($S$12:$T$17=B28)*($X$12:$Y$17=1))</f>
        <v>1</v>
      </c>
      <c r="F28" s="43">
        <f>SUMPRODUCT(($S$12:$T$17=B28)*($X$12:$Y$17=2))</f>
        <v>1</v>
      </c>
      <c r="G28" s="43">
        <f>SUMPRODUCT(($S$12:$S$17=B28)*($U$12:$U$17))+SUMPRODUCT(($T$12:$T$17=B28)*($V$12:$V$17))</f>
        <v>5</v>
      </c>
      <c r="H28" s="43">
        <f>SUMPRODUCT(($S$12:$S$17=B28)*($V$12:$V$17))+SUMPRODUCT(($T$12:$T$17=B28)*($U$12:$U$17))</f>
        <v>5</v>
      </c>
      <c r="I28" s="22">
        <f>(D28*3)+E28</f>
        <v>4</v>
      </c>
      <c r="J28" s="5"/>
      <c r="K28" s="108"/>
      <c r="S28" s="117"/>
      <c r="T28" s="257"/>
      <c r="U28" s="257"/>
      <c r="V28" s="257"/>
      <c r="W28" s="257"/>
      <c r="X28" s="126"/>
      <c r="Y28" s="125"/>
      <c r="AA28" t="s">
        <v>147</v>
      </c>
    </row>
    <row r="29" spans="1:27" ht="15" thickBot="1" x14ac:dyDescent="0.35">
      <c r="A29" s="274"/>
      <c r="B29" s="29" t="s">
        <v>81</v>
      </c>
      <c r="C29" s="393">
        <f>COUNTIF($S$12:$T$17,"Schottland")</f>
        <v>3</v>
      </c>
      <c r="D29" s="80">
        <f>SUMPRODUCT(($S$12:$T$17=B29)*($X$12:$Y$17=3))</f>
        <v>0</v>
      </c>
      <c r="E29" s="80">
        <f>SUMPRODUCT(($S$12:$T$17=B29)*($X$12:$Y$17=1))</f>
        <v>1</v>
      </c>
      <c r="F29" s="80">
        <f>SUMPRODUCT(($S$12:$T$17=B29)*($X$12:$Y$17=2))</f>
        <v>2</v>
      </c>
      <c r="G29" s="80">
        <f>SUMPRODUCT(($S$12:$S$17=B29)*($U$12:$U$17))+SUMPRODUCT(($T$12:$T$17=B29)*($V$12:$V$17))</f>
        <v>2</v>
      </c>
      <c r="H29" s="80">
        <f>SUMPRODUCT(($S$12:$S$17=B29)*($V$12:$V$17))+SUMPRODUCT(($T$12:$T$17=B29)*($U$12:$U$17))</f>
        <v>6</v>
      </c>
      <c r="I29" s="32">
        <f>(D29*3)+E29</f>
        <v>1</v>
      </c>
      <c r="J29" s="5"/>
      <c r="K29" s="108"/>
      <c r="S29" s="117"/>
      <c r="T29" s="257"/>
      <c r="U29" s="257"/>
      <c r="V29" s="257"/>
      <c r="W29" s="257"/>
      <c r="X29" s="257"/>
      <c r="Y29" s="118"/>
      <c r="AA29" t="s">
        <v>6</v>
      </c>
    </row>
    <row r="30" spans="1:27" ht="15" thickBot="1" x14ac:dyDescent="0.35">
      <c r="A30" s="274"/>
      <c r="B30" s="273"/>
      <c r="C30" s="273"/>
      <c r="D30" s="273"/>
      <c r="E30" s="273"/>
      <c r="F30" s="273"/>
      <c r="G30" s="5"/>
      <c r="H30" s="5"/>
      <c r="I30" s="5"/>
      <c r="J30" s="5"/>
      <c r="K30" s="193"/>
      <c r="S30" s="117"/>
      <c r="T30" s="257"/>
      <c r="U30" s="257"/>
      <c r="V30" s="257"/>
      <c r="W30" s="257"/>
      <c r="X30" s="257"/>
      <c r="Y30" s="118"/>
      <c r="AA30" t="s">
        <v>21</v>
      </c>
    </row>
    <row r="31" spans="1:27" ht="15" thickTop="1" x14ac:dyDescent="0.3">
      <c r="A31" s="106"/>
      <c r="B31" s="25"/>
      <c r="C31" s="25"/>
      <c r="D31" s="25"/>
      <c r="E31" s="25"/>
      <c r="F31" s="25"/>
      <c r="G31" s="26"/>
      <c r="H31" s="26"/>
      <c r="I31" s="26"/>
      <c r="J31" s="26"/>
      <c r="K31" s="108"/>
      <c r="S31" s="117"/>
      <c r="T31" s="257"/>
      <c r="U31" s="257"/>
      <c r="V31" s="257"/>
      <c r="W31" s="257"/>
      <c r="X31" s="126"/>
      <c r="Y31" s="125"/>
      <c r="AA31" t="s">
        <v>352</v>
      </c>
    </row>
    <row r="32" spans="1:27" ht="21" x14ac:dyDescent="0.4">
      <c r="A32" s="274"/>
      <c r="B32" s="273"/>
      <c r="C32" s="273"/>
      <c r="D32" s="273"/>
      <c r="E32" s="273"/>
      <c r="F32" s="272" t="s">
        <v>120</v>
      </c>
      <c r="G32" s="5"/>
      <c r="H32" s="5"/>
      <c r="I32" s="5"/>
      <c r="J32" s="5"/>
      <c r="K32" s="108"/>
      <c r="S32" s="117"/>
      <c r="T32" s="257"/>
      <c r="U32" s="257"/>
      <c r="V32" s="257"/>
      <c r="W32" s="257"/>
      <c r="X32" s="126"/>
      <c r="Y32" s="125"/>
      <c r="AA32" t="s">
        <v>177</v>
      </c>
    </row>
    <row r="33" spans="1:27" x14ac:dyDescent="0.3">
      <c r="A33" s="274"/>
      <c r="B33" s="273"/>
      <c r="C33" s="273"/>
      <c r="D33" s="273"/>
      <c r="E33" s="273"/>
      <c r="F33" s="28"/>
      <c r="G33" s="5"/>
      <c r="H33" s="5"/>
      <c r="I33" s="5"/>
      <c r="J33" s="5"/>
      <c r="K33" s="108"/>
      <c r="S33" s="117"/>
      <c r="T33" s="257"/>
      <c r="U33" s="257"/>
      <c r="V33" s="257"/>
      <c r="W33" s="257"/>
      <c r="X33" s="126"/>
      <c r="Y33" s="125"/>
      <c r="AA33" t="s">
        <v>117</v>
      </c>
    </row>
    <row r="34" spans="1:27" x14ac:dyDescent="0.3">
      <c r="A34" s="274"/>
      <c r="B34" s="273"/>
      <c r="C34" s="40">
        <v>35957</v>
      </c>
      <c r="D34" s="49" t="s">
        <v>37</v>
      </c>
      <c r="E34" s="49" t="s">
        <v>6</v>
      </c>
      <c r="F34" s="49">
        <v>2</v>
      </c>
      <c r="G34" s="49">
        <v>2</v>
      </c>
      <c r="H34" s="273"/>
      <c r="I34" s="5"/>
      <c r="J34" s="5"/>
      <c r="K34" s="108"/>
      <c r="S34" s="122" t="s">
        <v>37</v>
      </c>
      <c r="T34" s="17" t="s">
        <v>6</v>
      </c>
      <c r="U34" s="17">
        <v>2</v>
      </c>
      <c r="V34" s="17">
        <v>2</v>
      </c>
      <c r="X34" s="126">
        <f t="shared" ref="X34:X35" si="4">(IF(U34&gt;V34,3,IF(U34=V34,1,2)))</f>
        <v>1</v>
      </c>
      <c r="Y34" s="125">
        <f t="shared" ref="Y34:Y35" si="5">(IF(V34&gt;U34,3,IF(U34=V34,1,2)))</f>
        <v>1</v>
      </c>
      <c r="AA34" t="s">
        <v>29</v>
      </c>
    </row>
    <row r="35" spans="1:27" ht="15" thickBot="1" x14ac:dyDescent="0.35">
      <c r="A35" s="274"/>
      <c r="B35" s="273"/>
      <c r="C35" s="58"/>
      <c r="D35" s="79"/>
      <c r="E35" s="79"/>
      <c r="F35" s="79" t="s">
        <v>172</v>
      </c>
      <c r="G35" s="79" t="s">
        <v>183</v>
      </c>
      <c r="H35" s="276"/>
      <c r="I35" s="8"/>
      <c r="J35" s="5"/>
      <c r="K35" s="108"/>
      <c r="S35" s="117" t="s">
        <v>190</v>
      </c>
      <c r="T35" s="257" t="s">
        <v>29</v>
      </c>
      <c r="U35" s="257">
        <v>1</v>
      </c>
      <c r="V35" s="257">
        <v>1</v>
      </c>
      <c r="X35" s="126">
        <f t="shared" si="4"/>
        <v>1</v>
      </c>
      <c r="Y35" s="125">
        <f t="shared" si="5"/>
        <v>1</v>
      </c>
      <c r="AA35" t="s">
        <v>348</v>
      </c>
    </row>
    <row r="36" spans="1:27" x14ac:dyDescent="0.3">
      <c r="A36" s="274"/>
      <c r="B36" s="273"/>
      <c r="C36" s="40">
        <v>35957</v>
      </c>
      <c r="D36" s="49" t="s">
        <v>190</v>
      </c>
      <c r="E36" s="49" t="s">
        <v>29</v>
      </c>
      <c r="F36" s="49">
        <v>1</v>
      </c>
      <c r="G36" s="49">
        <v>1</v>
      </c>
      <c r="H36" s="273"/>
      <c r="I36" s="5"/>
      <c r="J36" s="5"/>
      <c r="K36" s="108"/>
      <c r="S36" s="117" t="s">
        <v>6</v>
      </c>
      <c r="T36" s="257" t="s">
        <v>29</v>
      </c>
      <c r="U36" s="257">
        <v>1</v>
      </c>
      <c r="V36" s="257">
        <v>1</v>
      </c>
      <c r="X36" s="126">
        <f t="shared" ref="X36:X39" si="6">(IF(U36&gt;V36,3,IF(U36=V36,1,2)))</f>
        <v>1</v>
      </c>
      <c r="Y36" s="125">
        <f t="shared" ref="Y36:Y39" si="7">(IF(V36&gt;U36,3,IF(U36=V36,1,2)))</f>
        <v>1</v>
      </c>
      <c r="AA36" t="s">
        <v>190</v>
      </c>
    </row>
    <row r="37" spans="1:27" ht="15" thickBot="1" x14ac:dyDescent="0.35">
      <c r="A37" s="274"/>
      <c r="B37" s="273"/>
      <c r="C37" s="58"/>
      <c r="D37" s="79"/>
      <c r="E37" s="79"/>
      <c r="F37" s="79" t="s">
        <v>170</v>
      </c>
      <c r="G37" s="79" t="s">
        <v>171</v>
      </c>
      <c r="H37" s="276"/>
      <c r="I37" s="8"/>
      <c r="J37" s="5"/>
      <c r="K37" s="108"/>
      <c r="S37" s="117" t="s">
        <v>37</v>
      </c>
      <c r="T37" s="257" t="s">
        <v>190</v>
      </c>
      <c r="U37" s="257">
        <v>3</v>
      </c>
      <c r="V37" s="257">
        <v>0</v>
      </c>
      <c r="X37" s="126">
        <f t="shared" si="6"/>
        <v>3</v>
      </c>
      <c r="Y37" s="125">
        <f t="shared" si="7"/>
        <v>2</v>
      </c>
      <c r="AA37" t="s">
        <v>313</v>
      </c>
    </row>
    <row r="38" spans="1:27" x14ac:dyDescent="0.3">
      <c r="A38" s="274"/>
      <c r="B38" s="273"/>
      <c r="C38" s="40">
        <v>35963</v>
      </c>
      <c r="D38" s="49" t="s">
        <v>6</v>
      </c>
      <c r="E38" s="49" t="s">
        <v>29</v>
      </c>
      <c r="F38" s="49">
        <v>1</v>
      </c>
      <c r="G38" s="49">
        <v>1</v>
      </c>
      <c r="H38" s="273"/>
      <c r="I38" s="5"/>
      <c r="J38" s="5"/>
      <c r="K38" s="108"/>
      <c r="S38" s="117" t="s">
        <v>37</v>
      </c>
      <c r="T38" s="257" t="s">
        <v>29</v>
      </c>
      <c r="U38" s="257">
        <v>2</v>
      </c>
      <c r="V38" s="257">
        <v>1</v>
      </c>
      <c r="X38" s="126">
        <f t="shared" si="6"/>
        <v>3</v>
      </c>
      <c r="Y38" s="125">
        <f t="shared" si="7"/>
        <v>2</v>
      </c>
      <c r="AA38" t="s">
        <v>90</v>
      </c>
    </row>
    <row r="39" spans="1:27" ht="15" thickBot="1" x14ac:dyDescent="0.35">
      <c r="A39" s="274"/>
      <c r="B39" s="273"/>
      <c r="C39" s="58"/>
      <c r="D39" s="79"/>
      <c r="E39" s="79"/>
      <c r="F39" s="79" t="s">
        <v>170</v>
      </c>
      <c r="G39" s="79" t="s">
        <v>171</v>
      </c>
      <c r="H39" s="276"/>
      <c r="I39" s="8"/>
      <c r="J39" s="5"/>
      <c r="K39" s="108"/>
      <c r="S39" s="117" t="s">
        <v>6</v>
      </c>
      <c r="T39" s="257" t="s">
        <v>190</v>
      </c>
      <c r="U39" s="257">
        <v>1</v>
      </c>
      <c r="V39" s="257">
        <v>1</v>
      </c>
      <c r="X39" s="126">
        <f t="shared" si="6"/>
        <v>1</v>
      </c>
      <c r="Y39" s="125">
        <f t="shared" si="7"/>
        <v>1</v>
      </c>
      <c r="AA39" t="s">
        <v>81</v>
      </c>
    </row>
    <row r="40" spans="1:27" x14ac:dyDescent="0.3">
      <c r="A40" s="274"/>
      <c r="B40" s="273"/>
      <c r="C40" s="40">
        <v>35963</v>
      </c>
      <c r="D40" s="49" t="s">
        <v>37</v>
      </c>
      <c r="E40" s="49" t="s">
        <v>190</v>
      </c>
      <c r="F40" s="49">
        <v>3</v>
      </c>
      <c r="G40" s="49">
        <v>0</v>
      </c>
      <c r="H40" s="273"/>
      <c r="I40" s="5"/>
      <c r="J40" s="5"/>
      <c r="K40" s="108"/>
      <c r="S40" s="117"/>
      <c r="T40" s="257"/>
      <c r="U40" s="257"/>
      <c r="V40" s="257"/>
      <c r="X40" s="126"/>
      <c r="Y40" s="125"/>
      <c r="AA40" t="s">
        <v>176</v>
      </c>
    </row>
    <row r="41" spans="1:27" ht="15" thickBot="1" x14ac:dyDescent="0.35">
      <c r="A41" s="274"/>
      <c r="B41" s="273"/>
      <c r="C41" s="58"/>
      <c r="D41" s="79"/>
      <c r="E41" s="79"/>
      <c r="F41" s="79" t="s">
        <v>172</v>
      </c>
      <c r="G41" s="79" t="s">
        <v>171</v>
      </c>
      <c r="H41" s="276"/>
      <c r="I41" s="8"/>
      <c r="J41" s="5"/>
      <c r="K41" s="108"/>
      <c r="S41" s="117"/>
      <c r="T41" s="257"/>
      <c r="U41" s="257"/>
      <c r="V41" s="257"/>
      <c r="X41" s="126"/>
      <c r="Y41" s="125"/>
      <c r="AA41" t="s">
        <v>125</v>
      </c>
    </row>
    <row r="42" spans="1:27" x14ac:dyDescent="0.3">
      <c r="A42" s="274"/>
      <c r="B42" s="273"/>
      <c r="C42" s="40">
        <v>35969</v>
      </c>
      <c r="D42" s="43" t="s">
        <v>37</v>
      </c>
      <c r="E42" s="43" t="s">
        <v>29</v>
      </c>
      <c r="F42" s="43">
        <v>2</v>
      </c>
      <c r="G42" s="43">
        <v>1</v>
      </c>
      <c r="H42" s="17"/>
      <c r="I42" s="5"/>
      <c r="J42" s="5"/>
      <c r="K42" s="108"/>
      <c r="S42" s="117"/>
      <c r="T42" s="257"/>
      <c r="U42" s="257"/>
      <c r="V42" s="257"/>
      <c r="X42" s="126"/>
      <c r="Y42" s="125"/>
      <c r="AA42" t="s">
        <v>351</v>
      </c>
    </row>
    <row r="43" spans="1:27" ht="15" thickBot="1" x14ac:dyDescent="0.35">
      <c r="A43" s="274"/>
      <c r="B43" s="273"/>
      <c r="C43" s="58"/>
      <c r="D43" s="80"/>
      <c r="E43" s="80"/>
      <c r="F43" s="80" t="s">
        <v>172</v>
      </c>
      <c r="G43" s="80" t="s">
        <v>171</v>
      </c>
      <c r="H43" s="30"/>
      <c r="I43" s="8"/>
      <c r="J43" s="5"/>
      <c r="K43" s="108"/>
      <c r="S43" s="117"/>
      <c r="T43" s="257"/>
      <c r="U43" s="257"/>
      <c r="V43" s="257"/>
      <c r="X43" s="126"/>
      <c r="Y43" s="125"/>
      <c r="AA43" t="s">
        <v>20</v>
      </c>
    </row>
    <row r="44" spans="1:27" x14ac:dyDescent="0.3">
      <c r="A44" s="274"/>
      <c r="B44" s="273"/>
      <c r="C44" s="40">
        <v>35969</v>
      </c>
      <c r="D44" s="43" t="s">
        <v>6</v>
      </c>
      <c r="E44" s="43" t="s">
        <v>190</v>
      </c>
      <c r="F44" s="43">
        <v>1</v>
      </c>
      <c r="G44" s="43">
        <v>1</v>
      </c>
      <c r="H44" s="17"/>
      <c r="I44" s="5"/>
      <c r="J44" s="5"/>
      <c r="K44" s="108"/>
      <c r="S44" s="117"/>
      <c r="T44" s="257"/>
      <c r="U44" s="257"/>
      <c r="V44" s="257"/>
      <c r="X44" s="126"/>
      <c r="Y44" s="125"/>
    </row>
    <row r="45" spans="1:27" x14ac:dyDescent="0.3">
      <c r="A45" s="274"/>
      <c r="B45" s="273"/>
      <c r="C45" s="40"/>
      <c r="D45" s="43"/>
      <c r="E45" s="43"/>
      <c r="F45" s="43" t="s">
        <v>172</v>
      </c>
      <c r="G45" s="43" t="s">
        <v>171</v>
      </c>
      <c r="H45" s="17"/>
      <c r="I45" s="5"/>
      <c r="J45" s="5"/>
      <c r="K45" s="108"/>
      <c r="S45" s="117"/>
      <c r="T45" s="257"/>
      <c r="U45" s="257"/>
      <c r="V45" s="257"/>
      <c r="W45" s="257"/>
      <c r="X45" s="126"/>
      <c r="Y45" s="125"/>
    </row>
    <row r="46" spans="1:27" x14ac:dyDescent="0.3">
      <c r="A46" s="156"/>
      <c r="B46" s="17"/>
      <c r="C46" s="17"/>
      <c r="D46" s="17"/>
      <c r="E46" s="17"/>
      <c r="F46" s="17"/>
      <c r="G46" s="18"/>
      <c r="H46" s="5"/>
      <c r="I46" s="5"/>
      <c r="J46" s="5"/>
      <c r="K46" s="108"/>
      <c r="S46" s="117"/>
      <c r="T46" s="257"/>
      <c r="U46" s="257"/>
      <c r="V46" s="257"/>
      <c r="W46" s="257"/>
      <c r="X46" s="126"/>
      <c r="Y46" s="125"/>
    </row>
    <row r="47" spans="1:27" ht="15" thickBot="1" x14ac:dyDescent="0.35">
      <c r="A47" s="274"/>
      <c r="B47" s="273" t="s">
        <v>298</v>
      </c>
      <c r="C47" s="273" t="s">
        <v>12</v>
      </c>
      <c r="D47" s="273" t="s">
        <v>13</v>
      </c>
      <c r="E47" s="273" t="s">
        <v>14</v>
      </c>
      <c r="F47" s="273" t="s">
        <v>15</v>
      </c>
      <c r="G47" s="5" t="s">
        <v>24</v>
      </c>
      <c r="H47" s="5" t="s">
        <v>25</v>
      </c>
      <c r="I47" s="5" t="s">
        <v>301</v>
      </c>
      <c r="J47" s="5"/>
      <c r="K47" s="108"/>
      <c r="S47" s="117"/>
      <c r="T47" s="257"/>
      <c r="U47" s="257"/>
      <c r="V47" s="257"/>
      <c r="W47" s="257"/>
      <c r="X47" s="126"/>
      <c r="Y47" s="125"/>
    </row>
    <row r="48" spans="1:27" x14ac:dyDescent="0.3">
      <c r="A48" s="274"/>
      <c r="B48" s="14" t="s">
        <v>37</v>
      </c>
      <c r="C48" s="277">
        <v>3</v>
      </c>
      <c r="D48" s="277">
        <v>2</v>
      </c>
      <c r="E48" s="277">
        <v>1</v>
      </c>
      <c r="F48" s="277">
        <v>0</v>
      </c>
      <c r="G48" s="15">
        <v>6</v>
      </c>
      <c r="H48" s="15">
        <v>1</v>
      </c>
      <c r="I48" s="15">
        <v>7</v>
      </c>
      <c r="J48" s="86"/>
      <c r="K48" s="108"/>
      <c r="S48" s="117"/>
      <c r="T48" s="257"/>
      <c r="U48" s="257"/>
      <c r="V48" s="257"/>
      <c r="W48" s="257"/>
      <c r="X48" s="126"/>
      <c r="Y48" s="125"/>
    </row>
    <row r="49" spans="1:25" x14ac:dyDescent="0.3">
      <c r="A49" s="274"/>
      <c r="B49" s="21" t="s">
        <v>6</v>
      </c>
      <c r="C49" s="17"/>
      <c r="D49" s="17"/>
      <c r="E49" s="17"/>
      <c r="F49" s="17"/>
      <c r="G49" s="18"/>
      <c r="H49" s="18"/>
      <c r="I49" s="18"/>
      <c r="J49" s="86"/>
      <c r="K49" s="108"/>
      <c r="S49" s="117"/>
      <c r="T49" s="257"/>
      <c r="U49" s="257"/>
      <c r="V49" s="257"/>
      <c r="W49" s="257"/>
      <c r="X49" s="126"/>
      <c r="Y49" s="125"/>
    </row>
    <row r="50" spans="1:25" x14ac:dyDescent="0.3">
      <c r="A50" s="274"/>
      <c r="B50" s="3" t="s">
        <v>190</v>
      </c>
      <c r="C50" s="273"/>
      <c r="D50" s="273"/>
      <c r="E50" s="273"/>
      <c r="F50" s="273"/>
      <c r="G50" s="5"/>
      <c r="H50" s="5"/>
      <c r="I50" s="5"/>
      <c r="J50" s="87"/>
      <c r="K50" s="108"/>
      <c r="S50" s="117"/>
      <c r="T50" s="257"/>
      <c r="U50" s="257"/>
      <c r="V50" s="257"/>
      <c r="W50" s="257"/>
      <c r="X50" s="126"/>
      <c r="Y50" s="125"/>
    </row>
    <row r="51" spans="1:25" ht="15" thickBot="1" x14ac:dyDescent="0.35">
      <c r="A51" s="274"/>
      <c r="B51" s="7" t="s">
        <v>29</v>
      </c>
      <c r="C51" s="276"/>
      <c r="D51" s="276"/>
      <c r="E51" s="276"/>
      <c r="F51" s="276"/>
      <c r="G51" s="8"/>
      <c r="H51" s="8"/>
      <c r="I51" s="8"/>
      <c r="J51" s="87"/>
      <c r="K51" s="108"/>
      <c r="S51" s="117"/>
      <c r="T51" s="257"/>
      <c r="U51" s="257"/>
      <c r="V51" s="257"/>
      <c r="W51" s="257"/>
      <c r="X51" s="126"/>
      <c r="Y51" s="125"/>
    </row>
    <row r="52" spans="1:25" ht="15" thickBot="1" x14ac:dyDescent="0.35">
      <c r="A52" s="274"/>
      <c r="B52" s="273"/>
      <c r="C52" s="273"/>
      <c r="D52" s="273"/>
      <c r="E52" s="273"/>
      <c r="F52" s="273"/>
      <c r="G52" s="5"/>
      <c r="H52" s="5"/>
      <c r="I52" s="5"/>
      <c r="J52" s="5"/>
      <c r="K52" s="193"/>
      <c r="S52" s="117"/>
      <c r="T52" s="257"/>
      <c r="U52" s="257"/>
      <c r="V52" s="257"/>
      <c r="W52" s="257"/>
      <c r="X52" s="126"/>
      <c r="Y52" s="125"/>
    </row>
    <row r="53" spans="1:25" ht="15" thickTop="1" x14ac:dyDescent="0.3">
      <c r="A53" s="106"/>
      <c r="B53" s="25"/>
      <c r="C53" s="25"/>
      <c r="D53" s="25"/>
      <c r="E53" s="25"/>
      <c r="F53" s="25"/>
      <c r="G53" s="26"/>
      <c r="H53" s="26"/>
      <c r="I53" s="26"/>
      <c r="J53" s="26"/>
      <c r="K53" s="108"/>
      <c r="S53" s="117"/>
      <c r="T53" s="257"/>
      <c r="U53" s="257"/>
      <c r="V53" s="257"/>
      <c r="W53" s="257"/>
      <c r="X53" s="126"/>
      <c r="Y53" s="125"/>
    </row>
    <row r="54" spans="1:25" ht="21" x14ac:dyDescent="0.4">
      <c r="A54" s="274"/>
      <c r="B54" s="273"/>
      <c r="C54" s="273"/>
      <c r="D54" s="273"/>
      <c r="E54" s="273"/>
      <c r="F54" s="272" t="s">
        <v>121</v>
      </c>
      <c r="G54" s="5"/>
      <c r="H54" s="5"/>
      <c r="I54" s="5"/>
      <c r="J54" s="5"/>
      <c r="K54" s="108"/>
      <c r="S54" s="117"/>
      <c r="T54" s="257"/>
      <c r="U54" s="257"/>
      <c r="V54" s="257"/>
      <c r="W54" s="257"/>
      <c r="X54" s="126"/>
      <c r="Y54" s="125"/>
    </row>
    <row r="55" spans="1:25" x14ac:dyDescent="0.3">
      <c r="A55" s="274"/>
      <c r="B55" s="273"/>
      <c r="C55" s="273"/>
      <c r="D55" s="273"/>
      <c r="E55" s="273"/>
      <c r="F55" s="28"/>
      <c r="G55" s="5"/>
      <c r="H55" s="5"/>
      <c r="I55" s="5"/>
      <c r="J55" s="5"/>
      <c r="K55" s="108"/>
      <c r="S55" s="117"/>
      <c r="T55" s="257"/>
      <c r="U55" s="257"/>
      <c r="V55" s="257"/>
      <c r="W55" s="257"/>
      <c r="X55" s="126"/>
      <c r="Y55" s="125"/>
    </row>
    <row r="56" spans="1:25" x14ac:dyDescent="0.3">
      <c r="A56" s="274"/>
      <c r="B56" s="273"/>
      <c r="C56" s="40">
        <v>35958</v>
      </c>
      <c r="D56" s="49" t="s">
        <v>313</v>
      </c>
      <c r="E56" s="49" t="s">
        <v>258</v>
      </c>
      <c r="F56" s="49">
        <v>0</v>
      </c>
      <c r="G56" s="51">
        <v>1</v>
      </c>
      <c r="H56" s="5"/>
      <c r="I56" s="5"/>
      <c r="J56" s="5"/>
      <c r="K56" s="108"/>
      <c r="S56" s="117" t="s">
        <v>313</v>
      </c>
      <c r="T56" s="257" t="s">
        <v>258</v>
      </c>
      <c r="U56" s="257">
        <v>0</v>
      </c>
      <c r="V56" s="257">
        <v>1</v>
      </c>
      <c r="W56" s="257"/>
      <c r="X56" s="126">
        <f t="shared" ref="X56:X57" si="8">(IF(U56&gt;V56,3,IF(U56=V56,1,2)))</f>
        <v>2</v>
      </c>
      <c r="Y56" s="125">
        <f t="shared" ref="Y56:Y57" si="9">(IF(V56&gt;U56,3,IF(U56=V56,1,2)))</f>
        <v>3</v>
      </c>
    </row>
    <row r="57" spans="1:25" ht="15" thickBot="1" x14ac:dyDescent="0.35">
      <c r="A57" s="274"/>
      <c r="B57" s="273"/>
      <c r="C57" s="58"/>
      <c r="D57" s="79"/>
      <c r="E57" s="79"/>
      <c r="F57" s="79" t="s">
        <v>170</v>
      </c>
      <c r="G57" s="81" t="s">
        <v>171</v>
      </c>
      <c r="H57" s="8"/>
      <c r="I57" s="8"/>
      <c r="J57" s="5"/>
      <c r="K57" s="108"/>
      <c r="S57" s="122" t="s">
        <v>3</v>
      </c>
      <c r="T57" s="17" t="s">
        <v>348</v>
      </c>
      <c r="U57" s="17">
        <v>3</v>
      </c>
      <c r="V57" s="17">
        <v>0</v>
      </c>
      <c r="W57" s="17"/>
      <c r="X57" s="126">
        <f t="shared" si="8"/>
        <v>3</v>
      </c>
      <c r="Y57" s="125">
        <f t="shared" si="9"/>
        <v>2</v>
      </c>
    </row>
    <row r="58" spans="1:25" x14ac:dyDescent="0.3">
      <c r="A58" s="274"/>
      <c r="B58" s="273"/>
      <c r="C58" s="40">
        <v>35958</v>
      </c>
      <c r="D58" s="49" t="s">
        <v>3</v>
      </c>
      <c r="E58" s="49" t="s">
        <v>348</v>
      </c>
      <c r="F58" s="49">
        <v>3</v>
      </c>
      <c r="G58" s="51">
        <v>0</v>
      </c>
      <c r="H58" s="5"/>
      <c r="I58" s="5"/>
      <c r="J58" s="5"/>
      <c r="K58" s="108"/>
      <c r="S58" s="122" t="s">
        <v>348</v>
      </c>
      <c r="T58" s="17" t="s">
        <v>258</v>
      </c>
      <c r="U58" s="17">
        <v>1</v>
      </c>
      <c r="V58" s="17">
        <v>1</v>
      </c>
      <c r="W58" s="17"/>
      <c r="X58" s="126">
        <f t="shared" ref="X58:X61" si="10">(IF(U58&gt;V58,3,IF(U58=V58,1,2)))</f>
        <v>1</v>
      </c>
      <c r="Y58" s="125">
        <f t="shared" ref="Y58:Y61" si="11">(IF(V58&gt;U58,3,IF(U58=V58,1,2)))</f>
        <v>1</v>
      </c>
    </row>
    <row r="59" spans="1:25" ht="15" thickBot="1" x14ac:dyDescent="0.35">
      <c r="A59" s="274"/>
      <c r="B59" s="273"/>
      <c r="C59" s="58"/>
      <c r="D59" s="79"/>
      <c r="E59" s="79"/>
      <c r="F59" s="79" t="s">
        <v>172</v>
      </c>
      <c r="G59" s="81" t="s">
        <v>171</v>
      </c>
      <c r="H59" s="8"/>
      <c r="I59" s="8"/>
      <c r="J59" s="5"/>
      <c r="K59" s="108"/>
      <c r="S59" s="122" t="s">
        <v>3</v>
      </c>
      <c r="T59" s="17" t="s">
        <v>313</v>
      </c>
      <c r="U59" s="17">
        <v>4</v>
      </c>
      <c r="V59" s="17">
        <v>0</v>
      </c>
      <c r="W59" s="17"/>
      <c r="X59" s="126">
        <f t="shared" si="10"/>
        <v>3</v>
      </c>
      <c r="Y59" s="125">
        <f t="shared" si="11"/>
        <v>2</v>
      </c>
    </row>
    <row r="60" spans="1:25" x14ac:dyDescent="0.3">
      <c r="A60" s="274"/>
      <c r="B60" s="273"/>
      <c r="C60" s="40">
        <v>35964</v>
      </c>
      <c r="D60" s="49" t="s">
        <v>348</v>
      </c>
      <c r="E60" s="49" t="s">
        <v>258</v>
      </c>
      <c r="F60" s="49">
        <v>1</v>
      </c>
      <c r="G60" s="51">
        <v>1</v>
      </c>
      <c r="H60" s="5"/>
      <c r="I60" s="5"/>
      <c r="J60" s="5"/>
      <c r="K60" s="108"/>
      <c r="S60" s="122" t="s">
        <v>3</v>
      </c>
      <c r="T60" s="17" t="s">
        <v>258</v>
      </c>
      <c r="U60" s="17">
        <v>2</v>
      </c>
      <c r="V60" s="17">
        <v>1</v>
      </c>
      <c r="W60" s="17"/>
      <c r="X60" s="126">
        <f t="shared" si="10"/>
        <v>3</v>
      </c>
      <c r="Y60" s="125">
        <f t="shared" si="11"/>
        <v>2</v>
      </c>
    </row>
    <row r="61" spans="1:25" ht="15" thickBot="1" x14ac:dyDescent="0.35">
      <c r="A61" s="274"/>
      <c r="B61" s="273"/>
      <c r="C61" s="58"/>
      <c r="D61" s="79"/>
      <c r="E61" s="79"/>
      <c r="F61" s="79" t="s">
        <v>170</v>
      </c>
      <c r="G61" s="81" t="s">
        <v>183</v>
      </c>
      <c r="H61" s="8"/>
      <c r="I61" s="8"/>
      <c r="J61" s="5"/>
      <c r="K61" s="108"/>
      <c r="S61" s="122" t="s">
        <v>348</v>
      </c>
      <c r="T61" s="17" t="s">
        <v>313</v>
      </c>
      <c r="U61" s="17">
        <v>2</v>
      </c>
      <c r="V61" s="17">
        <v>2</v>
      </c>
      <c r="W61" s="17"/>
      <c r="X61" s="126">
        <f t="shared" si="10"/>
        <v>1</v>
      </c>
      <c r="Y61" s="125">
        <f t="shared" si="11"/>
        <v>1</v>
      </c>
    </row>
    <row r="62" spans="1:25" x14ac:dyDescent="0.3">
      <c r="A62" s="274"/>
      <c r="B62" s="273"/>
      <c r="C62" s="269">
        <v>35964</v>
      </c>
      <c r="D62" s="270" t="s">
        <v>3</v>
      </c>
      <c r="E62" s="270" t="s">
        <v>313</v>
      </c>
      <c r="F62" s="270">
        <v>4</v>
      </c>
      <c r="G62" s="271">
        <v>0</v>
      </c>
      <c r="H62" s="20"/>
      <c r="I62" s="20"/>
      <c r="J62" s="5"/>
      <c r="K62" s="108"/>
      <c r="S62" s="122"/>
      <c r="T62" s="17"/>
      <c r="U62" s="17"/>
      <c r="V62" s="17"/>
      <c r="W62" s="17"/>
      <c r="X62" s="126"/>
      <c r="Y62" s="125"/>
    </row>
    <row r="63" spans="1:25" ht="15" thickBot="1" x14ac:dyDescent="0.35">
      <c r="A63" s="274"/>
      <c r="B63" s="273"/>
      <c r="C63" s="58"/>
      <c r="D63" s="79"/>
      <c r="E63" s="79"/>
      <c r="F63" s="79" t="s">
        <v>172</v>
      </c>
      <c r="G63" s="81" t="s">
        <v>171</v>
      </c>
      <c r="H63" s="8"/>
      <c r="I63" s="8"/>
      <c r="J63" s="5"/>
      <c r="K63" s="108"/>
      <c r="S63" s="122"/>
      <c r="T63" s="17"/>
      <c r="U63" s="17"/>
      <c r="V63" s="17"/>
      <c r="W63" s="17"/>
      <c r="X63" s="126"/>
      <c r="Y63" s="125"/>
    </row>
    <row r="64" spans="1:25" x14ac:dyDescent="0.3">
      <c r="A64" s="274"/>
      <c r="B64" s="273"/>
      <c r="C64" s="40">
        <v>35970</v>
      </c>
      <c r="D64" s="49" t="s">
        <v>3</v>
      </c>
      <c r="E64" s="49" t="s">
        <v>258</v>
      </c>
      <c r="F64" s="49">
        <v>2</v>
      </c>
      <c r="G64" s="51">
        <v>1</v>
      </c>
      <c r="H64" s="5"/>
      <c r="I64" s="5"/>
      <c r="J64" s="5"/>
      <c r="K64" s="108"/>
      <c r="S64" s="122"/>
      <c r="T64" s="17"/>
      <c r="U64" s="17"/>
      <c r="V64" s="17"/>
      <c r="W64" s="17"/>
      <c r="X64" s="126"/>
      <c r="Y64" s="125"/>
    </row>
    <row r="65" spans="1:25" ht="15" thickBot="1" x14ac:dyDescent="0.35">
      <c r="A65" s="274"/>
      <c r="B65" s="273"/>
      <c r="C65" s="58"/>
      <c r="D65" s="79"/>
      <c r="E65" s="79"/>
      <c r="F65" s="79" t="s">
        <v>172</v>
      </c>
      <c r="G65" s="81" t="s">
        <v>183</v>
      </c>
      <c r="H65" s="8"/>
      <c r="I65" s="8"/>
      <c r="J65" s="5"/>
      <c r="K65" s="108"/>
      <c r="S65" s="122"/>
      <c r="T65" s="17"/>
      <c r="U65" s="17"/>
      <c r="V65" s="17"/>
      <c r="W65" s="17"/>
      <c r="X65" s="126"/>
      <c r="Y65" s="125"/>
    </row>
    <row r="66" spans="1:25" x14ac:dyDescent="0.3">
      <c r="A66" s="274"/>
      <c r="B66" s="273"/>
      <c r="C66" s="40">
        <v>35970</v>
      </c>
      <c r="D66" s="49" t="s">
        <v>348</v>
      </c>
      <c r="E66" s="49" t="s">
        <v>313</v>
      </c>
      <c r="F66" s="49">
        <v>2</v>
      </c>
      <c r="G66" s="51">
        <v>2</v>
      </c>
      <c r="H66" s="5"/>
      <c r="I66" s="5"/>
      <c r="J66" s="5"/>
      <c r="K66" s="108"/>
      <c r="S66" s="122"/>
      <c r="T66" s="17"/>
      <c r="U66" s="17"/>
      <c r="V66" s="17"/>
      <c r="W66" s="17"/>
      <c r="X66" s="126"/>
      <c r="Y66" s="125"/>
    </row>
    <row r="67" spans="1:25" x14ac:dyDescent="0.3">
      <c r="A67" s="156"/>
      <c r="B67" s="273"/>
      <c r="C67" s="273"/>
      <c r="D67" s="49"/>
      <c r="E67" s="49"/>
      <c r="F67" s="49" t="s">
        <v>172</v>
      </c>
      <c r="G67" s="51" t="s">
        <v>183</v>
      </c>
      <c r="H67" s="5"/>
      <c r="I67" s="5"/>
      <c r="J67" s="5"/>
      <c r="K67" s="108"/>
      <c r="S67" s="122"/>
      <c r="T67" s="17"/>
      <c r="U67" s="17"/>
      <c r="V67" s="17"/>
      <c r="W67" s="17"/>
      <c r="X67" s="126"/>
      <c r="Y67" s="125"/>
    </row>
    <row r="68" spans="1:25" x14ac:dyDescent="0.3">
      <c r="A68" s="156"/>
      <c r="B68" s="273"/>
      <c r="C68" s="273"/>
      <c r="D68" s="273"/>
      <c r="E68" s="273"/>
      <c r="F68" s="273"/>
      <c r="G68" s="5"/>
      <c r="H68" s="5"/>
      <c r="I68" s="5"/>
      <c r="J68" s="5"/>
      <c r="K68" s="108"/>
      <c r="S68" s="117"/>
      <c r="T68" s="257"/>
      <c r="U68" s="257"/>
      <c r="V68" s="257"/>
      <c r="W68" s="257"/>
      <c r="X68" s="126"/>
      <c r="Y68" s="125"/>
    </row>
    <row r="69" spans="1:25" ht="15" thickBot="1" x14ac:dyDescent="0.35">
      <c r="A69" s="274"/>
      <c r="B69" s="273" t="s">
        <v>298</v>
      </c>
      <c r="C69" s="273" t="s">
        <v>12</v>
      </c>
      <c r="D69" s="273" t="s">
        <v>13</v>
      </c>
      <c r="E69" s="273" t="s">
        <v>14</v>
      </c>
      <c r="F69" s="273" t="s">
        <v>15</v>
      </c>
      <c r="G69" s="5" t="s">
        <v>24</v>
      </c>
      <c r="H69" s="5" t="s">
        <v>25</v>
      </c>
      <c r="I69" s="5" t="s">
        <v>301</v>
      </c>
      <c r="J69" s="5"/>
      <c r="K69" s="108"/>
      <c r="S69" s="117"/>
      <c r="T69" s="257"/>
      <c r="U69" s="257"/>
      <c r="V69" s="257"/>
      <c r="W69" s="257"/>
      <c r="X69" s="126"/>
      <c r="Y69" s="125"/>
    </row>
    <row r="70" spans="1:25" x14ac:dyDescent="0.3">
      <c r="A70" s="274"/>
      <c r="B70" s="14" t="s">
        <v>313</v>
      </c>
      <c r="C70" s="277">
        <v>3</v>
      </c>
      <c r="D70" s="277">
        <v>2</v>
      </c>
      <c r="E70" s="277">
        <v>1</v>
      </c>
      <c r="F70" s="277">
        <v>0</v>
      </c>
      <c r="G70" s="15">
        <v>5</v>
      </c>
      <c r="H70" s="15">
        <v>3</v>
      </c>
      <c r="I70" s="15">
        <v>7</v>
      </c>
      <c r="J70" s="86"/>
      <c r="K70" s="108"/>
      <c r="S70" s="117"/>
      <c r="T70" s="257"/>
      <c r="U70" s="257"/>
      <c r="V70" s="257"/>
      <c r="W70" s="257"/>
      <c r="X70" s="126"/>
      <c r="Y70" s="125"/>
    </row>
    <row r="71" spans="1:25" x14ac:dyDescent="0.3">
      <c r="A71" s="274"/>
      <c r="B71" s="21" t="s">
        <v>258</v>
      </c>
      <c r="C71" s="17"/>
      <c r="D71" s="17"/>
      <c r="E71" s="17"/>
      <c r="F71" s="17"/>
      <c r="G71" s="18"/>
      <c r="H71" s="18"/>
      <c r="I71" s="18"/>
      <c r="J71" s="86"/>
      <c r="K71" s="108"/>
      <c r="S71" s="117"/>
      <c r="T71" s="257"/>
      <c r="U71" s="257"/>
      <c r="V71" s="257"/>
      <c r="W71" s="257"/>
      <c r="X71" s="126"/>
      <c r="Y71" s="125"/>
    </row>
    <row r="72" spans="1:25" x14ac:dyDescent="0.3">
      <c r="A72" s="274"/>
      <c r="B72" s="3" t="s">
        <v>3</v>
      </c>
      <c r="C72" s="273"/>
      <c r="D72" s="273"/>
      <c r="E72" s="273"/>
      <c r="F72" s="273"/>
      <c r="G72" s="5"/>
      <c r="H72" s="5"/>
      <c r="I72" s="5"/>
      <c r="J72" s="87"/>
      <c r="K72" s="108"/>
      <c r="S72" s="117"/>
      <c r="T72" s="257"/>
      <c r="U72" s="257"/>
      <c r="V72" s="257"/>
      <c r="W72" s="257"/>
      <c r="X72" s="126"/>
      <c r="Y72" s="125"/>
    </row>
    <row r="73" spans="1:25" ht="15" thickBot="1" x14ac:dyDescent="0.35">
      <c r="A73" s="274"/>
      <c r="B73" s="7" t="s">
        <v>348</v>
      </c>
      <c r="C73" s="276"/>
      <c r="D73" s="276"/>
      <c r="E73" s="276"/>
      <c r="F73" s="276"/>
      <c r="G73" s="8"/>
      <c r="H73" s="8"/>
      <c r="I73" s="8"/>
      <c r="J73" s="87"/>
      <c r="K73" s="108"/>
      <c r="S73" s="117"/>
      <c r="T73" s="257"/>
      <c r="U73" s="257"/>
      <c r="V73" s="257"/>
      <c r="W73" s="257"/>
      <c r="X73" s="126"/>
      <c r="Y73" s="125"/>
    </row>
    <row r="74" spans="1:25" ht="15" thickBot="1" x14ac:dyDescent="0.35">
      <c r="A74" s="274"/>
      <c r="B74" s="273"/>
      <c r="C74" s="273"/>
      <c r="D74" s="273"/>
      <c r="E74" s="273"/>
      <c r="F74" s="273"/>
      <c r="G74" s="5"/>
      <c r="H74" s="5"/>
      <c r="I74" s="5"/>
      <c r="J74" s="5"/>
      <c r="K74" s="193"/>
      <c r="S74" s="117"/>
      <c r="T74" s="257"/>
      <c r="U74" s="257"/>
      <c r="V74" s="257"/>
      <c r="W74" s="257"/>
      <c r="X74" s="126"/>
      <c r="Y74" s="125"/>
    </row>
    <row r="75" spans="1:25" ht="15" thickTop="1" x14ac:dyDescent="0.3">
      <c r="A75" s="106"/>
      <c r="B75" s="25"/>
      <c r="C75" s="25"/>
      <c r="D75" s="25"/>
      <c r="E75" s="25"/>
      <c r="F75" s="25"/>
      <c r="G75" s="26"/>
      <c r="H75" s="26"/>
      <c r="I75" s="26"/>
      <c r="J75" s="26"/>
      <c r="K75" s="108"/>
      <c r="S75" s="117"/>
      <c r="T75" s="257"/>
      <c r="U75" s="257"/>
      <c r="V75" s="257"/>
      <c r="W75" s="257"/>
      <c r="X75" s="126"/>
      <c r="Y75" s="125"/>
    </row>
    <row r="76" spans="1:25" ht="21" x14ac:dyDescent="0.4">
      <c r="A76" s="274"/>
      <c r="B76" s="273"/>
      <c r="C76" s="273"/>
      <c r="D76" s="273"/>
      <c r="E76" s="273"/>
      <c r="F76" s="272" t="s">
        <v>122</v>
      </c>
      <c r="G76" s="5"/>
      <c r="H76" s="5"/>
      <c r="I76" s="5"/>
      <c r="J76" s="5"/>
      <c r="K76" s="108"/>
      <c r="S76" s="117"/>
      <c r="T76" s="257"/>
      <c r="U76" s="257"/>
      <c r="V76" s="257"/>
      <c r="W76" s="257"/>
      <c r="X76" s="126"/>
      <c r="Y76" s="125"/>
    </row>
    <row r="77" spans="1:25" x14ac:dyDescent="0.3">
      <c r="A77" s="274"/>
      <c r="B77" s="273"/>
      <c r="C77" s="273"/>
      <c r="D77" s="273"/>
      <c r="E77" s="273"/>
      <c r="F77" s="28"/>
      <c r="G77" s="5"/>
      <c r="H77" s="5"/>
      <c r="I77" s="5"/>
      <c r="J77" s="5"/>
      <c r="K77" s="108"/>
      <c r="S77" s="117"/>
      <c r="T77" s="257"/>
      <c r="U77" s="257"/>
      <c r="V77" s="257"/>
      <c r="W77" s="257"/>
      <c r="X77" s="126"/>
      <c r="Y77" s="125"/>
    </row>
    <row r="78" spans="1:25" ht="15" thickBot="1" x14ac:dyDescent="0.35">
      <c r="A78" s="274"/>
      <c r="B78" s="273"/>
      <c r="C78" s="58">
        <v>35958</v>
      </c>
      <c r="D78" s="79" t="s">
        <v>22</v>
      </c>
      <c r="E78" s="79" t="s">
        <v>125</v>
      </c>
      <c r="F78" s="79">
        <v>0</v>
      </c>
      <c r="G78" s="81">
        <v>0</v>
      </c>
      <c r="H78" s="8"/>
      <c r="I78" s="8"/>
      <c r="J78" s="5"/>
      <c r="K78" s="108"/>
      <c r="S78" s="117" t="s">
        <v>22</v>
      </c>
      <c r="T78" s="257" t="s">
        <v>125</v>
      </c>
      <c r="U78" s="257">
        <v>0</v>
      </c>
      <c r="V78" s="257">
        <v>0</v>
      </c>
      <c r="W78" s="257"/>
      <c r="X78" s="126">
        <f t="shared" ref="X78" si="12">(IF(U78&gt;V78,3,IF(U78=V78,1,2)))</f>
        <v>1</v>
      </c>
      <c r="Y78" s="125">
        <f t="shared" ref="Y78" si="13">(IF(V78&gt;U78,3,IF(U78=V78,1,2)))</f>
        <v>1</v>
      </c>
    </row>
    <row r="79" spans="1:25" x14ac:dyDescent="0.3">
      <c r="A79" s="274"/>
      <c r="B79" s="273"/>
      <c r="C79" s="40">
        <v>35959</v>
      </c>
      <c r="D79" s="49" t="s">
        <v>35</v>
      </c>
      <c r="E79" s="49" t="s">
        <v>307</v>
      </c>
      <c r="F79" s="49">
        <v>2</v>
      </c>
      <c r="G79" s="51">
        <v>3</v>
      </c>
      <c r="H79" s="5"/>
      <c r="I79" s="5"/>
      <c r="J79" s="5"/>
      <c r="K79" s="108"/>
      <c r="S79" s="117" t="s">
        <v>35</v>
      </c>
      <c r="T79" s="257" t="s">
        <v>307</v>
      </c>
      <c r="U79" s="257">
        <v>2</v>
      </c>
      <c r="V79" s="257">
        <v>3</v>
      </c>
      <c r="W79" s="257"/>
      <c r="X79" s="126">
        <f t="shared" ref="X79:X83" si="14">(IF(U79&gt;V79,3,IF(U79=V79,1,2)))</f>
        <v>2</v>
      </c>
      <c r="Y79" s="125">
        <f t="shared" ref="Y79:Y83" si="15">(IF(V79&gt;U79,3,IF(U79=V79,1,2)))</f>
        <v>3</v>
      </c>
    </row>
    <row r="80" spans="1:25" ht="15" thickBot="1" x14ac:dyDescent="0.35">
      <c r="A80" s="274"/>
      <c r="B80" s="273"/>
      <c r="C80" s="58"/>
      <c r="D80" s="79"/>
      <c r="E80" s="79"/>
      <c r="F80" s="79" t="s">
        <v>172</v>
      </c>
      <c r="G80" s="81" t="s">
        <v>183</v>
      </c>
      <c r="H80" s="8"/>
      <c r="I80" s="8"/>
      <c r="J80" s="5"/>
      <c r="K80" s="108"/>
      <c r="S80" s="117" t="s">
        <v>307</v>
      </c>
      <c r="T80" s="257" t="s">
        <v>125</v>
      </c>
      <c r="U80" s="257">
        <v>1</v>
      </c>
      <c r="V80" s="257">
        <v>0</v>
      </c>
      <c r="W80" s="257"/>
      <c r="X80" s="126">
        <f t="shared" si="14"/>
        <v>3</v>
      </c>
      <c r="Y80" s="125">
        <f t="shared" si="15"/>
        <v>2</v>
      </c>
    </row>
    <row r="81" spans="1:25" x14ac:dyDescent="0.3">
      <c r="A81" s="274"/>
      <c r="B81" s="273"/>
      <c r="C81" s="40">
        <v>35965</v>
      </c>
      <c r="D81" s="49" t="s">
        <v>307</v>
      </c>
      <c r="E81" s="49" t="s">
        <v>125</v>
      </c>
      <c r="F81" s="49">
        <v>1</v>
      </c>
      <c r="G81" s="51">
        <v>0</v>
      </c>
      <c r="H81" s="5"/>
      <c r="I81" s="5"/>
      <c r="J81" s="5"/>
      <c r="K81" s="108"/>
      <c r="S81" s="117" t="s">
        <v>35</v>
      </c>
      <c r="T81" s="257" t="s">
        <v>22</v>
      </c>
      <c r="U81" s="257">
        <v>0</v>
      </c>
      <c r="V81" s="257">
        <v>0</v>
      </c>
      <c r="W81" s="257"/>
      <c r="X81" s="126">
        <f t="shared" si="14"/>
        <v>1</v>
      </c>
      <c r="Y81" s="125">
        <f t="shared" si="15"/>
        <v>1</v>
      </c>
    </row>
    <row r="82" spans="1:25" ht="15" thickBot="1" x14ac:dyDescent="0.35">
      <c r="A82" s="274"/>
      <c r="B82" s="273"/>
      <c r="C82" s="58"/>
      <c r="D82" s="79"/>
      <c r="E82" s="79"/>
      <c r="F82" s="79" t="s">
        <v>172</v>
      </c>
      <c r="G82" s="81" t="s">
        <v>171</v>
      </c>
      <c r="H82" s="8"/>
      <c r="I82" s="8"/>
      <c r="J82" s="5"/>
      <c r="K82" s="108"/>
      <c r="S82" s="117" t="s">
        <v>35</v>
      </c>
      <c r="T82" s="257" t="s">
        <v>125</v>
      </c>
      <c r="U82" s="257">
        <v>6</v>
      </c>
      <c r="V82" s="257">
        <v>1</v>
      </c>
      <c r="W82" s="257"/>
      <c r="X82" s="126">
        <f t="shared" si="14"/>
        <v>3</v>
      </c>
      <c r="Y82" s="125">
        <f t="shared" si="15"/>
        <v>2</v>
      </c>
    </row>
    <row r="83" spans="1:25" ht="15" thickBot="1" x14ac:dyDescent="0.35">
      <c r="A83" s="274"/>
      <c r="B83" s="273"/>
      <c r="C83" s="88">
        <v>35965</v>
      </c>
      <c r="D83" s="89" t="s">
        <v>35</v>
      </c>
      <c r="E83" s="89" t="s">
        <v>22</v>
      </c>
      <c r="F83" s="89">
        <v>0</v>
      </c>
      <c r="G83" s="90">
        <v>0</v>
      </c>
      <c r="H83" s="91"/>
      <c r="I83" s="91"/>
      <c r="J83" s="5"/>
      <c r="K83" s="108"/>
      <c r="S83" s="117" t="s">
        <v>307</v>
      </c>
      <c r="T83" s="257" t="s">
        <v>22</v>
      </c>
      <c r="U83" s="257">
        <v>1</v>
      </c>
      <c r="V83" s="257">
        <v>3</v>
      </c>
      <c r="W83" s="257"/>
      <c r="X83" s="126">
        <f t="shared" si="14"/>
        <v>2</v>
      </c>
      <c r="Y83" s="125">
        <f t="shared" si="15"/>
        <v>3</v>
      </c>
    </row>
    <row r="84" spans="1:25" x14ac:dyDescent="0.3">
      <c r="A84" s="274"/>
      <c r="B84" s="273"/>
      <c r="C84" s="40">
        <v>35970</v>
      </c>
      <c r="D84" s="49" t="s">
        <v>35</v>
      </c>
      <c r="E84" s="49" t="s">
        <v>125</v>
      </c>
      <c r="F84" s="49">
        <v>6</v>
      </c>
      <c r="G84" s="51">
        <v>1</v>
      </c>
      <c r="H84" s="5"/>
      <c r="I84" s="5"/>
      <c r="J84" s="5"/>
      <c r="K84" s="108"/>
      <c r="S84" s="117"/>
      <c r="T84" s="257"/>
      <c r="U84" s="257"/>
      <c r="V84" s="257"/>
      <c r="W84" s="257"/>
      <c r="X84" s="126"/>
      <c r="Y84" s="125"/>
    </row>
    <row r="85" spans="1:25" ht="15" thickBot="1" x14ac:dyDescent="0.35">
      <c r="A85" s="274"/>
      <c r="B85" s="273"/>
      <c r="C85" s="58"/>
      <c r="D85" s="79"/>
      <c r="E85" s="79"/>
      <c r="F85" s="79" t="s">
        <v>215</v>
      </c>
      <c r="G85" s="81" t="s">
        <v>171</v>
      </c>
      <c r="H85" s="8"/>
      <c r="I85" s="8"/>
      <c r="J85" s="5"/>
      <c r="K85" s="108"/>
      <c r="S85" s="117"/>
      <c r="T85" s="257"/>
      <c r="U85" s="257"/>
      <c r="V85" s="257"/>
      <c r="W85" s="257"/>
      <c r="X85" s="126"/>
      <c r="Y85" s="125"/>
    </row>
    <row r="86" spans="1:25" x14ac:dyDescent="0.3">
      <c r="A86" s="274"/>
      <c r="B86" s="17"/>
      <c r="C86" s="40">
        <v>35970</v>
      </c>
      <c r="D86" s="43" t="s">
        <v>307</v>
      </c>
      <c r="E86" s="43" t="s">
        <v>22</v>
      </c>
      <c r="F86" s="49">
        <v>1</v>
      </c>
      <c r="G86" s="51">
        <v>3</v>
      </c>
      <c r="H86" s="5"/>
      <c r="I86" s="5"/>
      <c r="J86" s="5"/>
      <c r="K86" s="108"/>
      <c r="S86" s="117"/>
      <c r="T86" s="257"/>
      <c r="U86" s="257"/>
      <c r="V86" s="257"/>
      <c r="W86" s="257"/>
      <c r="X86" s="126"/>
      <c r="Y86" s="125"/>
    </row>
    <row r="87" spans="1:25" x14ac:dyDescent="0.3">
      <c r="A87" s="156"/>
      <c r="B87" s="17"/>
      <c r="C87" s="17"/>
      <c r="D87" s="43"/>
      <c r="E87" s="43"/>
      <c r="F87" s="49" t="s">
        <v>172</v>
      </c>
      <c r="G87" s="51" t="s">
        <v>183</v>
      </c>
      <c r="H87" s="5"/>
      <c r="I87" s="5"/>
      <c r="J87" s="5"/>
      <c r="K87" s="108"/>
      <c r="S87" s="117"/>
      <c r="T87" s="257"/>
      <c r="U87" s="257"/>
      <c r="V87" s="257"/>
      <c r="W87" s="257"/>
      <c r="X87" s="126"/>
      <c r="Y87" s="125"/>
    </row>
    <row r="88" spans="1:25" x14ac:dyDescent="0.3">
      <c r="A88" s="156"/>
      <c r="B88" s="17"/>
      <c r="C88" s="17"/>
      <c r="D88" s="17"/>
      <c r="E88" s="17"/>
      <c r="F88" s="273"/>
      <c r="G88" s="5"/>
      <c r="H88" s="5"/>
      <c r="I88" s="5"/>
      <c r="J88" s="5"/>
      <c r="K88" s="108"/>
      <c r="S88" s="117"/>
      <c r="T88" s="257"/>
      <c r="U88" s="257"/>
      <c r="V88" s="257"/>
      <c r="W88" s="257"/>
      <c r="X88" s="257"/>
      <c r="Y88" s="118"/>
    </row>
    <row r="89" spans="1:25" ht="15" thickBot="1" x14ac:dyDescent="0.35">
      <c r="A89" s="274"/>
      <c r="B89" s="273" t="s">
        <v>298</v>
      </c>
      <c r="C89" s="273" t="s">
        <v>12</v>
      </c>
      <c r="D89" s="273" t="s">
        <v>13</v>
      </c>
      <c r="E89" s="273" t="s">
        <v>14</v>
      </c>
      <c r="F89" s="273" t="s">
        <v>15</v>
      </c>
      <c r="G89" s="5" t="s">
        <v>24</v>
      </c>
      <c r="H89" s="5" t="s">
        <v>25</v>
      </c>
      <c r="I89" s="5" t="s">
        <v>301</v>
      </c>
      <c r="J89" s="5"/>
      <c r="K89" s="108"/>
      <c r="S89" s="117"/>
      <c r="T89" s="257"/>
      <c r="U89" s="257"/>
      <c r="V89" s="257"/>
      <c r="W89" s="257"/>
      <c r="X89" s="126"/>
      <c r="Y89" s="125"/>
    </row>
    <row r="90" spans="1:25" x14ac:dyDescent="0.3">
      <c r="A90" s="274"/>
      <c r="B90" s="14" t="s">
        <v>22</v>
      </c>
      <c r="C90" s="277">
        <v>3</v>
      </c>
      <c r="D90" s="277">
        <v>2</v>
      </c>
      <c r="E90" s="277">
        <v>0</v>
      </c>
      <c r="F90" s="277">
        <v>1</v>
      </c>
      <c r="G90" s="15">
        <v>6</v>
      </c>
      <c r="H90" s="15">
        <v>2</v>
      </c>
      <c r="I90" s="15">
        <v>6</v>
      </c>
      <c r="J90" s="86"/>
      <c r="K90" s="108"/>
      <c r="S90" s="117"/>
      <c r="T90" s="257"/>
      <c r="U90" s="257"/>
      <c r="V90" s="257"/>
      <c r="W90" s="257"/>
      <c r="X90" s="126"/>
      <c r="Y90" s="125"/>
    </row>
    <row r="91" spans="1:25" x14ac:dyDescent="0.3">
      <c r="A91" s="274"/>
      <c r="B91" s="21" t="s">
        <v>125</v>
      </c>
      <c r="C91" s="17"/>
      <c r="D91" s="17"/>
      <c r="E91" s="17"/>
      <c r="F91" s="17"/>
      <c r="G91" s="18"/>
      <c r="H91" s="18"/>
      <c r="I91" s="18"/>
      <c r="J91" s="86"/>
      <c r="K91" s="108"/>
      <c r="S91" s="117"/>
      <c r="T91" s="257"/>
      <c r="U91" s="257"/>
      <c r="V91" s="257"/>
      <c r="W91" s="257"/>
      <c r="X91" s="126"/>
      <c r="Y91" s="125"/>
    </row>
    <row r="92" spans="1:25" x14ac:dyDescent="0.3">
      <c r="A92" s="274"/>
      <c r="B92" s="3" t="s">
        <v>35</v>
      </c>
      <c r="C92" s="273"/>
      <c r="D92" s="273"/>
      <c r="E92" s="273"/>
      <c r="F92" s="273"/>
      <c r="G92" s="5"/>
      <c r="H92" s="5"/>
      <c r="I92" s="5"/>
      <c r="J92" s="87"/>
      <c r="K92" s="108"/>
      <c r="S92" s="117"/>
      <c r="T92" s="257"/>
      <c r="U92" s="257"/>
      <c r="V92" s="257"/>
      <c r="W92" s="257"/>
      <c r="X92" s="126"/>
      <c r="Y92" s="125"/>
    </row>
    <row r="93" spans="1:25" ht="15" thickBot="1" x14ac:dyDescent="0.35">
      <c r="A93" s="274"/>
      <c r="B93" s="7" t="s">
        <v>307</v>
      </c>
      <c r="C93" s="276"/>
      <c r="D93" s="276"/>
      <c r="E93" s="276"/>
      <c r="F93" s="276"/>
      <c r="G93" s="8"/>
      <c r="H93" s="8"/>
      <c r="I93" s="8"/>
      <c r="J93" s="87"/>
      <c r="K93" s="108"/>
      <c r="S93" s="117"/>
      <c r="T93" s="257"/>
      <c r="U93" s="257"/>
      <c r="V93" s="257"/>
      <c r="W93" s="257"/>
      <c r="X93" s="257"/>
      <c r="Y93" s="118"/>
    </row>
    <row r="94" spans="1:25" ht="15" thickBot="1" x14ac:dyDescent="0.35">
      <c r="A94" s="274"/>
      <c r="B94" s="273"/>
      <c r="C94" s="273"/>
      <c r="D94" s="273"/>
      <c r="E94" s="273"/>
      <c r="F94" s="273"/>
      <c r="G94" s="5"/>
      <c r="H94" s="5"/>
      <c r="I94" s="5"/>
      <c r="J94" s="5"/>
      <c r="K94" s="193"/>
      <c r="S94" s="117"/>
      <c r="T94" s="257"/>
      <c r="U94" s="257"/>
      <c r="V94" s="257"/>
      <c r="W94" s="257"/>
      <c r="X94" s="126"/>
      <c r="Y94" s="125"/>
    </row>
    <row r="95" spans="1:25" ht="15" thickTop="1" x14ac:dyDescent="0.3">
      <c r="A95" s="106"/>
      <c r="B95" s="25"/>
      <c r="C95" s="25"/>
      <c r="D95" s="25"/>
      <c r="E95" s="25"/>
      <c r="F95" s="25"/>
      <c r="G95" s="26"/>
      <c r="H95" s="26"/>
      <c r="I95" s="26"/>
      <c r="J95" s="26"/>
      <c r="K95" s="108"/>
      <c r="S95" s="117"/>
      <c r="T95" s="257"/>
      <c r="U95" s="257"/>
      <c r="V95" s="257"/>
      <c r="W95" s="257"/>
      <c r="X95" s="126"/>
      <c r="Y95" s="125"/>
    </row>
    <row r="96" spans="1:25" ht="21" x14ac:dyDescent="0.4">
      <c r="A96" s="274"/>
      <c r="B96" s="273"/>
      <c r="C96" s="273"/>
      <c r="D96" s="273"/>
      <c r="E96" s="273"/>
      <c r="F96" s="272" t="s">
        <v>246</v>
      </c>
      <c r="G96" s="5"/>
      <c r="H96" s="5"/>
      <c r="I96" s="5"/>
      <c r="J96" s="5"/>
      <c r="K96" s="108"/>
      <c r="S96" s="117"/>
      <c r="T96" s="257"/>
      <c r="U96" s="257"/>
      <c r="V96" s="257"/>
      <c r="W96" s="257"/>
      <c r="X96" s="126"/>
      <c r="Y96" s="125"/>
    </row>
    <row r="97" spans="1:25" x14ac:dyDescent="0.3">
      <c r="A97" s="274"/>
      <c r="B97" s="273"/>
      <c r="C97" s="273"/>
      <c r="D97" s="273"/>
      <c r="E97" s="273"/>
      <c r="F97" s="28"/>
      <c r="G97" s="5"/>
      <c r="H97" s="5"/>
      <c r="I97" s="5"/>
      <c r="J97" s="5"/>
      <c r="K97" s="108"/>
      <c r="S97" s="117"/>
      <c r="T97" s="257"/>
      <c r="U97" s="257"/>
      <c r="V97" s="257"/>
      <c r="W97" s="257"/>
      <c r="X97" s="126"/>
      <c r="Y97" s="125"/>
    </row>
    <row r="98" spans="1:25" x14ac:dyDescent="0.3">
      <c r="A98" s="274"/>
      <c r="B98" s="273"/>
      <c r="C98" s="40">
        <v>35959</v>
      </c>
      <c r="D98" s="49" t="s">
        <v>90</v>
      </c>
      <c r="E98" s="49" t="s">
        <v>4</v>
      </c>
      <c r="F98" s="49">
        <v>1</v>
      </c>
      <c r="G98" s="51">
        <v>3</v>
      </c>
      <c r="H98" s="5"/>
      <c r="I98" s="5"/>
      <c r="J98" s="5"/>
      <c r="K98" s="108"/>
      <c r="S98" s="117" t="s">
        <v>90</v>
      </c>
      <c r="T98" s="257" t="s">
        <v>4</v>
      </c>
      <c r="U98" s="257">
        <v>1</v>
      </c>
      <c r="V98" s="257">
        <v>3</v>
      </c>
      <c r="W98" s="257"/>
      <c r="X98" s="126">
        <f t="shared" ref="X98:X99" si="16">(IF(U98&gt;V98,3,IF(U98=V98,1,2)))</f>
        <v>2</v>
      </c>
      <c r="Y98" s="125">
        <f t="shared" ref="Y98:Y99" si="17">(IF(V98&gt;U98,3,IF(U98=V98,1,2)))</f>
        <v>3</v>
      </c>
    </row>
    <row r="99" spans="1:25" ht="15" thickBot="1" x14ac:dyDescent="0.35">
      <c r="A99" s="274"/>
      <c r="B99" s="273"/>
      <c r="C99" s="58"/>
      <c r="D99" s="79"/>
      <c r="E99" s="79"/>
      <c r="F99" s="79" t="s">
        <v>172</v>
      </c>
      <c r="G99" s="81" t="s">
        <v>171</v>
      </c>
      <c r="H99" s="8"/>
      <c r="I99" s="8"/>
      <c r="J99" s="5"/>
      <c r="K99" s="108"/>
      <c r="S99" s="117" t="s">
        <v>63</v>
      </c>
      <c r="T99" s="257" t="s">
        <v>21</v>
      </c>
      <c r="U99" s="257">
        <v>0</v>
      </c>
      <c r="V99" s="257">
        <v>0</v>
      </c>
      <c r="W99" s="257"/>
      <c r="X99" s="126">
        <f t="shared" si="16"/>
        <v>1</v>
      </c>
      <c r="Y99" s="125">
        <f t="shared" si="17"/>
        <v>1</v>
      </c>
    </row>
    <row r="100" spans="1:25" ht="15" thickBot="1" x14ac:dyDescent="0.35">
      <c r="A100" s="274"/>
      <c r="B100" s="273"/>
      <c r="C100" s="88">
        <v>35959</v>
      </c>
      <c r="D100" s="89" t="s">
        <v>63</v>
      </c>
      <c r="E100" s="89" t="s">
        <v>21</v>
      </c>
      <c r="F100" s="89">
        <v>0</v>
      </c>
      <c r="G100" s="90">
        <v>0</v>
      </c>
      <c r="H100" s="91"/>
      <c r="I100" s="91"/>
      <c r="J100" s="5"/>
      <c r="K100" s="108"/>
      <c r="S100" s="117" t="s">
        <v>21</v>
      </c>
      <c r="T100" s="257" t="s">
        <v>4</v>
      </c>
      <c r="U100" s="257">
        <v>2</v>
      </c>
      <c r="V100" s="257">
        <v>2</v>
      </c>
      <c r="W100" s="257"/>
      <c r="X100" s="126">
        <f t="shared" ref="X100:X103" si="18">(IF(U100&gt;V100,3,IF(U100=V100,1,2)))</f>
        <v>1</v>
      </c>
      <c r="Y100" s="125">
        <f t="shared" ref="Y100:Y103" si="19">(IF(V100&gt;U100,3,IF(U100=V100,1,2)))</f>
        <v>1</v>
      </c>
    </row>
    <row r="101" spans="1:25" x14ac:dyDescent="0.3">
      <c r="A101" s="274"/>
      <c r="B101" s="273"/>
      <c r="C101" s="40">
        <v>35966</v>
      </c>
      <c r="D101" s="49" t="s">
        <v>21</v>
      </c>
      <c r="E101" s="49" t="s">
        <v>4</v>
      </c>
      <c r="F101" s="49">
        <v>2</v>
      </c>
      <c r="G101" s="51">
        <v>2</v>
      </c>
      <c r="H101" s="5"/>
      <c r="I101" s="5"/>
      <c r="J101" s="5"/>
      <c r="K101" s="108"/>
      <c r="S101" s="117" t="s">
        <v>63</v>
      </c>
      <c r="T101" s="257" t="s">
        <v>90</v>
      </c>
      <c r="U101" s="257">
        <v>5</v>
      </c>
      <c r="V101" s="257">
        <v>0</v>
      </c>
      <c r="W101" s="257"/>
      <c r="X101" s="126">
        <f t="shared" si="18"/>
        <v>3</v>
      </c>
      <c r="Y101" s="125">
        <f t="shared" si="19"/>
        <v>2</v>
      </c>
    </row>
    <row r="102" spans="1:25" s="13" customFormat="1" ht="15" thickBot="1" x14ac:dyDescent="0.35">
      <c r="A102" s="274"/>
      <c r="B102" s="273"/>
      <c r="C102" s="58"/>
      <c r="D102" s="79"/>
      <c r="E102" s="79"/>
      <c r="F102" s="79" t="s">
        <v>172</v>
      </c>
      <c r="G102" s="81" t="s">
        <v>171</v>
      </c>
      <c r="H102" s="8"/>
      <c r="I102" s="8"/>
      <c r="J102" s="5"/>
      <c r="K102" s="108"/>
      <c r="S102" s="117" t="s">
        <v>21</v>
      </c>
      <c r="T102" s="257" t="s">
        <v>90</v>
      </c>
      <c r="U102" s="257">
        <v>1</v>
      </c>
      <c r="V102" s="257">
        <v>1</v>
      </c>
      <c r="W102" s="257"/>
      <c r="X102" s="126">
        <f t="shared" si="18"/>
        <v>1</v>
      </c>
      <c r="Y102" s="125">
        <f t="shared" si="19"/>
        <v>1</v>
      </c>
    </row>
    <row r="103" spans="1:25" s="13" customFormat="1" x14ac:dyDescent="0.3">
      <c r="A103" s="274"/>
      <c r="B103" s="273"/>
      <c r="C103" s="40">
        <v>35966</v>
      </c>
      <c r="D103" s="49" t="s">
        <v>63</v>
      </c>
      <c r="E103" s="49" t="s">
        <v>90</v>
      </c>
      <c r="F103" s="49">
        <v>5</v>
      </c>
      <c r="G103" s="51">
        <v>0</v>
      </c>
      <c r="H103" s="5"/>
      <c r="I103" s="5"/>
      <c r="J103" s="5"/>
      <c r="K103" s="108"/>
      <c r="S103" s="117" t="s">
        <v>63</v>
      </c>
      <c r="T103" s="257" t="s">
        <v>4</v>
      </c>
      <c r="U103" s="257">
        <v>2</v>
      </c>
      <c r="V103" s="257">
        <v>2</v>
      </c>
      <c r="W103" s="257"/>
      <c r="X103" s="126">
        <f t="shared" si="18"/>
        <v>1</v>
      </c>
      <c r="Y103" s="125">
        <f t="shared" si="19"/>
        <v>1</v>
      </c>
    </row>
    <row r="104" spans="1:25" s="13" customFormat="1" ht="15" thickBot="1" x14ac:dyDescent="0.35">
      <c r="A104" s="274"/>
      <c r="B104" s="273"/>
      <c r="C104" s="58"/>
      <c r="D104" s="79"/>
      <c r="E104" s="79"/>
      <c r="F104" s="79" t="s">
        <v>215</v>
      </c>
      <c r="G104" s="81" t="s">
        <v>171</v>
      </c>
      <c r="H104" s="8"/>
      <c r="I104" s="8"/>
      <c r="J104" s="5"/>
      <c r="K104" s="108"/>
      <c r="S104" s="117"/>
      <c r="T104" s="257"/>
      <c r="U104" s="257"/>
      <c r="V104" s="257"/>
      <c r="W104" s="257"/>
      <c r="X104" s="126"/>
      <c r="Y104" s="125"/>
    </row>
    <row r="105" spans="1:25" x14ac:dyDescent="0.3">
      <c r="A105" s="274"/>
      <c r="B105" s="273"/>
      <c r="C105" s="269">
        <v>35971</v>
      </c>
      <c r="D105" s="270" t="s">
        <v>21</v>
      </c>
      <c r="E105" s="270" t="s">
        <v>90</v>
      </c>
      <c r="F105" s="270">
        <v>1</v>
      </c>
      <c r="G105" s="271">
        <v>1</v>
      </c>
      <c r="H105" s="20"/>
      <c r="I105" s="20"/>
      <c r="J105" s="5"/>
      <c r="K105" s="108"/>
      <c r="S105" s="117"/>
      <c r="T105" s="257"/>
      <c r="U105" s="257"/>
      <c r="V105" s="257"/>
      <c r="W105" s="257"/>
      <c r="X105" s="126"/>
      <c r="Y105" s="125"/>
    </row>
    <row r="106" spans="1:25" ht="15" thickBot="1" x14ac:dyDescent="0.35">
      <c r="A106" s="274"/>
      <c r="B106" s="273"/>
      <c r="C106" s="58"/>
      <c r="D106" s="79"/>
      <c r="E106" s="79"/>
      <c r="F106" s="79" t="s">
        <v>172</v>
      </c>
      <c r="G106" s="81" t="s">
        <v>171</v>
      </c>
      <c r="H106" s="8"/>
      <c r="I106" s="8"/>
      <c r="J106" s="5"/>
      <c r="K106" s="108"/>
      <c r="S106" s="117"/>
      <c r="T106" s="265"/>
      <c r="U106" s="265"/>
      <c r="V106" s="265"/>
      <c r="W106" s="265"/>
      <c r="X106" s="126"/>
      <c r="Y106" s="125"/>
    </row>
    <row r="107" spans="1:25" x14ac:dyDescent="0.3">
      <c r="A107" s="274"/>
      <c r="B107" s="17"/>
      <c r="C107" s="40">
        <v>35971</v>
      </c>
      <c r="D107" s="43" t="s">
        <v>63</v>
      </c>
      <c r="E107" s="43" t="s">
        <v>4</v>
      </c>
      <c r="F107" s="49">
        <v>2</v>
      </c>
      <c r="G107" s="51">
        <v>2</v>
      </c>
      <c r="H107" s="5"/>
      <c r="I107" s="5"/>
      <c r="J107" s="5"/>
      <c r="K107" s="108"/>
      <c r="S107" s="117"/>
      <c r="T107" s="257"/>
      <c r="U107" s="257"/>
      <c r="V107" s="257"/>
      <c r="W107" s="257"/>
      <c r="X107" s="126"/>
      <c r="Y107" s="125"/>
    </row>
    <row r="108" spans="1:25" x14ac:dyDescent="0.3">
      <c r="A108" s="156"/>
      <c r="B108" s="17"/>
      <c r="C108" s="17"/>
      <c r="D108" s="43"/>
      <c r="E108" s="43"/>
      <c r="F108" s="49" t="s">
        <v>215</v>
      </c>
      <c r="G108" s="51" t="s">
        <v>171</v>
      </c>
      <c r="H108" s="5"/>
      <c r="I108" s="5"/>
      <c r="J108" s="5"/>
      <c r="K108" s="108"/>
      <c r="S108" s="117"/>
      <c r="T108" s="257"/>
      <c r="U108" s="257"/>
      <c r="V108" s="257"/>
      <c r="W108" s="257"/>
      <c r="X108" s="126"/>
      <c r="Y108" s="125"/>
    </row>
    <row r="109" spans="1:25" x14ac:dyDescent="0.3">
      <c r="A109" s="156"/>
      <c r="B109" s="17"/>
      <c r="C109" s="17"/>
      <c r="D109" s="17"/>
      <c r="E109" s="17"/>
      <c r="F109" s="273"/>
      <c r="G109" s="5"/>
      <c r="H109" s="5"/>
      <c r="I109" s="5"/>
      <c r="J109" s="5"/>
      <c r="K109" s="108"/>
      <c r="S109" s="117"/>
      <c r="T109" s="257"/>
      <c r="U109" s="257"/>
      <c r="V109" s="257"/>
      <c r="W109" s="257"/>
      <c r="X109" s="126"/>
      <c r="Y109" s="125"/>
    </row>
    <row r="110" spans="1:25" ht="15" thickBot="1" x14ac:dyDescent="0.35">
      <c r="A110" s="274"/>
      <c r="B110" s="273" t="s">
        <v>298</v>
      </c>
      <c r="C110" s="273" t="s">
        <v>12</v>
      </c>
      <c r="D110" s="273" t="s">
        <v>13</v>
      </c>
      <c r="E110" s="273" t="s">
        <v>14</v>
      </c>
      <c r="F110" s="273" t="s">
        <v>15</v>
      </c>
      <c r="G110" s="5" t="s">
        <v>24</v>
      </c>
      <c r="H110" s="5" t="s">
        <v>25</v>
      </c>
      <c r="I110" s="5" t="s">
        <v>301</v>
      </c>
      <c r="J110" s="5"/>
      <c r="K110" s="108"/>
      <c r="S110" s="117"/>
      <c r="T110" s="257"/>
      <c r="U110" s="257"/>
      <c r="V110" s="257"/>
      <c r="W110" s="257"/>
      <c r="X110" s="126"/>
      <c r="Y110" s="125"/>
    </row>
    <row r="111" spans="1:25" x14ac:dyDescent="0.3">
      <c r="A111" s="274"/>
      <c r="B111" s="14" t="s">
        <v>90</v>
      </c>
      <c r="C111" s="277">
        <v>3</v>
      </c>
      <c r="D111" s="277">
        <v>1</v>
      </c>
      <c r="E111" s="277">
        <v>1</v>
      </c>
      <c r="F111" s="277">
        <v>1</v>
      </c>
      <c r="G111" s="15">
        <v>3</v>
      </c>
      <c r="H111" s="15">
        <v>3</v>
      </c>
      <c r="I111" s="15">
        <v>4</v>
      </c>
      <c r="J111" s="86"/>
      <c r="K111" s="108"/>
      <c r="S111" s="117"/>
      <c r="T111" s="257"/>
      <c r="U111" s="257"/>
      <c r="V111" s="257"/>
      <c r="W111" s="257"/>
      <c r="X111" s="126"/>
      <c r="Y111" s="125"/>
    </row>
    <row r="112" spans="1:25" x14ac:dyDescent="0.3">
      <c r="A112" s="274"/>
      <c r="B112" s="21" t="s">
        <v>4</v>
      </c>
      <c r="C112" s="17"/>
      <c r="D112" s="17"/>
      <c r="E112" s="17"/>
      <c r="F112" s="17"/>
      <c r="G112" s="18"/>
      <c r="H112" s="18"/>
      <c r="I112" s="18"/>
      <c r="J112" s="86"/>
      <c r="K112" s="108"/>
      <c r="S112" s="117"/>
      <c r="T112" s="257"/>
      <c r="U112" s="257"/>
      <c r="V112" s="257"/>
      <c r="W112" s="257"/>
      <c r="X112" s="257"/>
      <c r="Y112" s="118"/>
    </row>
    <row r="113" spans="1:25" x14ac:dyDescent="0.3">
      <c r="A113" s="274"/>
      <c r="B113" s="3" t="s">
        <v>63</v>
      </c>
      <c r="C113" s="273"/>
      <c r="D113" s="273"/>
      <c r="E113" s="273"/>
      <c r="F113" s="273"/>
      <c r="G113" s="5"/>
      <c r="H113" s="5"/>
      <c r="I113" s="5"/>
      <c r="J113" s="87"/>
      <c r="K113" s="108"/>
      <c r="S113" s="117"/>
      <c r="T113" s="257"/>
      <c r="U113" s="257"/>
      <c r="V113" s="257"/>
      <c r="W113" s="257"/>
      <c r="X113" s="257"/>
      <c r="Y113" s="118"/>
    </row>
    <row r="114" spans="1:25" s="13" customFormat="1" ht="15" thickBot="1" x14ac:dyDescent="0.35">
      <c r="A114" s="274"/>
      <c r="B114" s="7" t="s">
        <v>21</v>
      </c>
      <c r="C114" s="276"/>
      <c r="D114" s="276"/>
      <c r="E114" s="276"/>
      <c r="F114" s="276"/>
      <c r="G114" s="8"/>
      <c r="H114" s="8"/>
      <c r="I114" s="8"/>
      <c r="J114" s="87"/>
      <c r="K114" s="108"/>
      <c r="S114" s="117"/>
      <c r="T114" s="257"/>
      <c r="U114" s="257"/>
      <c r="V114" s="257"/>
      <c r="W114" s="257"/>
      <c r="X114" s="126"/>
      <c r="Y114" s="125"/>
    </row>
    <row r="115" spans="1:25" ht="15" thickBot="1" x14ac:dyDescent="0.35">
      <c r="A115" s="110"/>
      <c r="B115" s="36"/>
      <c r="C115" s="36"/>
      <c r="D115" s="36"/>
      <c r="E115" s="36"/>
      <c r="F115" s="36"/>
      <c r="G115" s="37"/>
      <c r="H115" s="37"/>
      <c r="I115" s="37"/>
      <c r="J115" s="37"/>
      <c r="K115" s="193"/>
      <c r="S115" s="117"/>
      <c r="T115" s="257"/>
      <c r="U115" s="257"/>
      <c r="V115" s="257"/>
      <c r="W115" s="257"/>
      <c r="X115" s="126"/>
      <c r="Y115" s="125"/>
    </row>
    <row r="116" spans="1:25" ht="15" thickTop="1" x14ac:dyDescent="0.3">
      <c r="A116" s="106"/>
      <c r="B116" s="25"/>
      <c r="C116" s="25"/>
      <c r="D116" s="25"/>
      <c r="E116" s="25"/>
      <c r="F116" s="25"/>
      <c r="G116" s="26"/>
      <c r="H116" s="26"/>
      <c r="I116" s="26"/>
      <c r="J116" s="26"/>
      <c r="K116" s="108"/>
      <c r="S116" s="117"/>
      <c r="T116" s="257"/>
      <c r="U116" s="257"/>
      <c r="V116" s="257"/>
      <c r="W116" s="257"/>
      <c r="X116" s="126"/>
      <c r="Y116" s="125"/>
    </row>
    <row r="117" spans="1:25" ht="21" x14ac:dyDescent="0.4">
      <c r="A117" s="274"/>
      <c r="B117" s="273"/>
      <c r="C117" s="273"/>
      <c r="D117" s="273"/>
      <c r="E117" s="273"/>
      <c r="F117" s="272" t="s">
        <v>247</v>
      </c>
      <c r="G117" s="5"/>
      <c r="H117" s="5"/>
      <c r="I117" s="5"/>
      <c r="J117" s="5"/>
      <c r="K117" s="108"/>
      <c r="S117" s="117"/>
      <c r="T117" s="257"/>
      <c r="U117" s="257"/>
      <c r="V117" s="257"/>
      <c r="W117" s="257"/>
      <c r="X117" s="126"/>
      <c r="Y117" s="125"/>
    </row>
    <row r="118" spans="1:25" x14ac:dyDescent="0.3">
      <c r="A118" s="274"/>
      <c r="B118" s="273"/>
      <c r="C118" s="273"/>
      <c r="D118" s="273"/>
      <c r="E118" s="273"/>
      <c r="F118" s="28"/>
      <c r="G118" s="5"/>
      <c r="H118" s="5"/>
      <c r="I118" s="5"/>
      <c r="J118" s="5"/>
      <c r="K118" s="108"/>
      <c r="S118" s="117"/>
      <c r="T118" s="257"/>
      <c r="U118" s="257"/>
      <c r="V118" s="257"/>
      <c r="W118" s="257"/>
      <c r="X118" s="126"/>
      <c r="Y118" s="125"/>
    </row>
    <row r="119" spans="1:25" x14ac:dyDescent="0.3">
      <c r="A119" s="274"/>
      <c r="B119" s="273"/>
      <c r="C119" s="40">
        <v>35960</v>
      </c>
      <c r="D119" s="49" t="s">
        <v>8</v>
      </c>
      <c r="E119" s="49" t="s">
        <v>177</v>
      </c>
      <c r="F119" s="49">
        <v>1</v>
      </c>
      <c r="G119" s="51">
        <v>0</v>
      </c>
      <c r="H119" s="5"/>
      <c r="I119" s="5"/>
      <c r="J119" s="5"/>
      <c r="K119" s="108"/>
      <c r="S119" s="117" t="s">
        <v>8</v>
      </c>
      <c r="T119" s="257" t="s">
        <v>177</v>
      </c>
      <c r="U119" s="257">
        <v>1</v>
      </c>
      <c r="V119" s="257">
        <v>0</v>
      </c>
      <c r="W119" s="257"/>
      <c r="X119" s="126">
        <f t="shared" ref="X119:X120" si="20">(IF(U119&gt;V119,3,IF(U119=V119,1,2)))</f>
        <v>3</v>
      </c>
      <c r="Y119" s="125">
        <f t="shared" ref="Y119:Y120" si="21">(IF(V119&gt;U119,3,IF(U119=V119,1,2)))</f>
        <v>2</v>
      </c>
    </row>
    <row r="120" spans="1:25" ht="15" thickBot="1" x14ac:dyDescent="0.35">
      <c r="A120" s="274"/>
      <c r="B120" s="273"/>
      <c r="C120" s="58"/>
      <c r="D120" s="79"/>
      <c r="E120" s="79"/>
      <c r="F120" s="79" t="s">
        <v>170</v>
      </c>
      <c r="G120" s="81" t="s">
        <v>171</v>
      </c>
      <c r="H120" s="8"/>
      <c r="I120" s="8"/>
      <c r="J120" s="5"/>
      <c r="K120" s="108"/>
      <c r="S120" s="117" t="s">
        <v>88</v>
      </c>
      <c r="T120" s="257" t="s">
        <v>20</v>
      </c>
      <c r="U120" s="257">
        <v>2</v>
      </c>
      <c r="V120" s="257">
        <v>0</v>
      </c>
      <c r="W120" s="257"/>
      <c r="X120" s="126">
        <f t="shared" si="20"/>
        <v>3</v>
      </c>
      <c r="Y120" s="125">
        <f t="shared" si="21"/>
        <v>2</v>
      </c>
    </row>
    <row r="121" spans="1:25" x14ac:dyDescent="0.3">
      <c r="A121" s="274"/>
      <c r="B121" s="273"/>
      <c r="C121" s="40">
        <v>35961</v>
      </c>
      <c r="D121" s="49" t="s">
        <v>88</v>
      </c>
      <c r="E121" s="49" t="s">
        <v>20</v>
      </c>
      <c r="F121" s="49">
        <v>2</v>
      </c>
      <c r="G121" s="51">
        <v>0</v>
      </c>
      <c r="H121" s="5"/>
      <c r="I121" s="5"/>
      <c r="J121" s="5"/>
      <c r="K121" s="108"/>
      <c r="S121" s="117" t="s">
        <v>88</v>
      </c>
      <c r="T121" s="257" t="s">
        <v>8</v>
      </c>
      <c r="U121" s="257">
        <v>2</v>
      </c>
      <c r="V121" s="257">
        <v>2</v>
      </c>
      <c r="W121" s="257"/>
      <c r="X121" s="126">
        <f t="shared" ref="X121:X124" si="22">(IF(U121&gt;V121,3,IF(U121=V121,1,2)))</f>
        <v>1</v>
      </c>
      <c r="Y121" s="125">
        <f t="shared" ref="Y121:Y124" si="23">(IF(V121&gt;U121,3,IF(U121=V121,1,2)))</f>
        <v>1</v>
      </c>
    </row>
    <row r="122" spans="1:25" ht="15" thickBot="1" x14ac:dyDescent="0.35">
      <c r="A122" s="274"/>
      <c r="B122" s="273"/>
      <c r="C122" s="58"/>
      <c r="D122" s="79"/>
      <c r="E122" s="79"/>
      <c r="F122" s="79" t="s">
        <v>172</v>
      </c>
      <c r="G122" s="81" t="s">
        <v>171</v>
      </c>
      <c r="H122" s="8"/>
      <c r="I122" s="8"/>
      <c r="J122" s="5"/>
      <c r="K122" s="108"/>
      <c r="S122" s="117" t="s">
        <v>20</v>
      </c>
      <c r="T122" s="257" t="s">
        <v>177</v>
      </c>
      <c r="U122" s="257">
        <v>1</v>
      </c>
      <c r="V122" s="257">
        <v>2</v>
      </c>
      <c r="W122" s="257"/>
      <c r="X122" s="126">
        <f t="shared" si="22"/>
        <v>2</v>
      </c>
      <c r="Y122" s="125">
        <f t="shared" si="23"/>
        <v>3</v>
      </c>
    </row>
    <row r="123" spans="1:25" s="13" customFormat="1" x14ac:dyDescent="0.3">
      <c r="A123" s="274"/>
      <c r="B123" s="273"/>
      <c r="C123" s="40">
        <v>35967</v>
      </c>
      <c r="D123" s="49" t="s">
        <v>88</v>
      </c>
      <c r="E123" s="49" t="s">
        <v>8</v>
      </c>
      <c r="F123" s="49">
        <v>2</v>
      </c>
      <c r="G123" s="51">
        <v>2</v>
      </c>
      <c r="H123" s="5"/>
      <c r="I123" s="5"/>
      <c r="J123" s="5"/>
      <c r="K123" s="108"/>
      <c r="S123" s="117" t="s">
        <v>88</v>
      </c>
      <c r="T123" s="257" t="s">
        <v>177</v>
      </c>
      <c r="U123" s="257">
        <v>2</v>
      </c>
      <c r="V123" s="257">
        <v>0</v>
      </c>
      <c r="W123" s="257"/>
      <c r="X123" s="126">
        <f t="shared" si="22"/>
        <v>3</v>
      </c>
      <c r="Y123" s="125">
        <f t="shared" si="23"/>
        <v>2</v>
      </c>
    </row>
    <row r="124" spans="1:25" s="13" customFormat="1" ht="15" thickBot="1" x14ac:dyDescent="0.35">
      <c r="A124" s="274"/>
      <c r="B124" s="273"/>
      <c r="C124" s="58"/>
      <c r="D124" s="79"/>
      <c r="E124" s="79"/>
      <c r="F124" s="79" t="s">
        <v>170</v>
      </c>
      <c r="G124" s="81" t="s">
        <v>183</v>
      </c>
      <c r="H124" s="8"/>
      <c r="I124" s="8"/>
      <c r="J124" s="5"/>
      <c r="K124" s="108"/>
      <c r="S124" s="117" t="s">
        <v>20</v>
      </c>
      <c r="T124" s="257" t="s">
        <v>8</v>
      </c>
      <c r="U124" s="257">
        <v>0</v>
      </c>
      <c r="V124" s="257">
        <v>1</v>
      </c>
      <c r="W124" s="257"/>
      <c r="X124" s="126">
        <f t="shared" si="22"/>
        <v>2</v>
      </c>
      <c r="Y124" s="125">
        <f t="shared" si="23"/>
        <v>3</v>
      </c>
    </row>
    <row r="125" spans="1:25" s="13" customFormat="1" x14ac:dyDescent="0.3">
      <c r="A125" s="274"/>
      <c r="B125" s="273"/>
      <c r="C125" s="40">
        <v>35967</v>
      </c>
      <c r="D125" s="49" t="s">
        <v>20</v>
      </c>
      <c r="E125" s="49" t="s">
        <v>177</v>
      </c>
      <c r="F125" s="49">
        <v>1</v>
      </c>
      <c r="G125" s="51">
        <v>2</v>
      </c>
      <c r="H125" s="5"/>
      <c r="I125" s="5"/>
      <c r="J125" s="5"/>
      <c r="K125" s="108"/>
      <c r="S125" s="117"/>
      <c r="T125" s="257"/>
      <c r="U125" s="257"/>
      <c r="V125" s="257"/>
      <c r="W125" s="257"/>
      <c r="X125" s="126"/>
      <c r="Y125" s="125"/>
    </row>
    <row r="126" spans="1:25" ht="15" thickBot="1" x14ac:dyDescent="0.35">
      <c r="A126" s="274"/>
      <c r="B126" s="273"/>
      <c r="C126" s="58"/>
      <c r="D126" s="79"/>
      <c r="E126" s="79"/>
      <c r="F126" s="79" t="s">
        <v>170</v>
      </c>
      <c r="G126" s="81" t="s">
        <v>183</v>
      </c>
      <c r="H126" s="8"/>
      <c r="I126" s="8"/>
      <c r="J126" s="5"/>
      <c r="K126" s="108"/>
      <c r="S126" s="117"/>
      <c r="T126" s="257"/>
      <c r="U126" s="257"/>
      <c r="V126" s="257"/>
      <c r="W126" s="257"/>
      <c r="X126" s="126"/>
      <c r="Y126" s="125"/>
    </row>
    <row r="127" spans="1:25" x14ac:dyDescent="0.3">
      <c r="A127" s="274"/>
      <c r="B127" s="273"/>
      <c r="C127" s="40">
        <v>35971</v>
      </c>
      <c r="D127" s="49" t="s">
        <v>88</v>
      </c>
      <c r="E127" s="49" t="s">
        <v>177</v>
      </c>
      <c r="F127" s="49">
        <v>2</v>
      </c>
      <c r="G127" s="51">
        <v>0</v>
      </c>
      <c r="H127" s="5"/>
      <c r="I127" s="5"/>
      <c r="J127" s="5"/>
      <c r="K127" s="108"/>
      <c r="S127" s="117"/>
      <c r="T127" s="257"/>
      <c r="U127" s="257"/>
      <c r="V127" s="257"/>
      <c r="W127" s="257"/>
      <c r="X127" s="126"/>
      <c r="Y127" s="125"/>
    </row>
    <row r="128" spans="1:25" ht="15" thickBot="1" x14ac:dyDescent="0.35">
      <c r="A128" s="274"/>
      <c r="B128" s="273"/>
      <c r="C128" s="58"/>
      <c r="D128" s="79"/>
      <c r="E128" s="79"/>
      <c r="F128" s="79" t="s">
        <v>170</v>
      </c>
      <c r="G128" s="81" t="s">
        <v>171</v>
      </c>
      <c r="H128" s="8"/>
      <c r="I128" s="8"/>
      <c r="J128" s="5"/>
      <c r="K128" s="108"/>
      <c r="S128" s="117"/>
      <c r="T128" s="257"/>
      <c r="U128" s="257"/>
      <c r="V128" s="257"/>
      <c r="W128" s="257"/>
      <c r="X128" s="126"/>
      <c r="Y128" s="125"/>
    </row>
    <row r="129" spans="1:25" x14ac:dyDescent="0.3">
      <c r="A129" s="274"/>
      <c r="B129" s="17"/>
      <c r="C129" s="40">
        <v>35971</v>
      </c>
      <c r="D129" s="43" t="s">
        <v>20</v>
      </c>
      <c r="E129" s="43" t="s">
        <v>8</v>
      </c>
      <c r="F129" s="49">
        <v>0</v>
      </c>
      <c r="G129" s="51">
        <v>1</v>
      </c>
      <c r="H129" s="5"/>
      <c r="I129" s="5"/>
      <c r="J129" s="5"/>
      <c r="K129" s="108"/>
      <c r="S129" s="117"/>
      <c r="T129" s="257"/>
      <c r="U129" s="257"/>
      <c r="V129" s="257"/>
      <c r="W129" s="257"/>
      <c r="X129" s="126"/>
      <c r="Y129" s="125"/>
    </row>
    <row r="130" spans="1:25" x14ac:dyDescent="0.3">
      <c r="A130" s="156"/>
      <c r="B130" s="17"/>
      <c r="C130" s="17"/>
      <c r="D130" s="43"/>
      <c r="E130" s="43"/>
      <c r="F130" s="49" t="s">
        <v>170</v>
      </c>
      <c r="G130" s="51" t="s">
        <v>183</v>
      </c>
      <c r="H130" s="5"/>
      <c r="I130" s="5"/>
      <c r="J130" s="5"/>
      <c r="K130" s="108"/>
      <c r="S130" s="117"/>
      <c r="T130" s="257"/>
      <c r="U130" s="257"/>
      <c r="V130" s="257"/>
      <c r="W130" s="257"/>
      <c r="X130" s="126"/>
      <c r="Y130" s="125"/>
    </row>
    <row r="131" spans="1:25" x14ac:dyDescent="0.3">
      <c r="A131" s="156"/>
      <c r="B131" s="17"/>
      <c r="C131" s="17"/>
      <c r="D131" s="17"/>
      <c r="E131" s="17"/>
      <c r="F131" s="273"/>
      <c r="G131" s="5"/>
      <c r="H131" s="5"/>
      <c r="I131" s="5"/>
      <c r="J131" s="5"/>
      <c r="K131" s="108"/>
      <c r="S131" s="117"/>
      <c r="T131" s="257"/>
      <c r="U131" s="257"/>
      <c r="V131" s="257"/>
      <c r="W131" s="257"/>
      <c r="X131" s="126"/>
      <c r="Y131" s="125"/>
    </row>
    <row r="132" spans="1:25" ht="15" thickBot="1" x14ac:dyDescent="0.35">
      <c r="A132" s="274"/>
      <c r="B132" s="273" t="s">
        <v>298</v>
      </c>
      <c r="C132" s="273" t="s">
        <v>12</v>
      </c>
      <c r="D132" s="273" t="s">
        <v>13</v>
      </c>
      <c r="E132" s="273" t="s">
        <v>14</v>
      </c>
      <c r="F132" s="273" t="s">
        <v>15</v>
      </c>
      <c r="G132" s="5" t="s">
        <v>24</v>
      </c>
      <c r="H132" s="5" t="s">
        <v>25</v>
      </c>
      <c r="I132" s="5" t="s">
        <v>301</v>
      </c>
      <c r="J132" s="5"/>
      <c r="K132" s="108"/>
      <c r="S132" s="117"/>
      <c r="T132" s="257"/>
      <c r="U132" s="257"/>
      <c r="V132" s="257"/>
      <c r="W132" s="257"/>
      <c r="X132" s="126"/>
      <c r="Y132" s="125"/>
    </row>
    <row r="133" spans="1:25" x14ac:dyDescent="0.3">
      <c r="A133" s="274"/>
      <c r="B133" s="14" t="s">
        <v>8</v>
      </c>
      <c r="C133" s="277">
        <v>3</v>
      </c>
      <c r="D133" s="277">
        <v>2</v>
      </c>
      <c r="E133" s="277">
        <v>0</v>
      </c>
      <c r="F133" s="277">
        <v>1</v>
      </c>
      <c r="G133" s="15">
        <v>4</v>
      </c>
      <c r="H133" s="15">
        <v>3</v>
      </c>
      <c r="I133" s="15">
        <v>6</v>
      </c>
      <c r="J133" s="86"/>
      <c r="K133" s="108"/>
      <c r="S133" s="168"/>
      <c r="T133" s="95"/>
      <c r="U133" s="95"/>
      <c r="V133" s="95"/>
      <c r="W133" s="95"/>
      <c r="X133" s="95"/>
      <c r="Y133" s="169"/>
    </row>
    <row r="134" spans="1:25" s="13" customFormat="1" x14ac:dyDescent="0.3">
      <c r="A134" s="274"/>
      <c r="B134" s="21" t="s">
        <v>177</v>
      </c>
      <c r="C134" s="17"/>
      <c r="D134" s="17"/>
      <c r="E134" s="17"/>
      <c r="F134" s="17"/>
      <c r="G134" s="18"/>
      <c r="H134" s="18"/>
      <c r="I134" s="18"/>
      <c r="J134" s="86"/>
      <c r="K134" s="108"/>
      <c r="S134" s="117"/>
      <c r="T134" s="257"/>
      <c r="U134" s="257"/>
      <c r="V134" s="257"/>
      <c r="W134" s="257"/>
      <c r="X134" s="126"/>
      <c r="Y134" s="125"/>
    </row>
    <row r="135" spans="1:25" s="13" customFormat="1" x14ac:dyDescent="0.3">
      <c r="A135" s="274"/>
      <c r="B135" s="3" t="s">
        <v>88</v>
      </c>
      <c r="C135" s="273"/>
      <c r="D135" s="273"/>
      <c r="E135" s="273"/>
      <c r="F135" s="273"/>
      <c r="G135" s="5"/>
      <c r="H135" s="5"/>
      <c r="I135" s="5"/>
      <c r="J135" s="87"/>
      <c r="K135" s="108"/>
      <c r="S135" s="117"/>
      <c r="T135" s="257"/>
      <c r="U135" s="257"/>
      <c r="V135" s="257"/>
      <c r="W135" s="257"/>
      <c r="X135" s="126"/>
      <c r="Y135" s="125"/>
    </row>
    <row r="136" spans="1:25" s="13" customFormat="1" ht="15" thickBot="1" x14ac:dyDescent="0.35">
      <c r="A136" s="274"/>
      <c r="B136" s="7" t="s">
        <v>20</v>
      </c>
      <c r="C136" s="276"/>
      <c r="D136" s="276"/>
      <c r="E136" s="276"/>
      <c r="F136" s="276"/>
      <c r="G136" s="8"/>
      <c r="H136" s="8"/>
      <c r="I136" s="8"/>
      <c r="J136" s="87"/>
      <c r="K136" s="108"/>
      <c r="S136" s="117"/>
      <c r="T136" s="257"/>
      <c r="U136" s="257"/>
      <c r="V136" s="257"/>
      <c r="W136" s="257"/>
      <c r="X136" s="126"/>
      <c r="Y136" s="125"/>
    </row>
    <row r="137" spans="1:25" s="13" customFormat="1" ht="15" thickBot="1" x14ac:dyDescent="0.35">
      <c r="A137" s="274"/>
      <c r="B137" s="273"/>
      <c r="C137" s="273"/>
      <c r="D137" s="273"/>
      <c r="E137" s="273"/>
      <c r="F137" s="273"/>
      <c r="G137" s="5"/>
      <c r="H137" s="5"/>
      <c r="I137" s="5"/>
      <c r="J137" s="5"/>
      <c r="K137" s="108"/>
      <c r="S137" s="117"/>
      <c r="T137" s="265"/>
      <c r="U137" s="265"/>
      <c r="V137" s="265"/>
      <c r="W137" s="265"/>
      <c r="X137" s="126"/>
      <c r="Y137" s="125"/>
    </row>
    <row r="138" spans="1:25" ht="15" thickTop="1" x14ac:dyDescent="0.3">
      <c r="A138" s="106"/>
      <c r="B138" s="25"/>
      <c r="C138" s="25"/>
      <c r="D138" s="25"/>
      <c r="E138" s="25"/>
      <c r="F138" s="25"/>
      <c r="G138" s="26"/>
      <c r="H138" s="26"/>
      <c r="I138" s="26"/>
      <c r="J138" s="26"/>
      <c r="K138" s="108"/>
      <c r="S138" s="117"/>
      <c r="T138" s="265"/>
      <c r="U138" s="265"/>
      <c r="V138" s="265"/>
      <c r="W138" s="265"/>
      <c r="X138" s="126"/>
      <c r="Y138" s="125"/>
    </row>
    <row r="139" spans="1:25" ht="21" x14ac:dyDescent="0.4">
      <c r="A139" s="274"/>
      <c r="B139" s="273"/>
      <c r="C139" s="273"/>
      <c r="D139" s="273"/>
      <c r="E139" s="273"/>
      <c r="F139" s="272" t="s">
        <v>349</v>
      </c>
      <c r="G139" s="5"/>
      <c r="H139" s="5"/>
      <c r="I139" s="5"/>
      <c r="J139" s="5"/>
      <c r="K139" s="108"/>
      <c r="S139" s="117"/>
      <c r="T139" s="265"/>
      <c r="U139" s="265"/>
      <c r="V139" s="265"/>
      <c r="W139" s="265"/>
      <c r="X139" s="126"/>
      <c r="Y139" s="125"/>
    </row>
    <row r="140" spans="1:25" x14ac:dyDescent="0.3">
      <c r="A140" s="274"/>
      <c r="B140" s="273"/>
      <c r="C140" s="273"/>
      <c r="D140" s="273"/>
      <c r="E140" s="273"/>
      <c r="F140" s="28"/>
      <c r="G140" s="5"/>
      <c r="H140" s="5"/>
      <c r="I140" s="5"/>
      <c r="J140" s="5"/>
      <c r="K140" s="108"/>
      <c r="S140" s="117"/>
      <c r="T140" s="265"/>
      <c r="U140" s="265"/>
      <c r="V140" s="265"/>
      <c r="W140" s="265"/>
      <c r="X140" s="126"/>
      <c r="Y140" s="125"/>
    </row>
    <row r="141" spans="1:25" x14ac:dyDescent="0.3">
      <c r="A141" s="274"/>
      <c r="B141" s="273"/>
      <c r="C141" s="40">
        <v>35961</v>
      </c>
      <c r="D141" s="49" t="s">
        <v>74</v>
      </c>
      <c r="E141" s="49" t="s">
        <v>176</v>
      </c>
      <c r="F141" s="49">
        <v>2</v>
      </c>
      <c r="G141" s="51">
        <v>0</v>
      </c>
      <c r="H141" s="5"/>
      <c r="I141" s="5"/>
      <c r="J141" s="5"/>
      <c r="K141" s="108"/>
      <c r="S141" s="117" t="s">
        <v>74</v>
      </c>
      <c r="T141" s="265" t="s">
        <v>176</v>
      </c>
      <c r="U141" s="265">
        <v>2</v>
      </c>
      <c r="V141" s="265">
        <v>0</v>
      </c>
      <c r="W141" s="265"/>
      <c r="X141" s="126">
        <f t="shared" ref="X141:X144" si="24">(IF(U141&gt;V141,3,IF(U141=V141,1,2)))</f>
        <v>3</v>
      </c>
      <c r="Y141" s="125">
        <f t="shared" ref="Y141:Y144" si="25">(IF(V141&gt;U141,3,IF(U141=V141,1,2)))</f>
        <v>2</v>
      </c>
    </row>
    <row r="142" spans="1:25" ht="15" thickBot="1" x14ac:dyDescent="0.35">
      <c r="A142" s="274"/>
      <c r="B142" s="273"/>
      <c r="C142" s="58"/>
      <c r="D142" s="79"/>
      <c r="E142" s="79"/>
      <c r="F142" s="79" t="s">
        <v>172</v>
      </c>
      <c r="G142" s="81" t="s">
        <v>171</v>
      </c>
      <c r="H142" s="8"/>
      <c r="I142" s="8"/>
      <c r="J142" s="5"/>
      <c r="K142" s="108"/>
      <c r="S142" s="117" t="s">
        <v>16</v>
      </c>
      <c r="T142" s="265" t="s">
        <v>117</v>
      </c>
      <c r="U142" s="265">
        <v>1</v>
      </c>
      <c r="V142" s="265">
        <v>0</v>
      </c>
      <c r="W142" s="265"/>
      <c r="X142" s="126">
        <f t="shared" si="24"/>
        <v>3</v>
      </c>
      <c r="Y142" s="125">
        <f t="shared" si="25"/>
        <v>2</v>
      </c>
    </row>
    <row r="143" spans="1:25" x14ac:dyDescent="0.3">
      <c r="A143" s="274"/>
      <c r="B143" s="273"/>
      <c r="C143" s="269">
        <v>35961</v>
      </c>
      <c r="D143" s="270" t="s">
        <v>16</v>
      </c>
      <c r="E143" s="270" t="s">
        <v>117</v>
      </c>
      <c r="F143" s="270">
        <v>1</v>
      </c>
      <c r="G143" s="271">
        <v>0</v>
      </c>
      <c r="H143" s="20"/>
      <c r="I143" s="20"/>
      <c r="J143" s="5"/>
      <c r="K143" s="108"/>
      <c r="S143" s="117" t="s">
        <v>117</v>
      </c>
      <c r="T143" s="265" t="s">
        <v>176</v>
      </c>
      <c r="U143" s="265">
        <v>1</v>
      </c>
      <c r="V143" s="265">
        <v>0</v>
      </c>
      <c r="W143" s="265"/>
      <c r="X143" s="126">
        <f t="shared" si="24"/>
        <v>3</v>
      </c>
      <c r="Y143" s="125">
        <f t="shared" si="25"/>
        <v>2</v>
      </c>
    </row>
    <row r="144" spans="1:25" ht="15" thickBot="1" x14ac:dyDescent="0.35">
      <c r="A144" s="274"/>
      <c r="B144" s="273"/>
      <c r="C144" s="58"/>
      <c r="D144" s="79"/>
      <c r="E144" s="79"/>
      <c r="F144" s="79" t="s">
        <v>172</v>
      </c>
      <c r="G144" s="81" t="s">
        <v>171</v>
      </c>
      <c r="H144" s="8"/>
      <c r="I144" s="8"/>
      <c r="J144" s="5"/>
      <c r="K144" s="108"/>
      <c r="S144" s="117" t="s">
        <v>16</v>
      </c>
      <c r="T144" s="265" t="s">
        <v>74</v>
      </c>
      <c r="U144" s="265">
        <v>2</v>
      </c>
      <c r="V144" s="265">
        <v>1</v>
      </c>
      <c r="W144" s="265"/>
      <c r="X144" s="126">
        <f t="shared" si="24"/>
        <v>3</v>
      </c>
      <c r="Y144" s="125">
        <f t="shared" si="25"/>
        <v>2</v>
      </c>
    </row>
    <row r="145" spans="1:25" x14ac:dyDescent="0.3">
      <c r="A145" s="274"/>
      <c r="B145" s="273"/>
      <c r="C145" s="40">
        <v>35968</v>
      </c>
      <c r="D145" s="49" t="s">
        <v>117</v>
      </c>
      <c r="E145" s="49" t="s">
        <v>176</v>
      </c>
      <c r="F145" s="49">
        <v>1</v>
      </c>
      <c r="G145" s="51">
        <v>0</v>
      </c>
      <c r="H145" s="5"/>
      <c r="I145" s="5"/>
      <c r="J145" s="5"/>
      <c r="K145" s="108"/>
      <c r="S145" s="117" t="s">
        <v>16</v>
      </c>
      <c r="T145" s="265" t="s">
        <v>176</v>
      </c>
      <c r="U145" s="265">
        <v>1</v>
      </c>
      <c r="V145" s="265">
        <v>1</v>
      </c>
      <c r="W145" s="265"/>
      <c r="X145" s="126">
        <f t="shared" ref="X145:X146" si="26">(IF(U145&gt;V145,3,IF(U145=V145,1,2)))</f>
        <v>1</v>
      </c>
      <c r="Y145" s="125">
        <f t="shared" ref="Y145:Y146" si="27">(IF(V145&gt;U145,3,IF(U145=V145,1,2)))</f>
        <v>1</v>
      </c>
    </row>
    <row r="146" spans="1:25" s="13" customFormat="1" ht="15" thickBot="1" x14ac:dyDescent="0.35">
      <c r="A146" s="274"/>
      <c r="B146" s="273"/>
      <c r="C146" s="58"/>
      <c r="D146" s="79"/>
      <c r="E146" s="79"/>
      <c r="F146" s="79" t="s">
        <v>170</v>
      </c>
      <c r="G146" s="81" t="s">
        <v>171</v>
      </c>
      <c r="H146" s="8"/>
      <c r="I146" s="8"/>
      <c r="J146" s="5"/>
      <c r="K146" s="108"/>
      <c r="S146" s="117" t="s">
        <v>117</v>
      </c>
      <c r="T146" s="265" t="s">
        <v>74</v>
      </c>
      <c r="U146" s="265">
        <v>0</v>
      </c>
      <c r="V146" s="265">
        <v>2</v>
      </c>
      <c r="W146" s="265"/>
      <c r="X146" s="126">
        <f t="shared" si="26"/>
        <v>2</v>
      </c>
      <c r="Y146" s="125">
        <f t="shared" si="27"/>
        <v>3</v>
      </c>
    </row>
    <row r="147" spans="1:25" s="13" customFormat="1" x14ac:dyDescent="0.3">
      <c r="A147" s="274"/>
      <c r="B147" s="273"/>
      <c r="C147" s="40">
        <v>35968</v>
      </c>
      <c r="D147" s="49" t="s">
        <v>16</v>
      </c>
      <c r="E147" s="49" t="s">
        <v>74</v>
      </c>
      <c r="F147" s="49">
        <v>2</v>
      </c>
      <c r="G147" s="51">
        <v>1</v>
      </c>
      <c r="H147" s="5"/>
      <c r="I147" s="5"/>
      <c r="J147" s="5"/>
      <c r="K147" s="108"/>
      <c r="S147" s="117"/>
      <c r="T147" s="265"/>
      <c r="U147" s="265"/>
      <c r="V147" s="265"/>
      <c r="W147" s="265"/>
      <c r="X147" s="126"/>
      <c r="Y147" s="125"/>
    </row>
    <row r="148" spans="1:25" s="13" customFormat="1" ht="15" thickBot="1" x14ac:dyDescent="0.35">
      <c r="A148" s="274"/>
      <c r="B148" s="273"/>
      <c r="C148" s="58"/>
      <c r="D148" s="79"/>
      <c r="E148" s="79"/>
      <c r="F148" s="79" t="s">
        <v>170</v>
      </c>
      <c r="G148" s="81" t="s">
        <v>171</v>
      </c>
      <c r="H148" s="8"/>
      <c r="I148" s="8"/>
      <c r="J148" s="5"/>
      <c r="K148" s="108"/>
      <c r="S148" s="117"/>
      <c r="T148" s="265"/>
      <c r="U148" s="265"/>
      <c r="V148" s="265"/>
      <c r="W148" s="265"/>
      <c r="X148" s="126"/>
      <c r="Y148" s="125"/>
    </row>
    <row r="149" spans="1:25" x14ac:dyDescent="0.3">
      <c r="A149" s="274"/>
      <c r="B149" s="273"/>
      <c r="C149" s="269">
        <v>35972</v>
      </c>
      <c r="D149" s="270" t="s">
        <v>16</v>
      </c>
      <c r="E149" s="270" t="s">
        <v>176</v>
      </c>
      <c r="F149" s="270">
        <v>1</v>
      </c>
      <c r="G149" s="271">
        <v>1</v>
      </c>
      <c r="H149" s="20"/>
      <c r="I149" s="20"/>
      <c r="J149" s="5"/>
      <c r="K149" s="108"/>
      <c r="S149" s="117"/>
      <c r="T149" s="265"/>
      <c r="U149" s="265"/>
      <c r="V149" s="265"/>
      <c r="W149" s="265"/>
      <c r="X149" s="126"/>
      <c r="Y149" s="125"/>
    </row>
    <row r="150" spans="1:25" ht="15" thickBot="1" x14ac:dyDescent="0.35">
      <c r="A150" s="274"/>
      <c r="B150" s="273"/>
      <c r="C150" s="58"/>
      <c r="D150" s="79"/>
      <c r="E150" s="79"/>
      <c r="F150" s="79" t="s">
        <v>170</v>
      </c>
      <c r="G150" s="81" t="s">
        <v>183</v>
      </c>
      <c r="H150" s="8"/>
      <c r="I150" s="8"/>
      <c r="J150" s="5"/>
      <c r="K150" s="108"/>
      <c r="S150" s="117"/>
      <c r="T150" s="265"/>
      <c r="U150" s="265"/>
      <c r="V150" s="265"/>
      <c r="W150" s="265"/>
      <c r="X150" s="126"/>
      <c r="Y150" s="125"/>
    </row>
    <row r="151" spans="1:25" x14ac:dyDescent="0.3">
      <c r="A151" s="274"/>
      <c r="B151" s="17"/>
      <c r="C151" s="40">
        <v>35972</v>
      </c>
      <c r="D151" s="43" t="s">
        <v>117</v>
      </c>
      <c r="E151" s="43" t="s">
        <v>74</v>
      </c>
      <c r="F151" s="49">
        <v>0</v>
      </c>
      <c r="G151" s="51">
        <v>2</v>
      </c>
      <c r="H151" s="5"/>
      <c r="I151" s="5"/>
      <c r="J151" s="5"/>
      <c r="K151" s="108"/>
      <c r="S151" s="117"/>
      <c r="T151" s="265"/>
      <c r="U151" s="265"/>
      <c r="V151" s="265"/>
      <c r="W151" s="265"/>
      <c r="X151" s="126"/>
      <c r="Y151" s="125"/>
    </row>
    <row r="152" spans="1:25" x14ac:dyDescent="0.3">
      <c r="A152" s="156"/>
      <c r="B152" s="17"/>
      <c r="C152" s="17"/>
      <c r="D152" s="43"/>
      <c r="E152" s="43"/>
      <c r="F152" s="49" t="s">
        <v>170</v>
      </c>
      <c r="G152" s="51" t="s">
        <v>173</v>
      </c>
      <c r="H152" s="5"/>
      <c r="I152" s="5"/>
      <c r="J152" s="5"/>
      <c r="K152" s="108"/>
      <c r="S152" s="117"/>
      <c r="T152" s="265"/>
      <c r="U152" s="265"/>
      <c r="V152" s="265"/>
      <c r="W152" s="265"/>
      <c r="X152" s="126"/>
      <c r="Y152" s="125"/>
    </row>
    <row r="153" spans="1:25" x14ac:dyDescent="0.3">
      <c r="A153" s="156"/>
      <c r="B153" s="17"/>
      <c r="C153" s="17"/>
      <c r="D153" s="17"/>
      <c r="E153" s="17"/>
      <c r="F153" s="273"/>
      <c r="G153" s="5"/>
      <c r="H153" s="5"/>
      <c r="I153" s="5"/>
      <c r="J153" s="5"/>
      <c r="K153" s="108"/>
      <c r="S153" s="117"/>
      <c r="T153" s="265"/>
      <c r="U153" s="265"/>
      <c r="V153" s="265"/>
      <c r="W153" s="265"/>
      <c r="X153" s="126"/>
      <c r="Y153" s="125"/>
    </row>
    <row r="154" spans="1:25" ht="15" thickBot="1" x14ac:dyDescent="0.35">
      <c r="A154" s="274"/>
      <c r="B154" s="273" t="s">
        <v>298</v>
      </c>
      <c r="C154" s="273" t="s">
        <v>12</v>
      </c>
      <c r="D154" s="273" t="s">
        <v>13</v>
      </c>
      <c r="E154" s="273" t="s">
        <v>14</v>
      </c>
      <c r="F154" s="273" t="s">
        <v>15</v>
      </c>
      <c r="G154" s="5" t="s">
        <v>24</v>
      </c>
      <c r="H154" s="5" t="s">
        <v>25</v>
      </c>
      <c r="I154" s="5" t="s">
        <v>301</v>
      </c>
      <c r="J154" s="5"/>
      <c r="K154" s="108"/>
      <c r="S154" s="117"/>
      <c r="T154" s="265"/>
      <c r="U154" s="265"/>
      <c r="V154" s="265"/>
      <c r="W154" s="265"/>
      <c r="X154" s="126"/>
      <c r="Y154" s="125"/>
    </row>
    <row r="155" spans="1:25" x14ac:dyDescent="0.3">
      <c r="A155" s="274"/>
      <c r="B155" s="14" t="s">
        <v>74</v>
      </c>
      <c r="C155" s="277">
        <v>3</v>
      </c>
      <c r="D155" s="277">
        <v>1</v>
      </c>
      <c r="E155" s="277">
        <v>1</v>
      </c>
      <c r="F155" s="277">
        <v>1</v>
      </c>
      <c r="G155" s="15">
        <v>3</v>
      </c>
      <c r="H155" s="15">
        <v>3</v>
      </c>
      <c r="I155" s="15">
        <v>4</v>
      </c>
      <c r="J155" s="86"/>
      <c r="K155" s="108"/>
      <c r="S155" s="117"/>
      <c r="T155" s="265"/>
      <c r="U155" s="265"/>
      <c r="V155" s="265"/>
      <c r="W155" s="265"/>
      <c r="X155" s="126"/>
      <c r="Y155" s="125"/>
    </row>
    <row r="156" spans="1:25" x14ac:dyDescent="0.3">
      <c r="A156" s="274"/>
      <c r="B156" s="21" t="s">
        <v>176</v>
      </c>
      <c r="C156" s="17"/>
      <c r="D156" s="17"/>
      <c r="E156" s="17"/>
      <c r="F156" s="17"/>
      <c r="G156" s="18"/>
      <c r="H156" s="18"/>
      <c r="I156" s="18"/>
      <c r="J156" s="86"/>
      <c r="K156" s="108"/>
      <c r="S156" s="117"/>
      <c r="T156" s="265"/>
      <c r="U156" s="265"/>
      <c r="V156" s="265"/>
      <c r="W156" s="265"/>
      <c r="X156" s="265"/>
      <c r="Y156" s="118"/>
    </row>
    <row r="157" spans="1:25" x14ac:dyDescent="0.3">
      <c r="A157" s="274"/>
      <c r="B157" s="3" t="s">
        <v>16</v>
      </c>
      <c r="C157" s="273"/>
      <c r="D157" s="273"/>
      <c r="E157" s="273"/>
      <c r="F157" s="273"/>
      <c r="G157" s="5"/>
      <c r="H157" s="5"/>
      <c r="I157" s="5"/>
      <c r="J157" s="87"/>
      <c r="K157" s="108"/>
      <c r="S157" s="117"/>
      <c r="T157" s="265"/>
      <c r="U157" s="265"/>
      <c r="V157" s="265"/>
      <c r="W157" s="265"/>
      <c r="X157" s="265"/>
      <c r="Y157" s="118"/>
    </row>
    <row r="158" spans="1:25" s="13" customFormat="1" ht="15" thickBot="1" x14ac:dyDescent="0.35">
      <c r="A158" s="274"/>
      <c r="B158" s="7" t="s">
        <v>117</v>
      </c>
      <c r="C158" s="276"/>
      <c r="D158" s="276"/>
      <c r="E158" s="276"/>
      <c r="F158" s="276"/>
      <c r="G158" s="8"/>
      <c r="H158" s="8"/>
      <c r="I158" s="8"/>
      <c r="J158" s="87"/>
      <c r="K158" s="108"/>
      <c r="S158" s="117"/>
      <c r="T158" s="265"/>
      <c r="U158" s="265"/>
      <c r="V158" s="265"/>
      <c r="W158" s="265"/>
      <c r="X158" s="126"/>
      <c r="Y158" s="125"/>
    </row>
    <row r="159" spans="1:25" ht="15" thickBot="1" x14ac:dyDescent="0.35">
      <c r="A159" s="110"/>
      <c r="B159" s="36"/>
      <c r="C159" s="36"/>
      <c r="D159" s="36"/>
      <c r="E159" s="36"/>
      <c r="F159" s="36"/>
      <c r="G159" s="37"/>
      <c r="H159" s="37"/>
      <c r="I159" s="37"/>
      <c r="J159" s="37"/>
      <c r="K159" s="193"/>
      <c r="S159" s="117"/>
      <c r="T159" s="265"/>
      <c r="U159" s="265"/>
      <c r="V159" s="265"/>
      <c r="W159" s="265"/>
      <c r="X159" s="126"/>
      <c r="Y159" s="125"/>
    </row>
    <row r="160" spans="1:25" ht="15" thickTop="1" x14ac:dyDescent="0.3">
      <c r="A160" s="106"/>
      <c r="B160" s="25"/>
      <c r="C160" s="25"/>
      <c r="D160" s="25"/>
      <c r="E160" s="25"/>
      <c r="F160" s="25"/>
      <c r="G160" s="26"/>
      <c r="H160" s="26"/>
      <c r="I160" s="26"/>
      <c r="J160" s="26"/>
      <c r="K160" s="108"/>
      <c r="S160" s="117"/>
      <c r="T160" s="265"/>
      <c r="U160" s="265"/>
      <c r="V160" s="265"/>
      <c r="W160" s="265"/>
      <c r="X160" s="126"/>
      <c r="Y160" s="125"/>
    </row>
    <row r="161" spans="1:25" ht="21" x14ac:dyDescent="0.4">
      <c r="A161" s="274"/>
      <c r="B161" s="273"/>
      <c r="C161" s="273"/>
      <c r="D161" s="273"/>
      <c r="E161" s="273"/>
      <c r="F161" s="272" t="s">
        <v>350</v>
      </c>
      <c r="G161" s="5"/>
      <c r="H161" s="5"/>
      <c r="I161" s="5"/>
      <c r="J161" s="5"/>
      <c r="K161" s="108"/>
      <c r="S161" s="117"/>
      <c r="T161" s="265"/>
      <c r="U161" s="265"/>
      <c r="V161" s="265"/>
      <c r="W161" s="265"/>
      <c r="X161" s="126"/>
      <c r="Y161" s="125"/>
    </row>
    <row r="162" spans="1:25" x14ac:dyDescent="0.3">
      <c r="A162" s="274"/>
      <c r="B162" s="273"/>
      <c r="C162" s="273"/>
      <c r="D162" s="273"/>
      <c r="E162" s="273"/>
      <c r="F162" s="28"/>
      <c r="G162" s="5"/>
      <c r="H162" s="5"/>
      <c r="I162" s="5"/>
      <c r="J162" s="5"/>
      <c r="K162" s="108"/>
      <c r="S162" s="117"/>
      <c r="T162" s="265"/>
      <c r="U162" s="265"/>
      <c r="V162" s="265"/>
      <c r="W162" s="265"/>
      <c r="X162" s="126"/>
      <c r="Y162" s="125"/>
    </row>
    <row r="163" spans="1:25" x14ac:dyDescent="0.3">
      <c r="A163" s="274"/>
      <c r="B163" s="273"/>
      <c r="C163" s="40">
        <v>35960</v>
      </c>
      <c r="D163" s="49" t="s">
        <v>5</v>
      </c>
      <c r="E163" s="49" t="s">
        <v>351</v>
      </c>
      <c r="F163" s="49">
        <v>1</v>
      </c>
      <c r="G163" s="51">
        <v>0</v>
      </c>
      <c r="H163" s="5"/>
      <c r="I163" s="5"/>
      <c r="J163" s="5"/>
      <c r="K163" s="108"/>
      <c r="S163" s="117" t="s">
        <v>5</v>
      </c>
      <c r="T163" s="265" t="s">
        <v>351</v>
      </c>
      <c r="U163" s="265">
        <v>1</v>
      </c>
      <c r="V163" s="265">
        <v>0</v>
      </c>
      <c r="W163" s="265"/>
      <c r="X163" s="126">
        <f t="shared" ref="X163:X166" si="28">(IF(U163&gt;V163,3,IF(U163=V163,1,2)))</f>
        <v>3</v>
      </c>
      <c r="Y163" s="125">
        <f t="shared" ref="Y163:Y166" si="29">(IF(V163&gt;U163,3,IF(U163=V163,1,2)))</f>
        <v>2</v>
      </c>
    </row>
    <row r="164" spans="1:25" ht="15" thickBot="1" x14ac:dyDescent="0.35">
      <c r="A164" s="274"/>
      <c r="B164" s="273"/>
      <c r="C164" s="58"/>
      <c r="D164" s="79"/>
      <c r="E164" s="79"/>
      <c r="F164" s="79" t="s">
        <v>172</v>
      </c>
      <c r="G164" s="81" t="s">
        <v>171</v>
      </c>
      <c r="H164" s="8"/>
      <c r="I164" s="8"/>
      <c r="J164" s="5"/>
      <c r="K164" s="108"/>
      <c r="S164" s="117" t="s">
        <v>352</v>
      </c>
      <c r="T164" s="265" t="s">
        <v>353</v>
      </c>
      <c r="U164" s="265">
        <v>1</v>
      </c>
      <c r="V164" s="265">
        <v>3</v>
      </c>
      <c r="W164" s="265"/>
      <c r="X164" s="126">
        <f t="shared" si="28"/>
        <v>2</v>
      </c>
      <c r="Y164" s="125">
        <f t="shared" si="29"/>
        <v>3</v>
      </c>
    </row>
    <row r="165" spans="1:25" x14ac:dyDescent="0.3">
      <c r="A165" s="274"/>
      <c r="B165" s="273"/>
      <c r="C165" s="269">
        <v>35960</v>
      </c>
      <c r="D165" s="270" t="s">
        <v>352</v>
      </c>
      <c r="E165" s="270" t="s">
        <v>353</v>
      </c>
      <c r="F165" s="270">
        <v>1</v>
      </c>
      <c r="G165" s="271">
        <v>3</v>
      </c>
      <c r="H165" s="20"/>
      <c r="I165" s="20"/>
      <c r="J165" s="5"/>
      <c r="K165" s="108"/>
      <c r="S165" s="117" t="s">
        <v>351</v>
      </c>
      <c r="T165" s="265" t="s">
        <v>353</v>
      </c>
      <c r="U165" s="265">
        <v>0</v>
      </c>
      <c r="V165" s="265">
        <v>1</v>
      </c>
      <c r="W165" s="265"/>
      <c r="X165" s="126">
        <f t="shared" si="28"/>
        <v>2</v>
      </c>
      <c r="Y165" s="125">
        <f t="shared" si="29"/>
        <v>3</v>
      </c>
    </row>
    <row r="166" spans="1:25" ht="15" thickBot="1" x14ac:dyDescent="0.35">
      <c r="A166" s="274"/>
      <c r="B166" s="273"/>
      <c r="C166" s="58"/>
      <c r="D166" s="79"/>
      <c r="E166" s="79"/>
      <c r="F166" s="79" t="s">
        <v>172</v>
      </c>
      <c r="G166" s="81" t="s">
        <v>183</v>
      </c>
      <c r="H166" s="8"/>
      <c r="I166" s="8"/>
      <c r="J166" s="5"/>
      <c r="K166" s="108"/>
      <c r="S166" s="117" t="s">
        <v>5</v>
      </c>
      <c r="T166" s="265" t="s">
        <v>352</v>
      </c>
      <c r="U166" s="265">
        <v>5</v>
      </c>
      <c r="V166" s="265">
        <v>0</v>
      </c>
      <c r="W166" s="265"/>
      <c r="X166" s="126">
        <f t="shared" si="28"/>
        <v>3</v>
      </c>
      <c r="Y166" s="125">
        <f t="shared" si="29"/>
        <v>2</v>
      </c>
    </row>
    <row r="167" spans="1:25" x14ac:dyDescent="0.3">
      <c r="A167" s="274"/>
      <c r="B167" s="273"/>
      <c r="C167" s="40">
        <v>35966</v>
      </c>
      <c r="D167" s="49" t="s">
        <v>351</v>
      </c>
      <c r="E167" s="49" t="s">
        <v>353</v>
      </c>
      <c r="F167" s="49">
        <v>0</v>
      </c>
      <c r="G167" s="51">
        <v>1</v>
      </c>
      <c r="H167" s="5"/>
      <c r="I167" s="5"/>
      <c r="J167" s="5"/>
      <c r="K167" s="108"/>
      <c r="S167" s="117" t="s">
        <v>5</v>
      </c>
      <c r="T167" s="265" t="s">
        <v>353</v>
      </c>
      <c r="U167" s="265">
        <v>1</v>
      </c>
      <c r="V167" s="265">
        <v>0</v>
      </c>
      <c r="W167" s="265"/>
      <c r="X167" s="126">
        <f t="shared" ref="X167:X168" si="30">(IF(U167&gt;V167,3,IF(U167=V167,1,2)))</f>
        <v>3</v>
      </c>
      <c r="Y167" s="125">
        <f t="shared" ref="Y167:Y168" si="31">(IF(V167&gt;U167,3,IF(U167=V167,1,2)))</f>
        <v>2</v>
      </c>
    </row>
    <row r="168" spans="1:25" s="13" customFormat="1" ht="15" thickBot="1" x14ac:dyDescent="0.35">
      <c r="A168" s="274"/>
      <c r="B168" s="273"/>
      <c r="C168" s="58"/>
      <c r="D168" s="79"/>
      <c r="E168" s="79"/>
      <c r="F168" s="79" t="s">
        <v>170</v>
      </c>
      <c r="G168" s="81" t="s">
        <v>171</v>
      </c>
      <c r="H168" s="8"/>
      <c r="I168" s="8"/>
      <c r="J168" s="5"/>
      <c r="K168" s="108"/>
      <c r="S168" s="117" t="s">
        <v>351</v>
      </c>
      <c r="T168" s="265" t="s">
        <v>352</v>
      </c>
      <c r="U168" s="265">
        <v>1</v>
      </c>
      <c r="V168" s="265">
        <v>2</v>
      </c>
      <c r="W168" s="265"/>
      <c r="X168" s="126">
        <f t="shared" si="30"/>
        <v>2</v>
      </c>
      <c r="Y168" s="125">
        <f t="shared" si="31"/>
        <v>3</v>
      </c>
    </row>
    <row r="169" spans="1:25" s="13" customFormat="1" x14ac:dyDescent="0.3">
      <c r="A169" s="274"/>
      <c r="B169" s="273"/>
      <c r="C169" s="40">
        <v>35967</v>
      </c>
      <c r="D169" s="49" t="s">
        <v>5</v>
      </c>
      <c r="E169" s="49" t="s">
        <v>352</v>
      </c>
      <c r="F169" s="49">
        <v>5</v>
      </c>
      <c r="G169" s="51">
        <v>0</v>
      </c>
      <c r="H169" s="5"/>
      <c r="I169" s="5"/>
      <c r="J169" s="5"/>
      <c r="K169" s="108"/>
      <c r="S169" s="117"/>
      <c r="T169" s="265"/>
      <c r="U169" s="265"/>
      <c r="V169" s="265"/>
      <c r="W169" s="265"/>
      <c r="X169" s="126"/>
      <c r="Y169" s="125"/>
    </row>
    <row r="170" spans="1:25" s="13" customFormat="1" ht="15" thickBot="1" x14ac:dyDescent="0.35">
      <c r="A170" s="274"/>
      <c r="B170" s="273"/>
      <c r="C170" s="58"/>
      <c r="D170" s="79"/>
      <c r="E170" s="79"/>
      <c r="F170" s="79" t="s">
        <v>172</v>
      </c>
      <c r="G170" s="81" t="s">
        <v>171</v>
      </c>
      <c r="H170" s="8"/>
      <c r="I170" s="8"/>
      <c r="J170" s="5"/>
      <c r="K170" s="108"/>
      <c r="S170" s="117"/>
      <c r="T170" s="265"/>
      <c r="U170" s="265"/>
      <c r="V170" s="265"/>
      <c r="W170" s="265"/>
      <c r="X170" s="126"/>
      <c r="Y170" s="125"/>
    </row>
    <row r="171" spans="1:25" x14ac:dyDescent="0.3">
      <c r="A171" s="274"/>
      <c r="B171" s="273"/>
      <c r="C171" s="269">
        <v>35972</v>
      </c>
      <c r="D171" s="270" t="s">
        <v>5</v>
      </c>
      <c r="E171" s="270" t="s">
        <v>353</v>
      </c>
      <c r="F171" s="270">
        <v>1</v>
      </c>
      <c r="G171" s="271">
        <v>0</v>
      </c>
      <c r="H171" s="20"/>
      <c r="I171" s="20"/>
      <c r="J171" s="5"/>
      <c r="K171" s="108"/>
      <c r="S171" s="117"/>
      <c r="T171" s="265"/>
      <c r="U171" s="265"/>
      <c r="V171" s="265"/>
      <c r="W171" s="265"/>
      <c r="X171" s="126"/>
      <c r="Y171" s="125"/>
    </row>
    <row r="172" spans="1:25" ht="15" thickBot="1" x14ac:dyDescent="0.35">
      <c r="A172" s="274"/>
      <c r="B172" s="273"/>
      <c r="C172" s="58"/>
      <c r="D172" s="79"/>
      <c r="E172" s="79"/>
      <c r="F172" s="79" t="s">
        <v>172</v>
      </c>
      <c r="G172" s="81" t="s">
        <v>171</v>
      </c>
      <c r="H172" s="8"/>
      <c r="I172" s="8"/>
      <c r="J172" s="5"/>
      <c r="K172" s="108"/>
      <c r="S172" s="117"/>
      <c r="T172" s="265"/>
      <c r="U172" s="265"/>
      <c r="V172" s="265"/>
      <c r="W172" s="265"/>
      <c r="X172" s="126"/>
      <c r="Y172" s="125"/>
    </row>
    <row r="173" spans="1:25" x14ac:dyDescent="0.3">
      <c r="A173" s="274"/>
      <c r="B173" s="17"/>
      <c r="C173" s="40">
        <v>35972</v>
      </c>
      <c r="D173" s="43" t="s">
        <v>351</v>
      </c>
      <c r="E173" s="43" t="s">
        <v>352</v>
      </c>
      <c r="F173" s="49">
        <v>1</v>
      </c>
      <c r="G173" s="51">
        <v>2</v>
      </c>
      <c r="H173" s="5"/>
      <c r="I173" s="5"/>
      <c r="J173" s="5"/>
      <c r="K173" s="108"/>
      <c r="S173" s="117"/>
      <c r="T173" s="265"/>
      <c r="U173" s="265"/>
      <c r="V173" s="265"/>
      <c r="W173" s="265"/>
      <c r="X173" s="126"/>
      <c r="Y173" s="125"/>
    </row>
    <row r="174" spans="1:25" x14ac:dyDescent="0.3">
      <c r="A174" s="156"/>
      <c r="B174" s="17"/>
      <c r="C174" s="17"/>
      <c r="D174" s="43"/>
      <c r="E174" s="43"/>
      <c r="F174" s="49" t="s">
        <v>170</v>
      </c>
      <c r="G174" s="51" t="s">
        <v>183</v>
      </c>
      <c r="H174" s="5"/>
      <c r="I174" s="5"/>
      <c r="J174" s="5"/>
      <c r="K174" s="108"/>
      <c r="S174" s="117"/>
      <c r="T174" s="265"/>
      <c r="U174" s="265"/>
      <c r="V174" s="265"/>
      <c r="W174" s="265"/>
      <c r="X174" s="126"/>
      <c r="Y174" s="125"/>
    </row>
    <row r="175" spans="1:25" x14ac:dyDescent="0.3">
      <c r="A175" s="156"/>
      <c r="B175" s="17"/>
      <c r="C175" s="17"/>
      <c r="D175" s="17"/>
      <c r="E175" s="17"/>
      <c r="F175" s="273"/>
      <c r="G175" s="5"/>
      <c r="H175" s="5"/>
      <c r="I175" s="5"/>
      <c r="J175" s="5"/>
      <c r="K175" s="108"/>
      <c r="S175" s="117"/>
      <c r="T175" s="265"/>
      <c r="U175" s="265"/>
      <c r="V175" s="265"/>
      <c r="W175" s="265"/>
      <c r="X175" s="126"/>
      <c r="Y175" s="125"/>
    </row>
    <row r="176" spans="1:25" ht="15" thickBot="1" x14ac:dyDescent="0.35">
      <c r="A176" s="274"/>
      <c r="B176" s="273" t="s">
        <v>298</v>
      </c>
      <c r="C176" s="273" t="s">
        <v>12</v>
      </c>
      <c r="D176" s="273" t="s">
        <v>13</v>
      </c>
      <c r="E176" s="273" t="s">
        <v>14</v>
      </c>
      <c r="F176" s="273" t="s">
        <v>15</v>
      </c>
      <c r="G176" s="5" t="s">
        <v>24</v>
      </c>
      <c r="H176" s="5" t="s">
        <v>25</v>
      </c>
      <c r="I176" s="5" t="s">
        <v>301</v>
      </c>
      <c r="J176" s="5"/>
      <c r="K176" s="108"/>
      <c r="S176" s="117"/>
      <c r="T176" s="265"/>
      <c r="U176" s="265"/>
      <c r="V176" s="265"/>
      <c r="W176" s="265"/>
      <c r="X176" s="126"/>
      <c r="Y176" s="125"/>
    </row>
    <row r="177" spans="1:25" x14ac:dyDescent="0.3">
      <c r="A177" s="274"/>
      <c r="B177" s="14" t="s">
        <v>5</v>
      </c>
      <c r="C177" s="277">
        <v>3</v>
      </c>
      <c r="D177" s="277">
        <v>1</v>
      </c>
      <c r="E177" s="277">
        <v>1</v>
      </c>
      <c r="F177" s="277">
        <v>1</v>
      </c>
      <c r="G177" s="15">
        <v>3</v>
      </c>
      <c r="H177" s="15">
        <v>3</v>
      </c>
      <c r="I177" s="15">
        <v>4</v>
      </c>
      <c r="J177" s="86"/>
      <c r="K177" s="108"/>
      <c r="S177" s="117"/>
      <c r="T177" s="265"/>
      <c r="U177" s="265"/>
      <c r="V177" s="265"/>
      <c r="W177" s="265"/>
      <c r="X177" s="126"/>
      <c r="Y177" s="125"/>
    </row>
    <row r="178" spans="1:25" x14ac:dyDescent="0.3">
      <c r="A178" s="274"/>
      <c r="B178" s="21" t="s">
        <v>351</v>
      </c>
      <c r="C178" s="17"/>
      <c r="D178" s="17"/>
      <c r="E178" s="17"/>
      <c r="F178" s="17"/>
      <c r="G178" s="18"/>
      <c r="H178" s="18"/>
      <c r="I178" s="18"/>
      <c r="J178" s="86"/>
      <c r="K178" s="108"/>
      <c r="S178" s="117"/>
      <c r="T178" s="265"/>
      <c r="U178" s="265"/>
      <c r="V178" s="265"/>
      <c r="W178" s="265"/>
      <c r="X178" s="265"/>
      <c r="Y178" s="118"/>
    </row>
    <row r="179" spans="1:25" x14ac:dyDescent="0.3">
      <c r="A179" s="274"/>
      <c r="B179" s="3" t="s">
        <v>352</v>
      </c>
      <c r="C179" s="273"/>
      <c r="D179" s="273"/>
      <c r="E179" s="273"/>
      <c r="F179" s="273"/>
      <c r="G179" s="5"/>
      <c r="H179" s="5"/>
      <c r="I179" s="5"/>
      <c r="J179" s="87"/>
      <c r="K179" s="108"/>
      <c r="S179" s="117"/>
      <c r="T179" s="265"/>
      <c r="U179" s="265"/>
      <c r="V179" s="265"/>
      <c r="W179" s="265"/>
      <c r="X179" s="265"/>
      <c r="Y179" s="118"/>
    </row>
    <row r="180" spans="1:25" s="13" customFormat="1" ht="15" thickBot="1" x14ac:dyDescent="0.35">
      <c r="A180" s="274"/>
      <c r="B180" s="7" t="s">
        <v>353</v>
      </c>
      <c r="C180" s="276"/>
      <c r="D180" s="276"/>
      <c r="E180" s="276"/>
      <c r="F180" s="276"/>
      <c r="G180" s="8"/>
      <c r="H180" s="8"/>
      <c r="I180" s="8"/>
      <c r="J180" s="87"/>
      <c r="K180" s="108"/>
      <c r="S180" s="117"/>
      <c r="T180" s="265"/>
      <c r="U180" s="265"/>
      <c r="V180" s="265"/>
      <c r="W180" s="265"/>
      <c r="X180" s="126"/>
      <c r="Y180" s="125"/>
    </row>
    <row r="181" spans="1:25" ht="15" thickBot="1" x14ac:dyDescent="0.35">
      <c r="A181" s="110"/>
      <c r="B181" s="36"/>
      <c r="C181" s="36"/>
      <c r="D181" s="36"/>
      <c r="E181" s="36"/>
      <c r="F181" s="36"/>
      <c r="G181" s="37"/>
      <c r="H181" s="37"/>
      <c r="I181" s="37"/>
      <c r="J181" s="37"/>
      <c r="K181" s="193"/>
      <c r="S181" s="117"/>
      <c r="T181" s="265"/>
      <c r="U181" s="265"/>
      <c r="V181" s="265"/>
      <c r="W181" s="265"/>
      <c r="X181" s="126"/>
      <c r="Y181" s="125"/>
    </row>
    <row r="182" spans="1:25" ht="15" thickTop="1" x14ac:dyDescent="0.3">
      <c r="A182" s="274"/>
      <c r="B182" s="273"/>
      <c r="C182" s="273"/>
      <c r="D182" s="273"/>
      <c r="E182" s="273"/>
      <c r="F182" s="273"/>
      <c r="G182" s="5"/>
      <c r="H182" s="5"/>
      <c r="I182" s="5"/>
      <c r="J182" s="5"/>
      <c r="K182" s="108"/>
      <c r="L182" s="1"/>
      <c r="S182" s="117"/>
      <c r="T182" s="257"/>
      <c r="U182" s="257"/>
      <c r="V182" s="257"/>
      <c r="W182" s="257"/>
      <c r="X182" s="257"/>
      <c r="Y182" s="118"/>
    </row>
    <row r="183" spans="1:25" ht="21" x14ac:dyDescent="0.4">
      <c r="A183" s="274"/>
      <c r="B183" s="273"/>
      <c r="C183" s="273"/>
      <c r="D183" s="273"/>
      <c r="E183" s="273"/>
      <c r="F183" s="272" t="s">
        <v>457</v>
      </c>
      <c r="G183" s="5"/>
      <c r="H183" s="5"/>
      <c r="I183" s="5"/>
      <c r="J183" s="5"/>
      <c r="K183" s="108"/>
      <c r="L183" s="1"/>
      <c r="S183" s="122"/>
      <c r="T183" s="17"/>
      <c r="U183" s="17"/>
      <c r="V183" s="17"/>
      <c r="W183" s="17"/>
      <c r="X183" s="126"/>
      <c r="Y183" s="125"/>
    </row>
    <row r="184" spans="1:25" s="13" customFormat="1" x14ac:dyDescent="0.3">
      <c r="A184" s="274"/>
      <c r="B184" s="273"/>
      <c r="C184" s="49"/>
      <c r="D184" s="49"/>
      <c r="E184" s="49"/>
      <c r="F184" s="49"/>
      <c r="G184" s="51"/>
      <c r="H184" s="51"/>
      <c r="I184" s="51"/>
      <c r="J184" s="5"/>
      <c r="K184" s="108"/>
      <c r="L184" s="10"/>
      <c r="S184" s="117"/>
      <c r="T184" s="257"/>
      <c r="U184" s="257"/>
      <c r="V184" s="257"/>
      <c r="W184" s="257"/>
      <c r="X184" s="126"/>
      <c r="Y184" s="125"/>
    </row>
    <row r="185" spans="1:25" s="13" customFormat="1" x14ac:dyDescent="0.3">
      <c r="A185" s="274"/>
      <c r="B185" s="273"/>
      <c r="C185" s="82">
        <v>35973</v>
      </c>
      <c r="D185" s="43" t="s">
        <v>37</v>
      </c>
      <c r="E185" s="43" t="s">
        <v>59</v>
      </c>
      <c r="F185" s="43">
        <v>1</v>
      </c>
      <c r="G185" s="48">
        <v>0</v>
      </c>
      <c r="H185" s="51"/>
      <c r="I185" s="51"/>
      <c r="J185" s="5"/>
      <c r="K185" s="108"/>
      <c r="L185" s="10"/>
      <c r="S185" s="122" t="s">
        <v>37</v>
      </c>
      <c r="T185" s="17" t="s">
        <v>59</v>
      </c>
      <c r="U185" s="17">
        <v>1</v>
      </c>
      <c r="V185" s="17">
        <v>0</v>
      </c>
      <c r="W185" s="17"/>
      <c r="X185" s="126">
        <f t="shared" ref="X185:X186" si="32">(IF(U185&gt;V185,3,IF(U185=V185,1,2)))</f>
        <v>3</v>
      </c>
      <c r="Y185" s="125">
        <f t="shared" ref="Y185:Y186" si="33">(IF(V185&gt;U185,3,IF(U185=V185,1,2)))</f>
        <v>2</v>
      </c>
    </row>
    <row r="186" spans="1:25" ht="15" thickBot="1" x14ac:dyDescent="0.35">
      <c r="A186" s="274"/>
      <c r="B186" s="273"/>
      <c r="C186" s="83"/>
      <c r="D186" s="80"/>
      <c r="E186" s="80"/>
      <c r="F186" s="80" t="s">
        <v>172</v>
      </c>
      <c r="G186" s="84" t="s">
        <v>171</v>
      </c>
      <c r="H186" s="81"/>
      <c r="I186" s="81"/>
      <c r="J186" s="5"/>
      <c r="K186" s="108"/>
      <c r="L186" s="1"/>
      <c r="S186" s="117" t="s">
        <v>9</v>
      </c>
      <c r="T186" s="257" t="s">
        <v>6</v>
      </c>
      <c r="U186" s="257">
        <v>4</v>
      </c>
      <c r="V186" s="257">
        <v>1</v>
      </c>
      <c r="W186" s="257"/>
      <c r="X186" s="126">
        <f t="shared" si="32"/>
        <v>3</v>
      </c>
      <c r="Y186" s="125">
        <f t="shared" si="33"/>
        <v>2</v>
      </c>
    </row>
    <row r="187" spans="1:25" x14ac:dyDescent="0.3">
      <c r="A187" s="274"/>
      <c r="B187" s="273"/>
      <c r="C187" s="82">
        <v>35973</v>
      </c>
      <c r="D187" s="43" t="s">
        <v>9</v>
      </c>
      <c r="E187" s="43" t="s">
        <v>6</v>
      </c>
      <c r="F187" s="43">
        <v>4</v>
      </c>
      <c r="G187" s="48">
        <v>1</v>
      </c>
      <c r="H187" s="51"/>
      <c r="I187" s="51"/>
      <c r="J187" s="5"/>
      <c r="K187" s="108"/>
      <c r="L187" s="1"/>
      <c r="S187" s="117" t="s">
        <v>3</v>
      </c>
      <c r="T187" s="257" t="s">
        <v>22</v>
      </c>
      <c r="U187" s="257">
        <v>1</v>
      </c>
      <c r="V187" s="257">
        <v>0</v>
      </c>
      <c r="W187" s="257" t="s">
        <v>354</v>
      </c>
      <c r="X187" s="126">
        <f t="shared" ref="X187:X192" si="34">(IF(U187&gt;V187,3,IF(U187=V187,1,2)))</f>
        <v>3</v>
      </c>
      <c r="Y187" s="125">
        <f t="shared" ref="Y187:Y192" si="35">(IF(V187&gt;U187,3,IF(U187=V187,1,2)))</f>
        <v>2</v>
      </c>
    </row>
    <row r="188" spans="1:25" ht="15" thickBot="1" x14ac:dyDescent="0.35">
      <c r="A188" s="274"/>
      <c r="B188" s="273"/>
      <c r="C188" s="83"/>
      <c r="D188" s="80"/>
      <c r="E188" s="80"/>
      <c r="F188" s="80" t="s">
        <v>264</v>
      </c>
      <c r="G188" s="84" t="s">
        <v>171</v>
      </c>
      <c r="H188" s="81"/>
      <c r="I188" s="81"/>
      <c r="J188" s="5"/>
      <c r="K188" s="108"/>
      <c r="L188" s="1"/>
      <c r="S188" s="122" t="s">
        <v>307</v>
      </c>
      <c r="T188" s="17" t="s">
        <v>258</v>
      </c>
      <c r="U188" s="17">
        <v>1</v>
      </c>
      <c r="V188" s="17">
        <v>4</v>
      </c>
      <c r="W188" s="17"/>
      <c r="X188" s="126">
        <f t="shared" si="34"/>
        <v>2</v>
      </c>
      <c r="Y188" s="125">
        <f t="shared" si="35"/>
        <v>3</v>
      </c>
    </row>
    <row r="189" spans="1:25" s="13" customFormat="1" x14ac:dyDescent="0.3">
      <c r="A189" s="274"/>
      <c r="B189" s="33"/>
      <c r="C189" s="82">
        <v>35974</v>
      </c>
      <c r="D189" s="43" t="s">
        <v>3</v>
      </c>
      <c r="E189" s="43" t="s">
        <v>22</v>
      </c>
      <c r="F189" s="43">
        <v>1</v>
      </c>
      <c r="G189" s="48">
        <v>0</v>
      </c>
      <c r="H189" s="51" t="s">
        <v>354</v>
      </c>
      <c r="I189" s="51"/>
      <c r="J189" s="5"/>
      <c r="K189" s="108"/>
      <c r="L189" s="10"/>
      <c r="S189" s="117" t="s">
        <v>88</v>
      </c>
      <c r="T189" s="257" t="s">
        <v>4</v>
      </c>
      <c r="U189" s="257">
        <v>2</v>
      </c>
      <c r="V189" s="257">
        <v>1</v>
      </c>
      <c r="W189" s="257"/>
      <c r="X189" s="126">
        <f t="shared" si="34"/>
        <v>3</v>
      </c>
      <c r="Y189" s="125">
        <f t="shared" si="35"/>
        <v>2</v>
      </c>
    </row>
    <row r="190" spans="1:25" s="13" customFormat="1" x14ac:dyDescent="0.3">
      <c r="A190" s="274"/>
      <c r="B190" s="33"/>
      <c r="C190" s="82"/>
      <c r="D190" s="43"/>
      <c r="E190" s="43"/>
      <c r="F190" s="43">
        <v>0</v>
      </c>
      <c r="G190" s="48">
        <v>0</v>
      </c>
      <c r="H190" s="51"/>
      <c r="I190" s="51"/>
      <c r="J190" s="5"/>
      <c r="K190" s="108"/>
      <c r="L190" s="10"/>
      <c r="S190" s="117" t="s">
        <v>63</v>
      </c>
      <c r="T190" s="265" t="s">
        <v>8</v>
      </c>
      <c r="U190" s="265">
        <v>2</v>
      </c>
      <c r="V190" s="265">
        <v>1</v>
      </c>
      <c r="W190" s="265"/>
      <c r="X190" s="126">
        <f t="shared" ref="X190" si="36">(IF(U190&gt;V190,3,IF(U190=V190,1,2)))</f>
        <v>3</v>
      </c>
      <c r="Y190" s="125">
        <f t="shared" ref="Y190" si="37">(IF(V190&gt;U190,3,IF(U190=V190,1,2)))</f>
        <v>2</v>
      </c>
    </row>
    <row r="191" spans="1:25" ht="15" thickBot="1" x14ac:dyDescent="0.35">
      <c r="A191" s="274"/>
      <c r="B191" s="33"/>
      <c r="C191" s="83"/>
      <c r="D191" s="80"/>
      <c r="E191" s="80"/>
      <c r="F191" s="80" t="s">
        <v>170</v>
      </c>
      <c r="G191" s="84" t="s">
        <v>171</v>
      </c>
      <c r="H191" s="81"/>
      <c r="I191" s="81"/>
      <c r="J191" s="5"/>
      <c r="K191" s="108"/>
      <c r="L191" s="1"/>
      <c r="S191" s="117" t="s">
        <v>16</v>
      </c>
      <c r="T191" s="257" t="s">
        <v>353</v>
      </c>
      <c r="U191" s="257">
        <v>0</v>
      </c>
      <c r="V191" s="257">
        <v>1</v>
      </c>
      <c r="W191" s="257"/>
      <c r="X191" s="126">
        <f t="shared" si="34"/>
        <v>2</v>
      </c>
      <c r="Y191" s="125">
        <f t="shared" si="35"/>
        <v>3</v>
      </c>
    </row>
    <row r="192" spans="1:25" x14ac:dyDescent="0.3">
      <c r="A192" s="156"/>
      <c r="B192" s="273"/>
      <c r="C192" s="82">
        <v>35974</v>
      </c>
      <c r="D192" s="43" t="s">
        <v>307</v>
      </c>
      <c r="E192" s="43" t="s">
        <v>258</v>
      </c>
      <c r="F192" s="43">
        <v>1</v>
      </c>
      <c r="G192" s="48">
        <v>4</v>
      </c>
      <c r="H192" s="51"/>
      <c r="I192" s="51"/>
      <c r="J192" s="5"/>
      <c r="K192" s="108"/>
      <c r="L192" s="1"/>
      <c r="S192" s="117" t="s">
        <v>5</v>
      </c>
      <c r="T192" s="257" t="s">
        <v>74</v>
      </c>
      <c r="U192" s="257">
        <v>6</v>
      </c>
      <c r="V192" s="257">
        <v>5</v>
      </c>
      <c r="W192" s="257" t="s">
        <v>214</v>
      </c>
      <c r="X192" s="257">
        <f t="shared" si="34"/>
        <v>3</v>
      </c>
      <c r="Y192" s="118">
        <f t="shared" si="35"/>
        <v>2</v>
      </c>
    </row>
    <row r="193" spans="1:25" ht="15" thickBot="1" x14ac:dyDescent="0.35">
      <c r="A193" s="156"/>
      <c r="B193" s="273"/>
      <c r="C193" s="83"/>
      <c r="D193" s="80"/>
      <c r="E193" s="80"/>
      <c r="F193" s="80" t="s">
        <v>170</v>
      </c>
      <c r="G193" s="84" t="s">
        <v>274</v>
      </c>
      <c r="H193" s="81"/>
      <c r="I193" s="81"/>
      <c r="J193" s="5"/>
      <c r="K193" s="108"/>
      <c r="L193" s="1"/>
      <c r="S193" s="122"/>
      <c r="T193" s="17"/>
      <c r="U193" s="17"/>
      <c r="V193" s="17"/>
      <c r="W193" s="17"/>
      <c r="X193" s="17"/>
      <c r="Y193" s="123"/>
    </row>
    <row r="194" spans="1:25" x14ac:dyDescent="0.3">
      <c r="A194" s="156"/>
      <c r="B194" s="273"/>
      <c r="C194" s="82">
        <v>35975</v>
      </c>
      <c r="D194" s="43" t="s">
        <v>88</v>
      </c>
      <c r="E194" s="43" t="s">
        <v>4</v>
      </c>
      <c r="F194" s="43">
        <v>2</v>
      </c>
      <c r="G194" s="48">
        <v>1</v>
      </c>
      <c r="H194" s="51"/>
      <c r="I194" s="51"/>
      <c r="J194" s="5"/>
      <c r="K194" s="108"/>
      <c r="L194" s="1"/>
      <c r="S194" s="117"/>
      <c r="T194" s="257"/>
      <c r="U194" s="257"/>
      <c r="V194" s="257"/>
      <c r="W194" s="257"/>
      <c r="X194" s="126"/>
      <c r="Y194" s="125"/>
    </row>
    <row r="195" spans="1:25" s="13" customFormat="1" ht="15" thickBot="1" x14ac:dyDescent="0.35">
      <c r="A195" s="156"/>
      <c r="B195" s="273"/>
      <c r="C195" s="83"/>
      <c r="D195" s="80"/>
      <c r="E195" s="80"/>
      <c r="F195" s="80" t="s">
        <v>170</v>
      </c>
      <c r="G195" s="84" t="s">
        <v>171</v>
      </c>
      <c r="H195" s="81"/>
      <c r="I195" s="81"/>
      <c r="J195" s="5"/>
      <c r="K195" s="108"/>
      <c r="L195" s="10"/>
      <c r="S195" s="122"/>
      <c r="T195" s="17"/>
      <c r="U195" s="17"/>
      <c r="V195" s="17"/>
      <c r="W195" s="17"/>
      <c r="X195" s="126"/>
      <c r="Y195" s="125"/>
    </row>
    <row r="196" spans="1:25" s="13" customFormat="1" x14ac:dyDescent="0.3">
      <c r="A196" s="156"/>
      <c r="B196" s="273"/>
      <c r="C196" s="82">
        <v>35975</v>
      </c>
      <c r="D196" s="43" t="s">
        <v>63</v>
      </c>
      <c r="E196" s="43" t="s">
        <v>8</v>
      </c>
      <c r="F196" s="43">
        <v>2</v>
      </c>
      <c r="G196" s="48">
        <v>1</v>
      </c>
      <c r="H196" s="51"/>
      <c r="I196" s="51"/>
      <c r="J196" s="5"/>
      <c r="K196" s="108"/>
      <c r="L196" s="10"/>
      <c r="S196" s="117"/>
      <c r="T196" s="257"/>
      <c r="U196" s="257"/>
      <c r="V196" s="257"/>
      <c r="W196" s="257"/>
      <c r="X196" s="257"/>
      <c r="Y196" s="118"/>
    </row>
    <row r="197" spans="1:25" s="13" customFormat="1" ht="15" thickBot="1" x14ac:dyDescent="0.35">
      <c r="A197" s="156"/>
      <c r="B197" s="273"/>
      <c r="C197" s="83"/>
      <c r="D197" s="80"/>
      <c r="E197" s="80"/>
      <c r="F197" s="80" t="s">
        <v>172</v>
      </c>
      <c r="G197" s="84" t="s">
        <v>171</v>
      </c>
      <c r="H197" s="81"/>
      <c r="I197" s="81"/>
      <c r="J197" s="5"/>
      <c r="K197" s="108"/>
      <c r="S197" s="117"/>
      <c r="T197" s="257"/>
      <c r="U197" s="257"/>
      <c r="V197" s="257"/>
      <c r="W197" s="257"/>
      <c r="X197" s="126"/>
      <c r="Y197" s="125"/>
    </row>
    <row r="198" spans="1:25" s="13" customFormat="1" x14ac:dyDescent="0.3">
      <c r="A198" s="156"/>
      <c r="B198" s="273"/>
      <c r="C198" s="82">
        <v>35976</v>
      </c>
      <c r="D198" s="43" t="s">
        <v>16</v>
      </c>
      <c r="E198" s="43" t="s">
        <v>353</v>
      </c>
      <c r="F198" s="43">
        <v>0</v>
      </c>
      <c r="G198" s="48">
        <v>1</v>
      </c>
      <c r="H198" s="51"/>
      <c r="I198" s="51"/>
      <c r="J198" s="5"/>
      <c r="K198" s="108"/>
      <c r="S198" s="117"/>
      <c r="T198" s="257"/>
      <c r="U198" s="257"/>
      <c r="V198" s="257"/>
      <c r="W198" s="257"/>
      <c r="X198" s="126"/>
      <c r="Y198" s="125"/>
    </row>
    <row r="199" spans="1:25" ht="15" thickBot="1" x14ac:dyDescent="0.35">
      <c r="A199" s="156"/>
      <c r="B199" s="273"/>
      <c r="C199" s="83"/>
      <c r="D199" s="80"/>
      <c r="E199" s="80"/>
      <c r="F199" s="80" t="s">
        <v>170</v>
      </c>
      <c r="G199" s="84" t="s">
        <v>183</v>
      </c>
      <c r="H199" s="81"/>
      <c r="I199" s="81"/>
      <c r="J199" s="5"/>
      <c r="K199" s="108"/>
      <c r="L199" s="1"/>
      <c r="S199" s="117"/>
      <c r="T199" s="257"/>
      <c r="U199" s="257"/>
      <c r="V199" s="257"/>
      <c r="W199" s="257"/>
      <c r="X199" s="257"/>
      <c r="Y199" s="118"/>
    </row>
    <row r="200" spans="1:25" s="13" customFormat="1" x14ac:dyDescent="0.3">
      <c r="A200" s="156"/>
      <c r="B200" s="273"/>
      <c r="C200" s="82">
        <v>35976</v>
      </c>
      <c r="D200" s="43" t="s">
        <v>5</v>
      </c>
      <c r="E200" s="43" t="s">
        <v>74</v>
      </c>
      <c r="F200" s="43">
        <v>4</v>
      </c>
      <c r="G200" s="48">
        <v>3</v>
      </c>
      <c r="H200" s="51" t="s">
        <v>214</v>
      </c>
      <c r="I200" s="51"/>
      <c r="J200" s="5"/>
      <c r="K200" s="108"/>
      <c r="L200" s="10"/>
      <c r="S200" s="117"/>
      <c r="T200" s="257"/>
      <c r="U200" s="257"/>
      <c r="V200" s="257"/>
      <c r="W200" s="257"/>
      <c r="X200" s="257"/>
      <c r="Y200" s="118"/>
    </row>
    <row r="201" spans="1:25" s="13" customFormat="1" x14ac:dyDescent="0.3">
      <c r="A201" s="156"/>
      <c r="B201" s="273"/>
      <c r="C201" s="49"/>
      <c r="D201" s="43"/>
      <c r="E201" s="43"/>
      <c r="F201" s="43">
        <v>2</v>
      </c>
      <c r="G201" s="48">
        <v>2</v>
      </c>
      <c r="H201" s="51" t="s">
        <v>30</v>
      </c>
      <c r="I201" s="51"/>
      <c r="J201" s="5"/>
      <c r="K201" s="108"/>
      <c r="L201" s="10"/>
      <c r="S201" s="117"/>
      <c r="T201" s="257"/>
      <c r="U201" s="257"/>
      <c r="V201" s="257"/>
      <c r="W201" s="257"/>
      <c r="X201" s="257"/>
      <c r="Y201" s="118"/>
    </row>
    <row r="202" spans="1:25" s="13" customFormat="1" x14ac:dyDescent="0.3">
      <c r="A202" s="156"/>
      <c r="B202" s="273"/>
      <c r="C202" s="49"/>
      <c r="D202" s="49"/>
      <c r="E202" s="49"/>
      <c r="F202" s="49">
        <v>2</v>
      </c>
      <c r="G202" s="51">
        <v>2</v>
      </c>
      <c r="H202" s="51"/>
      <c r="I202" s="51"/>
      <c r="J202" s="5"/>
      <c r="K202" s="108"/>
      <c r="L202" s="10"/>
      <c r="S202" s="117"/>
      <c r="T202" s="257"/>
      <c r="U202" s="257"/>
      <c r="V202" s="257"/>
      <c r="W202" s="257"/>
      <c r="X202" s="257"/>
      <c r="Y202" s="118"/>
    </row>
    <row r="203" spans="1:25" s="13" customFormat="1" x14ac:dyDescent="0.3">
      <c r="A203" s="156"/>
      <c r="B203" s="273"/>
      <c r="C203" s="49"/>
      <c r="D203" s="49"/>
      <c r="E203" s="49"/>
      <c r="F203" s="49" t="s">
        <v>215</v>
      </c>
      <c r="G203" s="51" t="s">
        <v>173</v>
      </c>
      <c r="H203" s="51"/>
      <c r="I203" s="51"/>
      <c r="J203" s="5"/>
      <c r="K203" s="108"/>
      <c r="S203" s="117"/>
      <c r="T203" s="257"/>
      <c r="U203" s="257"/>
      <c r="V203" s="257"/>
      <c r="W203" s="257"/>
      <c r="X203" s="257"/>
      <c r="Y203" s="118"/>
    </row>
    <row r="204" spans="1:25" s="13" customFormat="1" x14ac:dyDescent="0.3">
      <c r="A204" s="156"/>
      <c r="B204" s="273"/>
      <c r="C204" s="273"/>
      <c r="D204" s="273"/>
      <c r="E204" s="273"/>
      <c r="F204" s="273"/>
      <c r="G204" s="5"/>
      <c r="H204" s="5"/>
      <c r="I204" s="5"/>
      <c r="J204" s="5"/>
      <c r="K204" s="108"/>
      <c r="L204" s="10"/>
      <c r="S204" s="117"/>
      <c r="T204" s="257"/>
      <c r="U204" s="257"/>
      <c r="V204" s="257"/>
      <c r="W204" s="257"/>
      <c r="X204" s="126"/>
      <c r="Y204" s="125"/>
    </row>
    <row r="205" spans="1:25" s="13" customFormat="1" x14ac:dyDescent="0.3">
      <c r="A205" s="156"/>
      <c r="B205" s="273"/>
      <c r="C205" s="273"/>
      <c r="D205" s="273"/>
      <c r="E205" s="273"/>
      <c r="F205" s="273"/>
      <c r="G205" s="5"/>
      <c r="H205" s="5"/>
      <c r="I205" s="5"/>
      <c r="J205" s="5"/>
      <c r="K205" s="108"/>
      <c r="L205" s="10"/>
      <c r="S205" s="117"/>
      <c r="T205" s="257"/>
      <c r="U205" s="257"/>
      <c r="V205" s="257"/>
      <c r="W205" s="257"/>
      <c r="X205" s="257"/>
      <c r="Y205" s="118"/>
    </row>
    <row r="206" spans="1:25" s="13" customFormat="1" ht="21" x14ac:dyDescent="0.4">
      <c r="A206" s="156"/>
      <c r="B206" s="273"/>
      <c r="C206" s="273"/>
      <c r="D206" s="273"/>
      <c r="E206" s="273"/>
      <c r="F206" s="272" t="s">
        <v>456</v>
      </c>
      <c r="G206" s="5"/>
      <c r="H206" s="5"/>
      <c r="I206" s="5"/>
      <c r="J206" s="5"/>
      <c r="K206" s="108"/>
      <c r="S206" s="117"/>
      <c r="T206" s="257"/>
      <c r="U206" s="257"/>
      <c r="V206" s="257"/>
      <c r="W206" s="257"/>
      <c r="X206" s="257"/>
      <c r="Y206" s="118"/>
    </row>
    <row r="207" spans="1:25" s="13" customFormat="1" x14ac:dyDescent="0.3">
      <c r="A207" s="156"/>
      <c r="B207" s="273"/>
      <c r="C207" s="273"/>
      <c r="D207" s="49"/>
      <c r="E207" s="49"/>
      <c r="F207" s="49"/>
      <c r="G207" s="51"/>
      <c r="H207" s="51"/>
      <c r="I207" s="5"/>
      <c r="J207" s="5"/>
      <c r="K207" s="108"/>
      <c r="L207" s="10"/>
      <c r="S207" s="117"/>
      <c r="T207" s="257"/>
      <c r="U207" s="257"/>
      <c r="V207" s="257"/>
      <c r="W207" s="257"/>
      <c r="X207" s="257"/>
      <c r="Y207" s="118"/>
    </row>
    <row r="208" spans="1:25" s="13" customFormat="1" x14ac:dyDescent="0.3">
      <c r="A208" s="156"/>
      <c r="B208" s="273"/>
      <c r="C208" s="40">
        <v>35979</v>
      </c>
      <c r="D208" s="49" t="s">
        <v>37</v>
      </c>
      <c r="E208" s="43" t="s">
        <v>3</v>
      </c>
      <c r="F208" s="43">
        <v>3</v>
      </c>
      <c r="G208" s="48">
        <v>4</v>
      </c>
      <c r="H208" s="48" t="s">
        <v>214</v>
      </c>
      <c r="I208" s="5"/>
      <c r="J208" s="5"/>
      <c r="K208" s="108"/>
      <c r="S208" s="117" t="s">
        <v>37</v>
      </c>
      <c r="T208" s="257" t="s">
        <v>3</v>
      </c>
      <c r="U208" s="257">
        <v>3</v>
      </c>
      <c r="V208" s="257">
        <v>4</v>
      </c>
      <c r="W208" s="257" t="s">
        <v>214</v>
      </c>
      <c r="X208" s="126">
        <f t="shared" ref="X208:X211" si="38">(IF(U208&gt;V208,3,IF(U208=V208,1,2)))</f>
        <v>2</v>
      </c>
      <c r="Y208" s="125">
        <f t="shared" ref="Y208:Y211" si="39">(IF(V208&gt;U208,3,IF(U208=V208,1,2)))</f>
        <v>3</v>
      </c>
    </row>
    <row r="209" spans="1:25" s="13" customFormat="1" x14ac:dyDescent="0.3">
      <c r="A209" s="156"/>
      <c r="B209" s="273"/>
      <c r="C209" s="40"/>
      <c r="D209" s="49"/>
      <c r="E209" s="43"/>
      <c r="F209" s="43">
        <v>0</v>
      </c>
      <c r="G209" s="48">
        <v>0</v>
      </c>
      <c r="H209" s="48" t="s">
        <v>30</v>
      </c>
      <c r="I209" s="5"/>
      <c r="J209" s="5"/>
      <c r="K209" s="108"/>
      <c r="S209" s="117" t="s">
        <v>9</v>
      </c>
      <c r="T209" s="265" t="s">
        <v>258</v>
      </c>
      <c r="U209" s="265">
        <v>3</v>
      </c>
      <c r="V209" s="265">
        <v>2</v>
      </c>
      <c r="W209" s="265"/>
      <c r="X209" s="126">
        <f t="shared" si="38"/>
        <v>3</v>
      </c>
      <c r="Y209" s="125">
        <f t="shared" si="39"/>
        <v>2</v>
      </c>
    </row>
    <row r="210" spans="1:25" s="13" customFormat="1" x14ac:dyDescent="0.3">
      <c r="A210" s="156"/>
      <c r="B210" s="273"/>
      <c r="C210" s="40"/>
      <c r="D210" s="49"/>
      <c r="E210" s="43"/>
      <c r="F210" s="43">
        <v>0</v>
      </c>
      <c r="G210" s="48">
        <v>0</v>
      </c>
      <c r="H210" s="48"/>
      <c r="I210" s="5"/>
      <c r="J210" s="5"/>
      <c r="K210" s="108"/>
      <c r="S210" s="117" t="s">
        <v>63</v>
      </c>
      <c r="T210" s="265" t="s">
        <v>5</v>
      </c>
      <c r="U210" s="265">
        <v>2</v>
      </c>
      <c r="V210" s="265">
        <v>1</v>
      </c>
      <c r="W210" s="265"/>
      <c r="X210" s="126">
        <f t="shared" si="38"/>
        <v>3</v>
      </c>
      <c r="Y210" s="125">
        <f t="shared" si="39"/>
        <v>2</v>
      </c>
    </row>
    <row r="211" spans="1:25" s="13" customFormat="1" ht="15" thickBot="1" x14ac:dyDescent="0.35">
      <c r="A211" s="156"/>
      <c r="B211" s="273"/>
      <c r="C211" s="58"/>
      <c r="D211" s="80"/>
      <c r="E211" s="80"/>
      <c r="F211" s="80" t="s">
        <v>170</v>
      </c>
      <c r="G211" s="84" t="s">
        <v>171</v>
      </c>
      <c r="H211" s="84"/>
      <c r="I211" s="8"/>
      <c r="J211" s="5"/>
      <c r="K211" s="108"/>
      <c r="L211" s="10"/>
      <c r="S211" s="117" t="s">
        <v>88</v>
      </c>
      <c r="T211" s="257" t="s">
        <v>353</v>
      </c>
      <c r="U211" s="257">
        <v>0</v>
      </c>
      <c r="V211" s="257">
        <v>3</v>
      </c>
      <c r="W211" s="257"/>
      <c r="X211" s="126">
        <f t="shared" si="38"/>
        <v>2</v>
      </c>
      <c r="Y211" s="125">
        <f t="shared" si="39"/>
        <v>3</v>
      </c>
    </row>
    <row r="212" spans="1:25" s="13" customFormat="1" x14ac:dyDescent="0.3">
      <c r="A212" s="156"/>
      <c r="B212" s="273"/>
      <c r="C212" s="40">
        <v>35979</v>
      </c>
      <c r="D212" s="43" t="s">
        <v>9</v>
      </c>
      <c r="E212" s="43" t="s">
        <v>258</v>
      </c>
      <c r="F212" s="43">
        <v>3</v>
      </c>
      <c r="G212" s="48">
        <v>2</v>
      </c>
      <c r="H212" s="48"/>
      <c r="I212" s="5"/>
      <c r="J212" s="5"/>
      <c r="K212" s="108"/>
      <c r="L212" s="10"/>
      <c r="S212" s="117"/>
      <c r="T212" s="257"/>
      <c r="U212" s="257"/>
      <c r="V212" s="257"/>
      <c r="W212" s="257"/>
      <c r="X212" s="126"/>
      <c r="Y212" s="125"/>
    </row>
    <row r="213" spans="1:25" s="13" customFormat="1" ht="15" thickBot="1" x14ac:dyDescent="0.35">
      <c r="A213" s="156"/>
      <c r="B213" s="273"/>
      <c r="C213" s="58"/>
      <c r="D213" s="80"/>
      <c r="E213" s="80"/>
      <c r="F213" s="80" t="s">
        <v>215</v>
      </c>
      <c r="G213" s="84" t="s">
        <v>183</v>
      </c>
      <c r="H213" s="84"/>
      <c r="I213" s="8"/>
      <c r="J213" s="5"/>
      <c r="K213" s="108"/>
      <c r="L213" s="10"/>
      <c r="S213" s="117"/>
      <c r="T213" s="257"/>
      <c r="U213" s="257"/>
      <c r="V213" s="257"/>
      <c r="W213" s="257"/>
      <c r="X213" s="126"/>
      <c r="Y213" s="125"/>
    </row>
    <row r="214" spans="1:25" s="13" customFormat="1" x14ac:dyDescent="0.3">
      <c r="A214" s="156"/>
      <c r="B214" s="273"/>
      <c r="C214" s="40">
        <v>35980</v>
      </c>
      <c r="D214" s="43" t="s">
        <v>63</v>
      </c>
      <c r="E214" s="43" t="s">
        <v>5</v>
      </c>
      <c r="F214" s="43">
        <v>2</v>
      </c>
      <c r="G214" s="48">
        <v>1</v>
      </c>
      <c r="H214" s="48"/>
      <c r="I214" s="5"/>
      <c r="J214" s="5"/>
      <c r="K214" s="108"/>
      <c r="S214" s="117"/>
      <c r="T214" s="257"/>
      <c r="U214" s="257"/>
      <c r="V214" s="257"/>
      <c r="W214" s="257"/>
      <c r="X214" s="126"/>
      <c r="Y214" s="125"/>
    </row>
    <row r="215" spans="1:25" s="13" customFormat="1" ht="15" thickBot="1" x14ac:dyDescent="0.35">
      <c r="A215" s="156"/>
      <c r="B215" s="273"/>
      <c r="C215" s="58"/>
      <c r="D215" s="80"/>
      <c r="E215" s="80"/>
      <c r="F215" s="80" t="s">
        <v>172</v>
      </c>
      <c r="G215" s="84" t="s">
        <v>183</v>
      </c>
      <c r="H215" s="84"/>
      <c r="I215" s="8"/>
      <c r="J215" s="5"/>
      <c r="K215" s="108"/>
      <c r="L215" s="10"/>
      <c r="S215" s="117"/>
      <c r="T215" s="257"/>
      <c r="U215" s="257"/>
      <c r="V215" s="257"/>
      <c r="W215" s="257"/>
      <c r="X215" s="126"/>
      <c r="Y215" s="125"/>
    </row>
    <row r="216" spans="1:25" s="13" customFormat="1" x14ac:dyDescent="0.3">
      <c r="A216" s="156"/>
      <c r="B216" s="273"/>
      <c r="C216" s="40">
        <v>35980</v>
      </c>
      <c r="D216" s="43" t="s">
        <v>88</v>
      </c>
      <c r="E216" s="43" t="s">
        <v>353</v>
      </c>
      <c r="F216" s="43">
        <v>0</v>
      </c>
      <c r="G216" s="48">
        <v>3</v>
      </c>
      <c r="H216" s="48"/>
      <c r="I216" s="5"/>
      <c r="J216" s="5"/>
      <c r="K216" s="108"/>
      <c r="S216" s="117"/>
      <c r="T216" s="257"/>
      <c r="U216" s="257"/>
      <c r="V216" s="257"/>
      <c r="W216" s="257"/>
      <c r="X216" s="126"/>
      <c r="Y216" s="125"/>
    </row>
    <row r="217" spans="1:25" s="13" customFormat="1" x14ac:dyDescent="0.3">
      <c r="A217" s="156"/>
      <c r="B217" s="273"/>
      <c r="C217" s="273"/>
      <c r="D217" s="43"/>
      <c r="E217" s="43"/>
      <c r="F217" s="43" t="s">
        <v>170</v>
      </c>
      <c r="G217" s="48" t="s">
        <v>183</v>
      </c>
      <c r="H217" s="48"/>
      <c r="I217" s="5"/>
      <c r="J217" s="5"/>
      <c r="K217" s="108"/>
      <c r="S217" s="117"/>
      <c r="T217" s="257"/>
      <c r="U217" s="257"/>
      <c r="V217" s="257"/>
      <c r="W217" s="257"/>
      <c r="X217" s="257"/>
      <c r="Y217" s="118"/>
    </row>
    <row r="218" spans="1:25" s="13" customFormat="1" x14ac:dyDescent="0.3">
      <c r="A218" s="156"/>
      <c r="B218" s="273"/>
      <c r="C218" s="273"/>
      <c r="D218" s="17"/>
      <c r="E218" s="17"/>
      <c r="F218" s="17"/>
      <c r="G218" s="18"/>
      <c r="H218" s="18"/>
      <c r="I218" s="5"/>
      <c r="J218" s="5"/>
      <c r="K218" s="108"/>
      <c r="L218" s="10"/>
      <c r="S218" s="117"/>
      <c r="T218" s="257"/>
      <c r="U218" s="257"/>
      <c r="V218" s="257"/>
      <c r="W218" s="257"/>
      <c r="X218" s="257"/>
      <c r="Y218" s="118"/>
    </row>
    <row r="219" spans="1:25" s="13" customFormat="1" x14ac:dyDescent="0.3">
      <c r="A219" s="24"/>
      <c r="B219" s="17"/>
      <c r="C219" s="17"/>
      <c r="D219" s="17"/>
      <c r="E219" s="17"/>
      <c r="F219" s="17"/>
      <c r="G219" s="18"/>
      <c r="H219" s="18"/>
      <c r="I219" s="18"/>
      <c r="J219" s="18"/>
      <c r="K219" s="108"/>
      <c r="L219" s="10"/>
      <c r="S219" s="117"/>
      <c r="T219" s="257"/>
      <c r="U219" s="257"/>
      <c r="V219" s="257"/>
      <c r="W219" s="257"/>
      <c r="X219" s="257"/>
      <c r="Y219" s="118"/>
    </row>
    <row r="220" spans="1:25" s="13" customFormat="1" ht="21" x14ac:dyDescent="0.4">
      <c r="A220" s="24"/>
      <c r="B220" s="17"/>
      <c r="C220" s="17"/>
      <c r="D220" s="17"/>
      <c r="E220" s="17"/>
      <c r="F220" s="70" t="s">
        <v>458</v>
      </c>
      <c r="G220" s="18"/>
      <c r="H220" s="18"/>
      <c r="I220" s="18"/>
      <c r="J220" s="18"/>
      <c r="K220" s="108"/>
      <c r="L220" s="10"/>
      <c r="S220" s="117"/>
      <c r="T220" s="257"/>
      <c r="U220" s="257"/>
      <c r="V220" s="257"/>
      <c r="W220" s="257"/>
      <c r="X220" s="257"/>
      <c r="Y220" s="118"/>
    </row>
    <row r="221" spans="1:25" s="13" customFormat="1" x14ac:dyDescent="0.3">
      <c r="A221" s="156"/>
      <c r="B221" s="28"/>
      <c r="C221" s="273"/>
      <c r="D221" s="49"/>
      <c r="E221" s="49"/>
      <c r="F221" s="49"/>
      <c r="G221" s="51"/>
      <c r="H221" s="5"/>
      <c r="I221" s="5"/>
      <c r="J221" s="5"/>
      <c r="K221" s="108"/>
      <c r="L221" s="10"/>
      <c r="S221" s="117"/>
      <c r="T221" s="259"/>
      <c r="U221" s="259"/>
      <c r="V221" s="259"/>
      <c r="W221" s="259"/>
      <c r="X221" s="259"/>
      <c r="Y221" s="118"/>
    </row>
    <row r="222" spans="1:25" s="13" customFormat="1" x14ac:dyDescent="0.3">
      <c r="A222" s="186"/>
      <c r="B222" s="95"/>
      <c r="C222" s="165">
        <v>35983</v>
      </c>
      <c r="D222" s="43" t="s">
        <v>9</v>
      </c>
      <c r="E222" s="43" t="s">
        <v>63</v>
      </c>
      <c r="F222" s="43">
        <v>4</v>
      </c>
      <c r="G222" s="43">
        <v>2</v>
      </c>
      <c r="H222" s="17" t="s">
        <v>214</v>
      </c>
      <c r="I222" s="18"/>
      <c r="J222" s="18"/>
      <c r="K222" s="109"/>
      <c r="S222" s="117" t="s">
        <v>9</v>
      </c>
      <c r="T222" s="259" t="s">
        <v>63</v>
      </c>
      <c r="U222" s="259">
        <v>5</v>
      </c>
      <c r="V222" s="259">
        <v>3</v>
      </c>
      <c r="W222" s="259" t="s">
        <v>214</v>
      </c>
      <c r="X222" s="126">
        <f t="shared" ref="X222:X223" si="40">(IF(U222&gt;V222,3,IF(U222=V222,1,2)))</f>
        <v>3</v>
      </c>
      <c r="Y222" s="125">
        <f t="shared" ref="Y222:Y223" si="41">(IF(V222&gt;U222,3,IF(U222=V222,1,2)))</f>
        <v>2</v>
      </c>
    </row>
    <row r="223" spans="1:25" s="13" customFormat="1" x14ac:dyDescent="0.3">
      <c r="A223" s="186"/>
      <c r="B223" s="95"/>
      <c r="C223" s="165"/>
      <c r="D223" s="43"/>
      <c r="E223" s="43"/>
      <c r="F223" s="43">
        <v>1</v>
      </c>
      <c r="G223" s="43">
        <v>1</v>
      </c>
      <c r="H223" s="17" t="s">
        <v>30</v>
      </c>
      <c r="I223" s="18"/>
      <c r="J223" s="18"/>
      <c r="K223" s="109"/>
      <c r="S223" s="117" t="s">
        <v>3</v>
      </c>
      <c r="T223" s="268" t="s">
        <v>353</v>
      </c>
      <c r="U223" s="268">
        <v>2</v>
      </c>
      <c r="V223" s="268">
        <v>1</v>
      </c>
      <c r="W223" s="268"/>
      <c r="X223" s="126">
        <f t="shared" si="40"/>
        <v>3</v>
      </c>
      <c r="Y223" s="125">
        <f t="shared" si="41"/>
        <v>2</v>
      </c>
    </row>
    <row r="224" spans="1:25" s="13" customFormat="1" x14ac:dyDescent="0.3">
      <c r="A224" s="186"/>
      <c r="B224" s="95"/>
      <c r="C224" s="165"/>
      <c r="D224" s="43"/>
      <c r="E224" s="43"/>
      <c r="F224" s="43">
        <v>1</v>
      </c>
      <c r="G224" s="43">
        <v>1</v>
      </c>
      <c r="H224" s="17"/>
      <c r="I224" s="18"/>
      <c r="J224" s="18"/>
      <c r="K224" s="109"/>
      <c r="S224" s="117"/>
      <c r="T224" s="268"/>
      <c r="U224" s="268"/>
      <c r="V224" s="268"/>
      <c r="W224" s="268"/>
      <c r="X224" s="268"/>
      <c r="Y224" s="118"/>
    </row>
    <row r="225" spans="1:25" s="13" customFormat="1" ht="15" thickBot="1" x14ac:dyDescent="0.35">
      <c r="A225" s="186"/>
      <c r="B225" s="95"/>
      <c r="C225" s="62"/>
      <c r="D225" s="80"/>
      <c r="E225" s="80"/>
      <c r="F225" s="80" t="s">
        <v>170</v>
      </c>
      <c r="G225" s="80" t="s">
        <v>171</v>
      </c>
      <c r="H225" s="30"/>
      <c r="I225" s="31"/>
      <c r="J225" s="18"/>
      <c r="K225" s="109"/>
      <c r="L225" s="10"/>
      <c r="S225" s="117"/>
      <c r="T225" s="259"/>
      <c r="U225" s="259"/>
      <c r="V225" s="259"/>
      <c r="W225" s="259"/>
      <c r="X225" s="259"/>
      <c r="Y225" s="118"/>
    </row>
    <row r="226" spans="1:25" x14ac:dyDescent="0.3">
      <c r="A226" s="186"/>
      <c r="B226" s="95"/>
      <c r="C226" s="165">
        <v>35984</v>
      </c>
      <c r="D226" s="43" t="s">
        <v>3</v>
      </c>
      <c r="E226" s="43" t="s">
        <v>353</v>
      </c>
      <c r="F226" s="43">
        <v>2</v>
      </c>
      <c r="G226" s="43">
        <v>1</v>
      </c>
      <c r="H226" s="17"/>
      <c r="I226" s="18"/>
      <c r="J226" s="18"/>
      <c r="K226" s="109"/>
      <c r="S226" s="117"/>
      <c r="X226" s="126"/>
      <c r="Y226" s="125"/>
    </row>
    <row r="227" spans="1:25" x14ac:dyDescent="0.3">
      <c r="A227" s="156"/>
      <c r="B227" s="273"/>
      <c r="C227" s="273"/>
      <c r="D227" s="49"/>
      <c r="E227" s="49"/>
      <c r="F227" s="49" t="s">
        <v>170</v>
      </c>
      <c r="G227" s="51" t="s">
        <v>171</v>
      </c>
      <c r="H227" s="5"/>
      <c r="I227" s="5"/>
      <c r="J227" s="5"/>
      <c r="K227" s="108"/>
      <c r="S227" s="117"/>
      <c r="X227" s="126"/>
      <c r="Y227" s="125"/>
    </row>
    <row r="228" spans="1:25" x14ac:dyDescent="0.3">
      <c r="A228" s="156"/>
      <c r="B228" s="273"/>
      <c r="C228" s="273"/>
      <c r="D228" s="49"/>
      <c r="E228" s="49"/>
      <c r="F228" s="49"/>
      <c r="G228" s="51"/>
      <c r="H228" s="5"/>
      <c r="I228" s="5"/>
      <c r="J228" s="5"/>
      <c r="K228" s="108"/>
      <c r="S228" s="117"/>
      <c r="Y228" s="118"/>
    </row>
    <row r="229" spans="1:25" ht="15" thickBot="1" x14ac:dyDescent="0.35">
      <c r="A229" s="156"/>
      <c r="B229" s="273"/>
      <c r="C229" s="273"/>
      <c r="D229" s="273"/>
      <c r="E229" s="273"/>
      <c r="F229" s="273"/>
      <c r="G229" s="5"/>
      <c r="H229" s="5"/>
      <c r="I229" s="5"/>
      <c r="J229" s="5"/>
      <c r="K229" s="108"/>
      <c r="S229" s="117"/>
      <c r="Y229" s="118"/>
    </row>
    <row r="230" spans="1:25" ht="21" x14ac:dyDescent="0.4">
      <c r="A230" s="156"/>
      <c r="B230" s="273"/>
      <c r="C230" s="420" t="s">
        <v>461</v>
      </c>
      <c r="D230" s="444"/>
      <c r="E230" s="444"/>
      <c r="F230" s="444"/>
      <c r="G230" s="444"/>
      <c r="H230" s="444"/>
      <c r="I230" s="445"/>
      <c r="J230" s="5"/>
      <c r="K230" s="93"/>
      <c r="S230" s="117"/>
      <c r="Y230" s="118"/>
    </row>
    <row r="231" spans="1:25" ht="14.4" customHeight="1" x14ac:dyDescent="0.4">
      <c r="A231" s="156"/>
      <c r="B231" s="387"/>
      <c r="C231" s="364"/>
      <c r="D231" s="388"/>
      <c r="E231" s="388"/>
      <c r="F231" s="388"/>
      <c r="G231" s="388"/>
      <c r="H231" s="388"/>
      <c r="I231" s="384"/>
      <c r="J231" s="5"/>
      <c r="K231" s="391"/>
      <c r="S231" s="117"/>
      <c r="T231" s="357"/>
      <c r="U231" s="357"/>
      <c r="V231" s="357"/>
      <c r="W231" s="357"/>
      <c r="X231" s="357"/>
      <c r="Y231" s="118"/>
    </row>
    <row r="232" spans="1:25" x14ac:dyDescent="0.3">
      <c r="A232" s="194"/>
      <c r="B232" s="17"/>
      <c r="C232" s="21"/>
      <c r="D232" s="43" t="s">
        <v>63</v>
      </c>
      <c r="E232" s="85" t="s">
        <v>353</v>
      </c>
      <c r="F232" s="17">
        <v>1</v>
      </c>
      <c r="G232" s="18">
        <v>2</v>
      </c>
      <c r="I232" s="22"/>
      <c r="J232" s="18"/>
      <c r="K232" s="35"/>
      <c r="S232" s="117" t="s">
        <v>63</v>
      </c>
      <c r="T232" s="259" t="s">
        <v>353</v>
      </c>
      <c r="U232" s="259">
        <v>1</v>
      </c>
      <c r="V232" s="259">
        <v>2</v>
      </c>
      <c r="X232" s="126">
        <f t="shared" ref="X232" si="42">(IF(U232&gt;V232,3,IF(U232=V232,1,2)))</f>
        <v>2</v>
      </c>
      <c r="Y232" s="125">
        <f t="shared" ref="Y232" si="43">(IF(V232&gt;U232,3,IF(U232=V232,1,2)))</f>
        <v>3</v>
      </c>
    </row>
    <row r="233" spans="1:25" x14ac:dyDescent="0.3">
      <c r="A233" s="156"/>
      <c r="B233" s="273"/>
      <c r="C233" s="3"/>
      <c r="D233" s="49"/>
      <c r="E233" s="49"/>
      <c r="F233" s="273" t="s">
        <v>172</v>
      </c>
      <c r="G233" s="5" t="s">
        <v>173</v>
      </c>
      <c r="I233" s="6"/>
      <c r="J233" s="5"/>
      <c r="K233" s="93"/>
      <c r="S233" s="117"/>
      <c r="Y233" s="118"/>
    </row>
    <row r="234" spans="1:25" ht="15" thickBot="1" x14ac:dyDescent="0.35">
      <c r="A234" s="156"/>
      <c r="B234" s="273"/>
      <c r="C234" s="7"/>
      <c r="D234" s="276"/>
      <c r="E234" s="276"/>
      <c r="F234" s="276"/>
      <c r="G234" s="276"/>
      <c r="H234" s="8"/>
      <c r="I234" s="9"/>
      <c r="J234" s="5"/>
      <c r="K234" s="93"/>
      <c r="S234" s="117"/>
      <c r="X234" s="126"/>
      <c r="Y234" s="125"/>
    </row>
    <row r="235" spans="1:25" x14ac:dyDescent="0.3">
      <c r="A235" s="156"/>
      <c r="B235" s="273"/>
      <c r="C235" s="273"/>
      <c r="D235" s="273"/>
      <c r="E235" s="273"/>
      <c r="F235" s="273"/>
      <c r="G235" s="273"/>
      <c r="H235" s="5"/>
      <c r="I235" s="5"/>
      <c r="J235" s="5"/>
      <c r="K235" s="93"/>
      <c r="S235" s="117"/>
      <c r="Y235" s="118"/>
    </row>
    <row r="236" spans="1:25" x14ac:dyDescent="0.3">
      <c r="A236" s="156"/>
      <c r="B236" s="273"/>
      <c r="C236" s="273"/>
      <c r="D236" s="273"/>
      <c r="E236" s="273"/>
      <c r="F236" s="273"/>
      <c r="G236" s="273"/>
      <c r="H236" s="5"/>
      <c r="I236" s="5"/>
      <c r="J236" s="5"/>
      <c r="K236" s="93"/>
      <c r="S236" s="117"/>
      <c r="Y236" s="118"/>
    </row>
    <row r="237" spans="1:25" x14ac:dyDescent="0.3">
      <c r="A237" s="156"/>
      <c r="B237" s="273"/>
      <c r="C237" s="273"/>
      <c r="D237" s="273"/>
      <c r="E237" s="273"/>
      <c r="F237" s="273"/>
      <c r="G237" s="273"/>
      <c r="H237" s="5"/>
      <c r="I237" s="5"/>
      <c r="J237" s="5"/>
      <c r="K237" s="93"/>
      <c r="S237" s="117"/>
      <c r="Y237" s="118"/>
    </row>
    <row r="238" spans="1:25" ht="15" thickBot="1" x14ac:dyDescent="0.35">
      <c r="A238" s="156"/>
      <c r="B238" s="273"/>
      <c r="C238" s="273"/>
      <c r="D238" s="273"/>
      <c r="E238" s="273"/>
      <c r="F238" s="273"/>
      <c r="G238" s="273"/>
      <c r="H238" s="5"/>
      <c r="I238" s="5"/>
      <c r="J238" s="5"/>
      <c r="K238" s="93"/>
      <c r="S238" s="117"/>
      <c r="Y238" s="118"/>
    </row>
    <row r="239" spans="1:25" ht="21" x14ac:dyDescent="0.4">
      <c r="A239" s="156"/>
      <c r="B239" s="273"/>
      <c r="C239" s="420" t="s">
        <v>460</v>
      </c>
      <c r="D239" s="444"/>
      <c r="E239" s="444"/>
      <c r="F239" s="444"/>
      <c r="G239" s="444"/>
      <c r="H239" s="444"/>
      <c r="I239" s="445"/>
      <c r="J239" s="5"/>
      <c r="K239" s="93"/>
      <c r="S239" s="117"/>
      <c r="Y239" s="118"/>
    </row>
    <row r="240" spans="1:25" ht="14.4" customHeight="1" x14ac:dyDescent="0.4">
      <c r="A240" s="156"/>
      <c r="B240" s="387"/>
      <c r="C240" s="364"/>
      <c r="D240" s="388"/>
      <c r="E240" s="388"/>
      <c r="F240" s="388"/>
      <c r="G240" s="388"/>
      <c r="H240" s="388"/>
      <c r="I240" s="384"/>
      <c r="J240" s="5"/>
      <c r="K240" s="391"/>
      <c r="S240" s="117"/>
      <c r="T240" s="357"/>
      <c r="U240" s="357"/>
      <c r="V240" s="357"/>
      <c r="W240" s="357"/>
      <c r="X240" s="357"/>
      <c r="Y240" s="118"/>
    </row>
    <row r="241" spans="1:25" x14ac:dyDescent="0.3">
      <c r="A241" s="194"/>
      <c r="B241" s="17"/>
      <c r="C241" s="21"/>
      <c r="D241" s="43" t="s">
        <v>9</v>
      </c>
      <c r="E241" s="64" t="s">
        <v>3</v>
      </c>
      <c r="F241" s="48">
        <v>0</v>
      </c>
      <c r="G241" s="18">
        <v>3</v>
      </c>
      <c r="I241" s="22"/>
      <c r="J241" s="18"/>
      <c r="K241" s="35"/>
      <c r="S241" s="117" t="s">
        <v>9</v>
      </c>
      <c r="T241" s="259" t="s">
        <v>3</v>
      </c>
      <c r="U241" s="259">
        <v>0</v>
      </c>
      <c r="V241" s="259">
        <v>3</v>
      </c>
      <c r="X241" s="126">
        <f t="shared" ref="X241" si="44">(IF(U241&gt;V241,3,IF(U241=V241,1,2)))</f>
        <v>2</v>
      </c>
      <c r="Y241" s="125">
        <f t="shared" ref="Y241" si="45">(IF(V241&gt;U241,3,IF(U241=V241,1,2)))</f>
        <v>3</v>
      </c>
    </row>
    <row r="242" spans="1:25" x14ac:dyDescent="0.3">
      <c r="A242" s="194"/>
      <c r="B242" s="17"/>
      <c r="C242" s="21"/>
      <c r="D242" s="43"/>
      <c r="E242" s="64"/>
      <c r="F242" s="48" t="s">
        <v>170</v>
      </c>
      <c r="G242" s="18" t="s">
        <v>173</v>
      </c>
      <c r="I242" s="22"/>
      <c r="J242" s="18"/>
      <c r="K242" s="35"/>
      <c r="S242" s="117"/>
      <c r="Y242" s="118"/>
    </row>
    <row r="243" spans="1:25" ht="15" thickBot="1" x14ac:dyDescent="0.35">
      <c r="A243" s="156"/>
      <c r="B243" s="273"/>
      <c r="C243" s="7"/>
      <c r="D243" s="276"/>
      <c r="E243" s="276"/>
      <c r="F243" s="276"/>
      <c r="G243" s="8"/>
      <c r="H243" s="8"/>
      <c r="I243" s="9"/>
      <c r="J243" s="5"/>
      <c r="K243" s="93"/>
      <c r="S243" s="119"/>
      <c r="T243" s="120"/>
      <c r="U243" s="120"/>
      <c r="V243" s="120"/>
      <c r="W243" s="120"/>
      <c r="X243" s="120"/>
      <c r="Y243" s="121"/>
    </row>
    <row r="244" spans="1:25" x14ac:dyDescent="0.3">
      <c r="A244" s="156"/>
      <c r="B244" s="273"/>
      <c r="C244" s="273"/>
      <c r="D244" s="273"/>
      <c r="E244" s="273"/>
      <c r="F244" s="273"/>
      <c r="G244" s="5"/>
      <c r="H244" s="5"/>
      <c r="I244" s="5"/>
      <c r="J244" s="5"/>
      <c r="K244" s="93"/>
    </row>
    <row r="245" spans="1:25" x14ac:dyDescent="0.3">
      <c r="A245" s="194"/>
      <c r="B245" s="17"/>
      <c r="C245" s="17"/>
      <c r="D245" s="17"/>
      <c r="E245" s="17"/>
      <c r="F245" s="17"/>
      <c r="G245" s="18"/>
      <c r="H245" s="18"/>
      <c r="I245" s="18"/>
      <c r="J245" s="18"/>
      <c r="K245" s="35"/>
    </row>
    <row r="246" spans="1:25" x14ac:dyDescent="0.3">
      <c r="A246" s="24"/>
      <c r="B246" s="17"/>
      <c r="C246" s="17"/>
      <c r="D246" s="17"/>
      <c r="E246" s="17"/>
      <c r="F246" s="17"/>
      <c r="G246" s="18"/>
      <c r="H246" s="18"/>
      <c r="I246" s="18"/>
      <c r="J246" s="18"/>
      <c r="K246" s="109"/>
    </row>
    <row r="247" spans="1:25" x14ac:dyDescent="0.3">
      <c r="A247" s="24"/>
      <c r="B247" s="17"/>
      <c r="C247" s="17"/>
      <c r="D247" s="17"/>
      <c r="E247" s="17"/>
      <c r="F247" s="17"/>
      <c r="G247" s="18"/>
      <c r="H247" s="18"/>
      <c r="I247" s="18"/>
      <c r="J247" s="18"/>
      <c r="K247" s="109"/>
    </row>
    <row r="248" spans="1:25" ht="15" thickBot="1" x14ac:dyDescent="0.35">
      <c r="A248" s="274"/>
      <c r="B248" s="273" t="s">
        <v>298</v>
      </c>
      <c r="C248" s="273" t="s">
        <v>12</v>
      </c>
      <c r="D248" s="273" t="s">
        <v>13</v>
      </c>
      <c r="E248" s="273" t="s">
        <v>14</v>
      </c>
      <c r="F248" s="273" t="s">
        <v>15</v>
      </c>
      <c r="G248" s="5" t="s">
        <v>24</v>
      </c>
      <c r="H248" s="5" t="s">
        <v>25</v>
      </c>
      <c r="I248" s="5" t="s">
        <v>301</v>
      </c>
      <c r="J248" s="5"/>
      <c r="K248" s="93"/>
    </row>
    <row r="249" spans="1:25" x14ac:dyDescent="0.3">
      <c r="A249" s="24"/>
      <c r="B249" s="14" t="s">
        <v>3</v>
      </c>
      <c r="C249" s="277">
        <f>COUNTIF($S$12:$T$241,"Frankreich")</f>
        <v>7</v>
      </c>
      <c r="D249" s="124">
        <f t="shared" ref="D249:D280" si="46">SUMPRODUCT(($S$12:$T$241=B249)*($X$12:$Y$241=3))</f>
        <v>7</v>
      </c>
      <c r="E249" s="124">
        <f t="shared" ref="E249:E280" si="47">SUMPRODUCT(($S$12:$T$241=B249)*($X$12:$Y$241=1))</f>
        <v>0</v>
      </c>
      <c r="F249" s="124">
        <f t="shared" ref="F249:F280" si="48">SUMPRODUCT(($S$12:$T$241=B249)*($X$12:$Y$241=2))</f>
        <v>0</v>
      </c>
      <c r="G249" s="124">
        <f t="shared" ref="G249:G280" si="49">SUMPRODUCT(($S$12:$S$241=B249)*($U$12:$U$241))+SUMPRODUCT(($T$12:$T$241=B249)*($V$12:$V$241))</f>
        <v>19</v>
      </c>
      <c r="H249" s="124">
        <f t="shared" ref="H249:H280" si="50">SUMPRODUCT(($S$12:$S$241=B249)*($V$12:$V$241))+SUMPRODUCT(($T$12:$T$241=B249)*($U$12:$U$241))</f>
        <v>5</v>
      </c>
      <c r="I249" s="16">
        <f t="shared" ref="I249:I280" si="51">(D249*3)+E249</f>
        <v>21</v>
      </c>
      <c r="J249" s="18"/>
      <c r="K249" s="109"/>
    </row>
    <row r="250" spans="1:25" x14ac:dyDescent="0.3">
      <c r="A250" s="24"/>
      <c r="B250" s="21" t="s">
        <v>9</v>
      </c>
      <c r="C250" s="17">
        <f>COUNTIF($S$12:$T$241,"Brasilien")</f>
        <v>7</v>
      </c>
      <c r="D250" s="43">
        <f t="shared" si="46"/>
        <v>5</v>
      </c>
      <c r="E250" s="43">
        <f t="shared" si="47"/>
        <v>0</v>
      </c>
      <c r="F250" s="43">
        <f t="shared" si="48"/>
        <v>2</v>
      </c>
      <c r="G250" s="43">
        <f t="shared" si="49"/>
        <v>18</v>
      </c>
      <c r="H250" s="43">
        <f t="shared" si="50"/>
        <v>12</v>
      </c>
      <c r="I250" s="22">
        <f t="shared" si="51"/>
        <v>15</v>
      </c>
      <c r="J250" s="18"/>
      <c r="K250" s="109"/>
    </row>
    <row r="251" spans="1:25" x14ac:dyDescent="0.3">
      <c r="A251" s="24"/>
      <c r="B251" s="3" t="s">
        <v>353</v>
      </c>
      <c r="C251" s="17">
        <f>COUNTIF($S$12:$T$241,"Kroatien")</f>
        <v>7</v>
      </c>
      <c r="D251" s="43">
        <f t="shared" si="46"/>
        <v>5</v>
      </c>
      <c r="E251" s="43">
        <f t="shared" si="47"/>
        <v>0</v>
      </c>
      <c r="F251" s="43">
        <f t="shared" si="48"/>
        <v>2</v>
      </c>
      <c r="G251" s="43">
        <f t="shared" si="49"/>
        <v>11</v>
      </c>
      <c r="H251" s="43">
        <f t="shared" si="50"/>
        <v>5</v>
      </c>
      <c r="I251" s="22">
        <f t="shared" si="51"/>
        <v>15</v>
      </c>
      <c r="J251" s="5"/>
      <c r="K251" s="108"/>
    </row>
    <row r="252" spans="1:25" x14ac:dyDescent="0.3">
      <c r="A252" s="24"/>
      <c r="B252" s="3" t="s">
        <v>5</v>
      </c>
      <c r="C252" s="17">
        <f>COUNTIF($S$12:$T$241,"Argentinien")</f>
        <v>5</v>
      </c>
      <c r="D252" s="43">
        <f t="shared" si="46"/>
        <v>4</v>
      </c>
      <c r="E252" s="43">
        <f t="shared" si="47"/>
        <v>0</v>
      </c>
      <c r="F252" s="43">
        <f t="shared" si="48"/>
        <v>1</v>
      </c>
      <c r="G252" s="43">
        <f t="shared" si="49"/>
        <v>14</v>
      </c>
      <c r="H252" s="43">
        <f t="shared" si="50"/>
        <v>7</v>
      </c>
      <c r="I252" s="22">
        <f t="shared" si="51"/>
        <v>12</v>
      </c>
      <c r="J252" s="5"/>
      <c r="K252" s="108"/>
    </row>
    <row r="253" spans="1:25" x14ac:dyDescent="0.3">
      <c r="A253" s="24"/>
      <c r="B253" s="21" t="s">
        <v>63</v>
      </c>
      <c r="C253" s="17">
        <f>COUNTIF($S$12:$T$241,"Niederlande")</f>
        <v>7</v>
      </c>
      <c r="D253" s="43">
        <f t="shared" si="46"/>
        <v>3</v>
      </c>
      <c r="E253" s="43">
        <f t="shared" si="47"/>
        <v>2</v>
      </c>
      <c r="F253" s="43">
        <f t="shared" si="48"/>
        <v>2</v>
      </c>
      <c r="G253" s="43">
        <f t="shared" si="49"/>
        <v>15</v>
      </c>
      <c r="H253" s="43">
        <f t="shared" si="50"/>
        <v>11</v>
      </c>
      <c r="I253" s="22">
        <f t="shared" si="51"/>
        <v>11</v>
      </c>
      <c r="J253" s="18"/>
      <c r="K253" s="109"/>
    </row>
    <row r="254" spans="1:25" x14ac:dyDescent="0.3">
      <c r="A254" s="24"/>
      <c r="B254" s="21" t="s">
        <v>37</v>
      </c>
      <c r="C254" s="17">
        <f>COUNTIF($S$12:$T$241,"Italien")</f>
        <v>5</v>
      </c>
      <c r="D254" s="43">
        <f t="shared" si="46"/>
        <v>3</v>
      </c>
      <c r="E254" s="43">
        <f t="shared" si="47"/>
        <v>1</v>
      </c>
      <c r="F254" s="43">
        <f t="shared" si="48"/>
        <v>1</v>
      </c>
      <c r="G254" s="43">
        <f t="shared" si="49"/>
        <v>11</v>
      </c>
      <c r="H254" s="43">
        <f t="shared" si="50"/>
        <v>7</v>
      </c>
      <c r="I254" s="22">
        <f t="shared" si="51"/>
        <v>10</v>
      </c>
      <c r="J254" s="18"/>
      <c r="K254" s="109"/>
    </row>
    <row r="255" spans="1:25" x14ac:dyDescent="0.3">
      <c r="A255" s="24"/>
      <c r="B255" s="21" t="s">
        <v>88</v>
      </c>
      <c r="C255" s="17">
        <f>COUNTIF($S$12:$T$241,"BRD")</f>
        <v>5</v>
      </c>
      <c r="D255" s="43">
        <f t="shared" si="46"/>
        <v>3</v>
      </c>
      <c r="E255" s="43">
        <f t="shared" si="47"/>
        <v>1</v>
      </c>
      <c r="F255" s="43">
        <f t="shared" si="48"/>
        <v>1</v>
      </c>
      <c r="G255" s="43">
        <f t="shared" si="49"/>
        <v>8</v>
      </c>
      <c r="H255" s="43">
        <f t="shared" si="50"/>
        <v>6</v>
      </c>
      <c r="I255" s="22">
        <f t="shared" si="51"/>
        <v>10</v>
      </c>
      <c r="J255" s="18"/>
      <c r="K255" s="109"/>
    </row>
    <row r="256" spans="1:25" x14ac:dyDescent="0.3">
      <c r="A256" s="24"/>
      <c r="B256" s="21" t="s">
        <v>258</v>
      </c>
      <c r="C256" s="17">
        <f>COUNTIF($S$12:$T$241,"Dänemark")</f>
        <v>5</v>
      </c>
      <c r="D256" s="43">
        <f t="shared" si="46"/>
        <v>2</v>
      </c>
      <c r="E256" s="43">
        <f t="shared" si="47"/>
        <v>1</v>
      </c>
      <c r="F256" s="43">
        <f t="shared" si="48"/>
        <v>2</v>
      </c>
      <c r="G256" s="43">
        <f t="shared" si="49"/>
        <v>9</v>
      </c>
      <c r="H256" s="43">
        <f t="shared" si="50"/>
        <v>7</v>
      </c>
      <c r="I256" s="22">
        <f t="shared" si="51"/>
        <v>7</v>
      </c>
      <c r="J256" s="18"/>
      <c r="K256" s="109"/>
    </row>
    <row r="257" spans="1:11" x14ac:dyDescent="0.3">
      <c r="A257" s="24"/>
      <c r="B257" s="21" t="s">
        <v>8</v>
      </c>
      <c r="C257" s="17">
        <f>COUNTIF($S$12:$T$241,"Jugoslawien")</f>
        <v>4</v>
      </c>
      <c r="D257" s="43">
        <f t="shared" si="46"/>
        <v>2</v>
      </c>
      <c r="E257" s="43">
        <f t="shared" si="47"/>
        <v>1</v>
      </c>
      <c r="F257" s="43">
        <f t="shared" si="48"/>
        <v>1</v>
      </c>
      <c r="G257" s="43">
        <f t="shared" si="49"/>
        <v>5</v>
      </c>
      <c r="H257" s="43">
        <f t="shared" si="50"/>
        <v>4</v>
      </c>
      <c r="I257" s="22">
        <f t="shared" si="51"/>
        <v>7</v>
      </c>
      <c r="J257" s="18"/>
      <c r="K257" s="109"/>
    </row>
    <row r="258" spans="1:11" x14ac:dyDescent="0.3">
      <c r="A258" s="24"/>
      <c r="B258" s="3" t="s">
        <v>16</v>
      </c>
      <c r="C258" s="17">
        <f>COUNTIF($S$12:$T$241,"Rumänien")</f>
        <v>4</v>
      </c>
      <c r="D258" s="43">
        <f t="shared" si="46"/>
        <v>2</v>
      </c>
      <c r="E258" s="43">
        <f t="shared" si="47"/>
        <v>1</v>
      </c>
      <c r="F258" s="43">
        <f t="shared" si="48"/>
        <v>1</v>
      </c>
      <c r="G258" s="43">
        <f t="shared" si="49"/>
        <v>4</v>
      </c>
      <c r="H258" s="43">
        <f t="shared" si="50"/>
        <v>3</v>
      </c>
      <c r="I258" s="22">
        <f t="shared" si="51"/>
        <v>7</v>
      </c>
      <c r="J258" s="5"/>
      <c r="K258" s="108"/>
    </row>
    <row r="259" spans="1:11" x14ac:dyDescent="0.3">
      <c r="A259" s="24"/>
      <c r="B259" s="3" t="s">
        <v>74</v>
      </c>
      <c r="C259" s="17">
        <f>COUNTIF($S$12:$T$241,"England")</f>
        <v>4</v>
      </c>
      <c r="D259" s="43">
        <f t="shared" si="46"/>
        <v>2</v>
      </c>
      <c r="E259" s="43">
        <f t="shared" si="47"/>
        <v>0</v>
      </c>
      <c r="F259" s="43">
        <f t="shared" si="48"/>
        <v>2</v>
      </c>
      <c r="G259" s="43">
        <f t="shared" si="49"/>
        <v>10</v>
      </c>
      <c r="H259" s="43">
        <f t="shared" si="50"/>
        <v>8</v>
      </c>
      <c r="I259" s="22">
        <f t="shared" si="51"/>
        <v>6</v>
      </c>
      <c r="J259" s="5"/>
      <c r="K259" s="108"/>
    </row>
    <row r="260" spans="1:11" x14ac:dyDescent="0.3">
      <c r="A260" s="24"/>
      <c r="B260" s="21" t="s">
        <v>307</v>
      </c>
      <c r="C260" s="17">
        <f>COUNTIF($S$12:$T$241,"Nigeria")</f>
        <v>4</v>
      </c>
      <c r="D260" s="43">
        <f t="shared" si="46"/>
        <v>2</v>
      </c>
      <c r="E260" s="43">
        <f t="shared" si="47"/>
        <v>0</v>
      </c>
      <c r="F260" s="43">
        <f t="shared" si="48"/>
        <v>2</v>
      </c>
      <c r="G260" s="43">
        <f t="shared" si="49"/>
        <v>6</v>
      </c>
      <c r="H260" s="43">
        <f t="shared" si="50"/>
        <v>9</v>
      </c>
      <c r="I260" s="22">
        <f t="shared" si="51"/>
        <v>6</v>
      </c>
      <c r="J260" s="18"/>
      <c r="K260" s="109"/>
    </row>
    <row r="261" spans="1:11" x14ac:dyDescent="0.3">
      <c r="A261" s="24"/>
      <c r="B261" s="21" t="s">
        <v>4</v>
      </c>
      <c r="C261" s="17">
        <f>COUNTIF($S$12:$T$241,"Mexiko")</f>
        <v>4</v>
      </c>
      <c r="D261" s="43">
        <f t="shared" si="46"/>
        <v>1</v>
      </c>
      <c r="E261" s="43">
        <f t="shared" si="47"/>
        <v>2</v>
      </c>
      <c r="F261" s="43">
        <f t="shared" si="48"/>
        <v>1</v>
      </c>
      <c r="G261" s="43">
        <f t="shared" si="49"/>
        <v>8</v>
      </c>
      <c r="H261" s="43">
        <f t="shared" si="50"/>
        <v>7</v>
      </c>
      <c r="I261" s="22">
        <f t="shared" si="51"/>
        <v>5</v>
      </c>
      <c r="J261" s="18"/>
      <c r="K261" s="109"/>
    </row>
    <row r="262" spans="1:11" x14ac:dyDescent="0.3">
      <c r="A262" s="24"/>
      <c r="B262" s="21" t="s">
        <v>59</v>
      </c>
      <c r="C262" s="17">
        <f>COUNTIF($S$12:$T$241,"Norwegen")</f>
        <v>4</v>
      </c>
      <c r="D262" s="43">
        <f t="shared" si="46"/>
        <v>1</v>
      </c>
      <c r="E262" s="43">
        <f t="shared" si="47"/>
        <v>2</v>
      </c>
      <c r="F262" s="43">
        <f t="shared" si="48"/>
        <v>1</v>
      </c>
      <c r="G262" s="43">
        <f t="shared" si="49"/>
        <v>5</v>
      </c>
      <c r="H262" s="43">
        <f t="shared" si="50"/>
        <v>5</v>
      </c>
      <c r="I262" s="22">
        <f t="shared" si="51"/>
        <v>5</v>
      </c>
      <c r="J262" s="18"/>
      <c r="K262" s="109"/>
    </row>
    <row r="263" spans="1:11" x14ac:dyDescent="0.3">
      <c r="A263" s="24"/>
      <c r="B263" s="21" t="s">
        <v>22</v>
      </c>
      <c r="C263" s="17">
        <f>COUNTIF($S$12:$T$241,"Paraguay")</f>
        <v>4</v>
      </c>
      <c r="D263" s="43">
        <f t="shared" si="46"/>
        <v>1</v>
      </c>
      <c r="E263" s="43">
        <f t="shared" si="47"/>
        <v>2</v>
      </c>
      <c r="F263" s="43">
        <f t="shared" si="48"/>
        <v>1</v>
      </c>
      <c r="G263" s="43">
        <f t="shared" si="49"/>
        <v>3</v>
      </c>
      <c r="H263" s="43">
        <f t="shared" si="50"/>
        <v>2</v>
      </c>
      <c r="I263" s="22">
        <f t="shared" si="51"/>
        <v>5</v>
      </c>
      <c r="J263" s="18"/>
      <c r="K263" s="109"/>
    </row>
    <row r="264" spans="1:11" x14ac:dyDescent="0.3">
      <c r="A264" s="24"/>
      <c r="B264" s="21" t="s">
        <v>35</v>
      </c>
      <c r="C264" s="17">
        <f>COUNTIF($S$12:$T$241,"Spanien")</f>
        <v>3</v>
      </c>
      <c r="D264" s="43">
        <f t="shared" si="46"/>
        <v>1</v>
      </c>
      <c r="E264" s="43">
        <f t="shared" si="47"/>
        <v>1</v>
      </c>
      <c r="F264" s="43">
        <f t="shared" si="48"/>
        <v>1</v>
      </c>
      <c r="G264" s="43">
        <f t="shared" si="49"/>
        <v>8</v>
      </c>
      <c r="H264" s="43">
        <f t="shared" si="50"/>
        <v>4</v>
      </c>
      <c r="I264" s="22">
        <f t="shared" si="51"/>
        <v>4</v>
      </c>
      <c r="J264" s="18"/>
      <c r="K264" s="109"/>
    </row>
    <row r="265" spans="1:11" x14ac:dyDescent="0.3">
      <c r="A265" s="24"/>
      <c r="B265" s="21" t="s">
        <v>147</v>
      </c>
      <c r="C265" s="17">
        <f>COUNTIF($S$12:$T$241,"Marokko")</f>
        <v>3</v>
      </c>
      <c r="D265" s="43">
        <f t="shared" si="46"/>
        <v>1</v>
      </c>
      <c r="E265" s="43">
        <f t="shared" si="47"/>
        <v>1</v>
      </c>
      <c r="F265" s="43">
        <f t="shared" si="48"/>
        <v>1</v>
      </c>
      <c r="G265" s="43">
        <f t="shared" si="49"/>
        <v>5</v>
      </c>
      <c r="H265" s="43">
        <f t="shared" si="50"/>
        <v>5</v>
      </c>
      <c r="I265" s="22">
        <f t="shared" si="51"/>
        <v>4</v>
      </c>
      <c r="J265" s="18"/>
      <c r="K265" s="109"/>
    </row>
    <row r="266" spans="1:11" x14ac:dyDescent="0.3">
      <c r="A266" s="24"/>
      <c r="B266" s="21" t="s">
        <v>6</v>
      </c>
      <c r="C266" s="17">
        <f>COUNTIF($S$12:$T$241,"Chile")</f>
        <v>4</v>
      </c>
      <c r="D266" s="43">
        <f t="shared" si="46"/>
        <v>0</v>
      </c>
      <c r="E266" s="43">
        <f t="shared" si="47"/>
        <v>3</v>
      </c>
      <c r="F266" s="43">
        <f t="shared" si="48"/>
        <v>1</v>
      </c>
      <c r="G266" s="43">
        <f t="shared" si="49"/>
        <v>5</v>
      </c>
      <c r="H266" s="43">
        <f t="shared" si="50"/>
        <v>8</v>
      </c>
      <c r="I266" s="22">
        <f t="shared" si="51"/>
        <v>3</v>
      </c>
      <c r="J266" s="18"/>
      <c r="K266" s="35"/>
    </row>
    <row r="267" spans="1:11" x14ac:dyDescent="0.3">
      <c r="A267" s="24"/>
      <c r="B267" s="21" t="s">
        <v>21</v>
      </c>
      <c r="C267" s="17">
        <f>COUNTIF($S$12:$T$241,"Belgien")</f>
        <v>3</v>
      </c>
      <c r="D267" s="43">
        <f t="shared" si="46"/>
        <v>0</v>
      </c>
      <c r="E267" s="43">
        <f t="shared" si="47"/>
        <v>3</v>
      </c>
      <c r="F267" s="43">
        <f t="shared" si="48"/>
        <v>0</v>
      </c>
      <c r="G267" s="43">
        <f t="shared" si="49"/>
        <v>3</v>
      </c>
      <c r="H267" s="43">
        <f t="shared" si="50"/>
        <v>3</v>
      </c>
      <c r="I267" s="22">
        <f t="shared" si="51"/>
        <v>3</v>
      </c>
      <c r="J267" s="18"/>
      <c r="K267" s="109"/>
    </row>
    <row r="268" spans="1:11" x14ac:dyDescent="0.3">
      <c r="A268" s="24"/>
      <c r="B268" s="3" t="s">
        <v>352</v>
      </c>
      <c r="C268" s="17">
        <f>COUNTIF($S$12:$T$241,"Jamaika")</f>
        <v>3</v>
      </c>
      <c r="D268" s="43">
        <f t="shared" si="46"/>
        <v>1</v>
      </c>
      <c r="E268" s="43">
        <f t="shared" si="47"/>
        <v>0</v>
      </c>
      <c r="F268" s="43">
        <f t="shared" si="48"/>
        <v>2</v>
      </c>
      <c r="G268" s="43">
        <f t="shared" si="49"/>
        <v>3</v>
      </c>
      <c r="H268" s="43">
        <f t="shared" si="50"/>
        <v>9</v>
      </c>
      <c r="I268" s="22">
        <f t="shared" si="51"/>
        <v>3</v>
      </c>
      <c r="J268" s="5"/>
      <c r="K268" s="108"/>
    </row>
    <row r="269" spans="1:11" x14ac:dyDescent="0.3">
      <c r="A269" s="24"/>
      <c r="B269" s="21" t="s">
        <v>177</v>
      </c>
      <c r="C269" s="17">
        <f>COUNTIF($S$12:$T$241,"Iran")</f>
        <v>3</v>
      </c>
      <c r="D269" s="43">
        <f t="shared" si="46"/>
        <v>1</v>
      </c>
      <c r="E269" s="43">
        <f t="shared" si="47"/>
        <v>0</v>
      </c>
      <c r="F269" s="43">
        <f t="shared" si="48"/>
        <v>2</v>
      </c>
      <c r="G269" s="43">
        <f t="shared" si="49"/>
        <v>2</v>
      </c>
      <c r="H269" s="43">
        <f t="shared" si="50"/>
        <v>4</v>
      </c>
      <c r="I269" s="22">
        <f t="shared" si="51"/>
        <v>3</v>
      </c>
      <c r="J269" s="18"/>
      <c r="K269" s="109"/>
    </row>
    <row r="270" spans="1:11" x14ac:dyDescent="0.3">
      <c r="A270" s="24"/>
      <c r="B270" s="3" t="s">
        <v>117</v>
      </c>
      <c r="C270" s="17">
        <f>COUNTIF($S$12:$T$241,"Kolumbien")</f>
        <v>3</v>
      </c>
      <c r="D270" s="43">
        <f t="shared" si="46"/>
        <v>1</v>
      </c>
      <c r="E270" s="43">
        <f t="shared" si="47"/>
        <v>0</v>
      </c>
      <c r="F270" s="43">
        <f t="shared" si="48"/>
        <v>2</v>
      </c>
      <c r="G270" s="43">
        <f t="shared" si="49"/>
        <v>1</v>
      </c>
      <c r="H270" s="43">
        <f t="shared" si="50"/>
        <v>3</v>
      </c>
      <c r="I270" s="22">
        <f t="shared" si="51"/>
        <v>3</v>
      </c>
      <c r="J270" s="5"/>
      <c r="K270" s="108"/>
    </row>
    <row r="271" spans="1:11" x14ac:dyDescent="0.3">
      <c r="A271" s="24"/>
      <c r="B271" s="21" t="s">
        <v>29</v>
      </c>
      <c r="C271" s="17">
        <f>COUNTIF($S$12:$T$241,"Österreich")</f>
        <v>3</v>
      </c>
      <c r="D271" s="43">
        <f t="shared" si="46"/>
        <v>0</v>
      </c>
      <c r="E271" s="43">
        <f t="shared" si="47"/>
        <v>2</v>
      </c>
      <c r="F271" s="43">
        <f t="shared" si="48"/>
        <v>1</v>
      </c>
      <c r="G271" s="43">
        <f t="shared" si="49"/>
        <v>3</v>
      </c>
      <c r="H271" s="43">
        <f t="shared" si="50"/>
        <v>4</v>
      </c>
      <c r="I271" s="22">
        <f t="shared" si="51"/>
        <v>2</v>
      </c>
      <c r="J271" s="18"/>
      <c r="K271" s="109"/>
    </row>
    <row r="272" spans="1:11" x14ac:dyDescent="0.3">
      <c r="A272" s="24"/>
      <c r="B272" s="21" t="s">
        <v>348</v>
      </c>
      <c r="C272" s="17">
        <f>COUNTIF($S$12:$T$241,"Südafrika")</f>
        <v>3</v>
      </c>
      <c r="D272" s="43">
        <f t="shared" si="46"/>
        <v>0</v>
      </c>
      <c r="E272" s="43">
        <f t="shared" si="47"/>
        <v>2</v>
      </c>
      <c r="F272" s="43">
        <f t="shared" si="48"/>
        <v>1</v>
      </c>
      <c r="G272" s="43">
        <f t="shared" si="49"/>
        <v>3</v>
      </c>
      <c r="H272" s="43">
        <f t="shared" si="50"/>
        <v>6</v>
      </c>
      <c r="I272" s="22">
        <f t="shared" si="51"/>
        <v>2</v>
      </c>
      <c r="J272" s="18"/>
      <c r="K272" s="109"/>
    </row>
    <row r="273" spans="1:21" x14ac:dyDescent="0.3">
      <c r="A273" s="24"/>
      <c r="B273" s="21" t="s">
        <v>190</v>
      </c>
      <c r="C273" s="17">
        <f>COUNTIF($S$12:$T$241,"Kamerun")</f>
        <v>3</v>
      </c>
      <c r="D273" s="43">
        <f t="shared" si="46"/>
        <v>0</v>
      </c>
      <c r="E273" s="43">
        <f t="shared" si="47"/>
        <v>2</v>
      </c>
      <c r="F273" s="43">
        <f t="shared" si="48"/>
        <v>1</v>
      </c>
      <c r="G273" s="43">
        <f t="shared" si="49"/>
        <v>2</v>
      </c>
      <c r="H273" s="43">
        <f t="shared" si="50"/>
        <v>5</v>
      </c>
      <c r="I273" s="22">
        <f t="shared" si="51"/>
        <v>2</v>
      </c>
      <c r="J273" s="18"/>
      <c r="K273" s="109"/>
    </row>
    <row r="274" spans="1:21" x14ac:dyDescent="0.3">
      <c r="A274" s="24"/>
      <c r="B274" s="21" t="s">
        <v>313</v>
      </c>
      <c r="C274" s="17">
        <f>COUNTIF($S$12:$T$241,"Saudi-Arabien")</f>
        <v>3</v>
      </c>
      <c r="D274" s="43">
        <f t="shared" si="46"/>
        <v>0</v>
      </c>
      <c r="E274" s="43">
        <f t="shared" si="47"/>
        <v>1</v>
      </c>
      <c r="F274" s="43">
        <f t="shared" si="48"/>
        <v>2</v>
      </c>
      <c r="G274" s="43">
        <f t="shared" si="49"/>
        <v>2</v>
      </c>
      <c r="H274" s="43">
        <f t="shared" si="50"/>
        <v>7</v>
      </c>
      <c r="I274" s="22">
        <f t="shared" si="51"/>
        <v>1</v>
      </c>
      <c r="J274" s="18"/>
      <c r="K274" s="109"/>
    </row>
    <row r="275" spans="1:21" x14ac:dyDescent="0.3">
      <c r="A275" s="24"/>
      <c r="B275" s="21" t="s">
        <v>90</v>
      </c>
      <c r="C275" s="17">
        <f>COUNTIF($S$12:$T$241,"Südkorea")</f>
        <v>3</v>
      </c>
      <c r="D275" s="43">
        <f t="shared" si="46"/>
        <v>0</v>
      </c>
      <c r="E275" s="43">
        <f t="shared" si="47"/>
        <v>1</v>
      </c>
      <c r="F275" s="43">
        <f t="shared" si="48"/>
        <v>2</v>
      </c>
      <c r="G275" s="43">
        <f t="shared" si="49"/>
        <v>2</v>
      </c>
      <c r="H275" s="43">
        <f t="shared" si="50"/>
        <v>9</v>
      </c>
      <c r="I275" s="22">
        <f t="shared" si="51"/>
        <v>1</v>
      </c>
      <c r="J275" s="18"/>
      <c r="K275" s="109"/>
    </row>
    <row r="276" spans="1:21" x14ac:dyDescent="0.3">
      <c r="A276" s="24"/>
      <c r="B276" s="21" t="s">
        <v>81</v>
      </c>
      <c r="C276" s="17">
        <f>COUNTIF($S$12:$T$241,"Schottland")</f>
        <v>3</v>
      </c>
      <c r="D276" s="43">
        <f t="shared" si="46"/>
        <v>0</v>
      </c>
      <c r="E276" s="43">
        <f t="shared" si="47"/>
        <v>1</v>
      </c>
      <c r="F276" s="43">
        <f t="shared" si="48"/>
        <v>2</v>
      </c>
      <c r="G276" s="43">
        <f t="shared" si="49"/>
        <v>2</v>
      </c>
      <c r="H276" s="43">
        <f t="shared" si="50"/>
        <v>6</v>
      </c>
      <c r="I276" s="22">
        <f t="shared" si="51"/>
        <v>1</v>
      </c>
      <c r="J276" s="18"/>
      <c r="K276" s="109"/>
    </row>
    <row r="277" spans="1:21" x14ac:dyDescent="0.3">
      <c r="A277" s="24"/>
      <c r="B277" s="3" t="s">
        <v>176</v>
      </c>
      <c r="C277" s="17">
        <f>COUNTIF($S$12:$T$241,"Tunesien")</f>
        <v>3</v>
      </c>
      <c r="D277" s="43">
        <f t="shared" si="46"/>
        <v>0</v>
      </c>
      <c r="E277" s="43">
        <f t="shared" si="47"/>
        <v>1</v>
      </c>
      <c r="F277" s="43">
        <f t="shared" si="48"/>
        <v>2</v>
      </c>
      <c r="G277" s="43">
        <f t="shared" si="49"/>
        <v>1</v>
      </c>
      <c r="H277" s="43">
        <f t="shared" si="50"/>
        <v>4</v>
      </c>
      <c r="I277" s="22">
        <f t="shared" si="51"/>
        <v>1</v>
      </c>
      <c r="J277" s="5"/>
      <c r="K277" s="108"/>
    </row>
    <row r="278" spans="1:21" x14ac:dyDescent="0.3">
      <c r="A278" s="24"/>
      <c r="B278" s="21" t="s">
        <v>125</v>
      </c>
      <c r="C278" s="17">
        <f>COUNTIF($S$12:$T$241,"Bulgarien")</f>
        <v>3</v>
      </c>
      <c r="D278" s="43">
        <f t="shared" si="46"/>
        <v>0</v>
      </c>
      <c r="E278" s="43">
        <f t="shared" si="47"/>
        <v>1</v>
      </c>
      <c r="F278" s="43">
        <f t="shared" si="48"/>
        <v>2</v>
      </c>
      <c r="G278" s="43">
        <f t="shared" si="49"/>
        <v>1</v>
      </c>
      <c r="H278" s="43">
        <f t="shared" si="50"/>
        <v>7</v>
      </c>
      <c r="I278" s="22">
        <f t="shared" si="51"/>
        <v>1</v>
      </c>
      <c r="J278" s="18"/>
      <c r="K278" s="109"/>
    </row>
    <row r="279" spans="1:21" x14ac:dyDescent="0.3">
      <c r="A279" s="24"/>
      <c r="B279" s="3" t="s">
        <v>351</v>
      </c>
      <c r="C279" s="17">
        <f>COUNTIF($S$12:$T$241,"Japan")</f>
        <v>3</v>
      </c>
      <c r="D279" s="43">
        <f t="shared" si="46"/>
        <v>0</v>
      </c>
      <c r="E279" s="43">
        <f t="shared" si="47"/>
        <v>0</v>
      </c>
      <c r="F279" s="43">
        <f t="shared" si="48"/>
        <v>3</v>
      </c>
      <c r="G279" s="43">
        <f t="shared" si="49"/>
        <v>1</v>
      </c>
      <c r="H279" s="43">
        <f t="shared" si="50"/>
        <v>4</v>
      </c>
      <c r="I279" s="22">
        <f t="shared" si="51"/>
        <v>0</v>
      </c>
      <c r="J279" s="5"/>
      <c r="K279" s="108"/>
    </row>
    <row r="280" spans="1:21" ht="15" thickBot="1" x14ac:dyDescent="0.35">
      <c r="A280" s="24"/>
      <c r="B280" s="29" t="s">
        <v>20</v>
      </c>
      <c r="C280" s="30">
        <f>COUNTIF($S$12:$T$241,"USA")</f>
        <v>3</v>
      </c>
      <c r="D280" s="80">
        <f t="shared" si="46"/>
        <v>0</v>
      </c>
      <c r="E280" s="80">
        <f t="shared" si="47"/>
        <v>0</v>
      </c>
      <c r="F280" s="80">
        <f t="shared" si="48"/>
        <v>3</v>
      </c>
      <c r="G280" s="80">
        <f t="shared" si="49"/>
        <v>1</v>
      </c>
      <c r="H280" s="80">
        <f t="shared" si="50"/>
        <v>5</v>
      </c>
      <c r="I280" s="32">
        <f t="shared" si="51"/>
        <v>0</v>
      </c>
      <c r="J280" s="18"/>
      <c r="K280" s="109"/>
    </row>
    <row r="281" spans="1:21" x14ac:dyDescent="0.3">
      <c r="A281" s="274"/>
      <c r="B281" s="273"/>
      <c r="C281" s="273"/>
      <c r="D281" s="273"/>
      <c r="E281" s="273"/>
      <c r="F281" s="273"/>
      <c r="G281" s="5"/>
      <c r="H281" s="5"/>
      <c r="I281" s="5"/>
      <c r="J281" s="5"/>
      <c r="K281" s="108"/>
    </row>
    <row r="282" spans="1:21" ht="15" thickBot="1" x14ac:dyDescent="0.35">
      <c r="A282" s="110"/>
      <c r="B282" s="36"/>
      <c r="C282" s="36"/>
      <c r="D282" s="36"/>
      <c r="E282" s="36"/>
      <c r="F282" s="36"/>
      <c r="G282" s="37"/>
      <c r="H282" s="37"/>
      <c r="I282" s="37"/>
      <c r="J282" s="37"/>
      <c r="K282" s="193"/>
    </row>
    <row r="283" spans="1:21" ht="15" thickTop="1" x14ac:dyDescent="0.3"/>
    <row r="284" spans="1:21" x14ac:dyDescent="0.3">
      <c r="M284" s="387"/>
      <c r="N284" s="387"/>
      <c r="O284" s="387"/>
      <c r="P284" s="387"/>
      <c r="Q284" s="387"/>
      <c r="R284" s="126"/>
      <c r="S284" s="126"/>
      <c r="T284" s="387"/>
      <c r="U284" s="387"/>
    </row>
    <row r="285" spans="1:21" x14ac:dyDescent="0.3">
      <c r="M285" s="387"/>
      <c r="N285" s="387"/>
      <c r="O285" s="387"/>
      <c r="P285" s="387"/>
      <c r="Q285" s="387"/>
      <c r="R285" s="126"/>
      <c r="S285" s="126"/>
      <c r="T285" s="387"/>
      <c r="U285" s="387"/>
    </row>
    <row r="286" spans="1:21" x14ac:dyDescent="0.3">
      <c r="M286" s="39"/>
      <c r="N286" s="39"/>
      <c r="O286" s="39"/>
      <c r="P286" s="39"/>
      <c r="Q286" s="39"/>
      <c r="R286" s="39"/>
      <c r="S286" s="387"/>
      <c r="T286" s="387"/>
      <c r="U286" s="387"/>
    </row>
    <row r="287" spans="1:21" x14ac:dyDescent="0.3">
      <c r="M287" s="39"/>
      <c r="N287" s="39"/>
      <c r="O287" s="39"/>
      <c r="P287" s="39"/>
      <c r="Q287" s="39"/>
      <c r="R287" s="39"/>
      <c r="S287" s="387"/>
      <c r="T287" s="387"/>
      <c r="U287" s="387"/>
    </row>
    <row r="288" spans="1:21" x14ac:dyDescent="0.3">
      <c r="C288" s="17"/>
      <c r="D288" s="43"/>
      <c r="E288" s="43"/>
      <c r="F288" s="43"/>
      <c r="M288" s="39"/>
      <c r="N288" s="39"/>
      <c r="O288" s="39"/>
      <c r="P288" s="39"/>
      <c r="Q288" s="39"/>
      <c r="R288" s="39"/>
      <c r="S288" s="387"/>
      <c r="T288" s="387"/>
      <c r="U288" s="387"/>
    </row>
    <row r="289" spans="3:6" x14ac:dyDescent="0.3">
      <c r="C289" s="17"/>
      <c r="D289" s="43"/>
      <c r="E289" s="43"/>
      <c r="F289" s="43"/>
    </row>
    <row r="290" spans="3:6" x14ac:dyDescent="0.3">
      <c r="C290" s="17"/>
      <c r="D290" s="43"/>
      <c r="E290" s="43"/>
      <c r="F290" s="43"/>
    </row>
    <row r="291" spans="3:6" x14ac:dyDescent="0.3">
      <c r="C291" s="17"/>
      <c r="D291" s="43"/>
      <c r="E291" s="43"/>
      <c r="F291" s="43"/>
    </row>
  </sheetData>
  <sortState ref="A26:I29">
    <sortCondition descending="1" ref="I26:I29"/>
    <sortCondition descending="1" ref="G26:G29"/>
    <sortCondition ref="H26:H29"/>
  </sortState>
  <mergeCells count="5">
    <mergeCell ref="C230:I230"/>
    <mergeCell ref="C239:I239"/>
    <mergeCell ref="A2:J2"/>
    <mergeCell ref="A4:J4"/>
    <mergeCell ref="A5:J5"/>
  </mergeCells>
  <pageMargins left="0.7" right="0.7" top="0.78740157499999996" bottom="0.78740157499999996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A294"/>
  <sheetViews>
    <sheetView topLeftCell="A234" workbookViewId="0">
      <selection activeCell="M257" sqref="M257"/>
    </sheetView>
  </sheetViews>
  <sheetFormatPr baseColWidth="10" defaultRowHeight="14.4" x14ac:dyDescent="0.3"/>
  <cols>
    <col min="1" max="6" width="11.77734375" style="1" customWidth="1"/>
    <col min="7" max="10" width="11.77734375" style="2" customWidth="1"/>
    <col min="11" max="18" width="11.77734375" customWidth="1"/>
    <col min="19" max="25" width="11.77734375" style="259" customWidth="1"/>
    <col min="26" max="27" width="11.77734375" customWidth="1"/>
  </cols>
  <sheetData>
    <row r="1" spans="1:27" ht="15" thickTop="1" x14ac:dyDescent="0.3">
      <c r="A1" s="106"/>
      <c r="B1" s="25"/>
      <c r="C1" s="25"/>
      <c r="D1" s="25"/>
      <c r="E1" s="25"/>
      <c r="F1" s="25"/>
      <c r="G1" s="26"/>
      <c r="H1" s="26"/>
      <c r="I1" s="26"/>
      <c r="J1" s="26"/>
      <c r="K1" s="107"/>
      <c r="S1" s="114"/>
      <c r="T1" s="115"/>
      <c r="U1" s="115"/>
      <c r="V1" s="115"/>
      <c r="W1" s="115"/>
      <c r="X1" s="115"/>
      <c r="Y1" s="116"/>
    </row>
    <row r="2" spans="1:27" ht="46.2" x14ac:dyDescent="0.85">
      <c r="A2" s="425" t="s">
        <v>234</v>
      </c>
      <c r="B2" s="426"/>
      <c r="C2" s="426"/>
      <c r="D2" s="426"/>
      <c r="E2" s="426"/>
      <c r="F2" s="426"/>
      <c r="G2" s="426"/>
      <c r="H2" s="426"/>
      <c r="I2" s="426"/>
      <c r="J2" s="426"/>
      <c r="K2" s="108"/>
      <c r="S2" s="117"/>
      <c r="T2" s="257"/>
      <c r="U2" s="257"/>
      <c r="V2" s="257"/>
      <c r="W2" s="257"/>
      <c r="X2" s="257"/>
      <c r="Y2" s="118"/>
    </row>
    <row r="3" spans="1:27" x14ac:dyDescent="0.3">
      <c r="A3" s="389"/>
      <c r="B3" s="387"/>
      <c r="C3" s="387"/>
      <c r="D3" s="387"/>
      <c r="E3" s="387"/>
      <c r="F3" s="387"/>
      <c r="G3" s="5"/>
      <c r="H3" s="5"/>
      <c r="I3" s="5"/>
      <c r="J3" s="5"/>
      <c r="K3" s="108"/>
      <c r="S3" s="117"/>
      <c r="T3" s="257"/>
      <c r="U3" s="257"/>
      <c r="V3" s="257"/>
      <c r="W3" s="257"/>
      <c r="X3" s="257"/>
      <c r="Y3" s="118"/>
    </row>
    <row r="4" spans="1:27" ht="28.8" x14ac:dyDescent="0.55000000000000004">
      <c r="A4" s="428" t="s">
        <v>223</v>
      </c>
      <c r="B4" s="429"/>
      <c r="C4" s="429"/>
      <c r="D4" s="429"/>
      <c r="E4" s="429"/>
      <c r="F4" s="429"/>
      <c r="G4" s="429"/>
      <c r="H4" s="429"/>
      <c r="I4" s="429"/>
      <c r="J4" s="429"/>
      <c r="K4" s="108"/>
      <c r="S4" s="117"/>
      <c r="T4" s="257"/>
      <c r="U4" s="257"/>
      <c r="V4" s="257"/>
      <c r="W4" s="257"/>
      <c r="X4" s="257"/>
      <c r="Y4" s="118"/>
    </row>
    <row r="5" spans="1:27" ht="21" x14ac:dyDescent="0.4">
      <c r="A5" s="430" t="s">
        <v>224</v>
      </c>
      <c r="B5" s="431"/>
      <c r="C5" s="431"/>
      <c r="D5" s="431"/>
      <c r="E5" s="431"/>
      <c r="F5" s="431"/>
      <c r="G5" s="431"/>
      <c r="H5" s="431"/>
      <c r="I5" s="431"/>
      <c r="J5" s="431"/>
      <c r="K5" s="108"/>
      <c r="S5" s="117"/>
      <c r="T5" s="257"/>
      <c r="U5" s="257"/>
      <c r="V5" s="257"/>
      <c r="W5" s="257"/>
      <c r="X5" s="257"/>
      <c r="Y5" s="118"/>
    </row>
    <row r="6" spans="1:27" x14ac:dyDescent="0.3">
      <c r="A6" s="389"/>
      <c r="B6" s="387"/>
      <c r="C6" s="387"/>
      <c r="D6" s="387"/>
      <c r="E6" s="387"/>
      <c r="F6" s="387"/>
      <c r="G6" s="5"/>
      <c r="H6" s="5"/>
      <c r="I6" s="5"/>
      <c r="J6" s="5"/>
      <c r="K6" s="108"/>
      <c r="S6" s="117"/>
      <c r="T6" s="257"/>
      <c r="U6" s="257"/>
      <c r="V6" s="257"/>
      <c r="W6" s="257"/>
      <c r="X6" s="257"/>
      <c r="Y6" s="118"/>
    </row>
    <row r="7" spans="1:27" x14ac:dyDescent="0.3">
      <c r="A7" s="389"/>
      <c r="B7" s="387"/>
      <c r="C7" s="387"/>
      <c r="D7" s="387"/>
      <c r="E7" s="387"/>
      <c r="F7" s="387"/>
      <c r="G7" s="5"/>
      <c r="H7" s="5"/>
      <c r="I7" s="5"/>
      <c r="J7" s="5"/>
      <c r="K7" s="108"/>
      <c r="S7" s="117"/>
      <c r="T7" s="257"/>
      <c r="U7" s="257"/>
      <c r="V7" s="257"/>
      <c r="W7" s="257"/>
      <c r="X7" s="257"/>
      <c r="Y7" s="118"/>
    </row>
    <row r="8" spans="1:27" x14ac:dyDescent="0.3">
      <c r="A8" s="308"/>
      <c r="B8" s="33"/>
      <c r="C8" s="33"/>
      <c r="D8" s="33"/>
      <c r="E8" s="33"/>
      <c r="F8" s="33"/>
      <c r="G8" s="309"/>
      <c r="H8" s="309"/>
      <c r="I8" s="309"/>
      <c r="J8" s="5"/>
      <c r="K8" s="108"/>
      <c r="S8" s="117"/>
      <c r="T8" s="257"/>
      <c r="U8" s="257"/>
      <c r="V8" s="257"/>
      <c r="W8" s="257"/>
      <c r="X8" s="257"/>
      <c r="Y8" s="118"/>
    </row>
    <row r="9" spans="1:27" x14ac:dyDescent="0.3">
      <c r="A9" s="404"/>
      <c r="B9" s="33"/>
      <c r="C9" s="33"/>
      <c r="D9" s="33"/>
      <c r="E9" s="33"/>
      <c r="F9" s="33"/>
      <c r="G9" s="33"/>
      <c r="H9" s="309"/>
      <c r="I9" s="309"/>
      <c r="J9" s="5"/>
      <c r="K9" s="108"/>
      <c r="S9" s="117"/>
      <c r="T9" s="257"/>
      <c r="U9" s="257"/>
      <c r="V9" s="257"/>
      <c r="W9" s="257"/>
      <c r="X9" s="257"/>
      <c r="Y9" s="118"/>
    </row>
    <row r="10" spans="1:27" ht="21" x14ac:dyDescent="0.4">
      <c r="A10" s="389"/>
      <c r="B10" s="387"/>
      <c r="C10" s="387"/>
      <c r="D10" s="387"/>
      <c r="E10" s="387"/>
      <c r="F10" s="386" t="s">
        <v>119</v>
      </c>
      <c r="G10" s="5"/>
      <c r="H10" s="5"/>
      <c r="I10" s="5"/>
      <c r="J10" s="5"/>
      <c r="K10" s="108"/>
      <c r="S10" s="117"/>
      <c r="T10" s="257"/>
      <c r="U10" s="257"/>
      <c r="V10" s="257"/>
      <c r="W10" s="257"/>
      <c r="X10" s="257"/>
      <c r="Y10" s="118"/>
    </row>
    <row r="11" spans="1:27" x14ac:dyDescent="0.3">
      <c r="A11" s="389"/>
      <c r="B11" s="387"/>
      <c r="C11" s="387"/>
      <c r="D11" s="387"/>
      <c r="E11" s="387"/>
      <c r="F11" s="28"/>
      <c r="G11" s="5"/>
      <c r="H11" s="5"/>
      <c r="I11" s="5"/>
      <c r="J11" s="5"/>
      <c r="K11" s="108"/>
      <c r="S11" s="117"/>
      <c r="T11" s="257"/>
      <c r="U11" s="257"/>
      <c r="V11" s="257"/>
      <c r="W11" s="257"/>
      <c r="X11" s="257"/>
      <c r="Y11" s="118"/>
    </row>
    <row r="12" spans="1:27" x14ac:dyDescent="0.3">
      <c r="A12" s="389"/>
      <c r="B12" s="387"/>
      <c r="C12" s="40">
        <v>37407</v>
      </c>
      <c r="D12" s="49" t="s">
        <v>3</v>
      </c>
      <c r="E12" s="49" t="s">
        <v>355</v>
      </c>
      <c r="F12" s="49">
        <v>0</v>
      </c>
      <c r="G12" s="49">
        <v>1</v>
      </c>
      <c r="H12" s="387"/>
      <c r="I12" s="387" t="s">
        <v>356</v>
      </c>
      <c r="J12" s="5"/>
      <c r="K12" s="108"/>
      <c r="S12" s="117" t="s">
        <v>3</v>
      </c>
      <c r="T12" s="257" t="s">
        <v>355</v>
      </c>
      <c r="U12" s="257">
        <v>0</v>
      </c>
      <c r="V12" s="257">
        <v>1</v>
      </c>
      <c r="W12" s="257"/>
      <c r="X12" s="126">
        <f t="shared" ref="X12:X17" si="0">(IF(U12&gt;V12,3,IF(U12=V12,1,2)))</f>
        <v>2</v>
      </c>
      <c r="Y12" s="125">
        <f t="shared" ref="Y12:Y17" si="1">(IF(V12&gt;U12,3,IF(U12=V12,1,2)))</f>
        <v>3</v>
      </c>
      <c r="AA12" t="s">
        <v>3</v>
      </c>
    </row>
    <row r="13" spans="1:27" ht="15" thickBot="1" x14ac:dyDescent="0.35">
      <c r="A13" s="389"/>
      <c r="B13" s="387"/>
      <c r="C13" s="58"/>
      <c r="D13" s="79"/>
      <c r="E13" s="79"/>
      <c r="F13" s="79" t="s">
        <v>170</v>
      </c>
      <c r="G13" s="79" t="s">
        <v>183</v>
      </c>
      <c r="H13" s="393"/>
      <c r="I13" s="393"/>
      <c r="J13" s="5"/>
      <c r="K13" s="108"/>
      <c r="S13" s="117" t="s">
        <v>18</v>
      </c>
      <c r="T13" s="257" t="s">
        <v>258</v>
      </c>
      <c r="U13" s="257">
        <v>1</v>
      </c>
      <c r="V13" s="257">
        <v>2</v>
      </c>
      <c r="W13" s="257"/>
      <c r="X13" s="126">
        <f t="shared" si="0"/>
        <v>2</v>
      </c>
      <c r="Y13" s="125">
        <f t="shared" si="1"/>
        <v>3</v>
      </c>
      <c r="AA13" t="s">
        <v>355</v>
      </c>
    </row>
    <row r="14" spans="1:27" x14ac:dyDescent="0.3">
      <c r="A14" s="389"/>
      <c r="B14" s="387"/>
      <c r="C14" s="40">
        <v>37408</v>
      </c>
      <c r="D14" s="49" t="s">
        <v>18</v>
      </c>
      <c r="E14" s="49" t="s">
        <v>258</v>
      </c>
      <c r="F14" s="49">
        <v>1</v>
      </c>
      <c r="G14" s="49">
        <v>2</v>
      </c>
      <c r="H14" s="387"/>
      <c r="I14" s="5" t="s">
        <v>357</v>
      </c>
      <c r="J14" s="5"/>
      <c r="K14" s="108"/>
      <c r="S14" s="117" t="s">
        <v>258</v>
      </c>
      <c r="T14" s="250" t="s">
        <v>355</v>
      </c>
      <c r="U14" s="257">
        <v>1</v>
      </c>
      <c r="V14" s="257">
        <v>1</v>
      </c>
      <c r="W14" s="257"/>
      <c r="X14" s="126">
        <f t="shared" si="0"/>
        <v>1</v>
      </c>
      <c r="Y14" s="125">
        <f t="shared" si="1"/>
        <v>1</v>
      </c>
      <c r="AA14" t="s">
        <v>18</v>
      </c>
    </row>
    <row r="15" spans="1:27" ht="15" thickBot="1" x14ac:dyDescent="0.35">
      <c r="A15" s="389"/>
      <c r="B15" s="387"/>
      <c r="C15" s="58"/>
      <c r="D15" s="79"/>
      <c r="E15" s="79"/>
      <c r="F15" s="79" t="s">
        <v>170</v>
      </c>
      <c r="G15" s="79" t="s">
        <v>183</v>
      </c>
      <c r="H15" s="393"/>
      <c r="I15" s="8"/>
      <c r="J15" s="5"/>
      <c r="K15" s="108"/>
      <c r="S15" s="117" t="s">
        <v>3</v>
      </c>
      <c r="T15" s="257" t="s">
        <v>18</v>
      </c>
      <c r="U15" s="257">
        <v>0</v>
      </c>
      <c r="V15" s="257">
        <v>0</v>
      </c>
      <c r="W15" s="257"/>
      <c r="X15" s="126">
        <f t="shared" si="0"/>
        <v>1</v>
      </c>
      <c r="Y15" s="125">
        <f t="shared" si="1"/>
        <v>1</v>
      </c>
      <c r="AA15" t="s">
        <v>258</v>
      </c>
    </row>
    <row r="16" spans="1:27" x14ac:dyDescent="0.3">
      <c r="A16" s="389"/>
      <c r="B16" s="387"/>
      <c r="C16" s="40">
        <v>37413</v>
      </c>
      <c r="D16" s="49" t="s">
        <v>258</v>
      </c>
      <c r="E16" s="49" t="s">
        <v>355</v>
      </c>
      <c r="F16" s="49">
        <v>1</v>
      </c>
      <c r="G16" s="49">
        <v>1</v>
      </c>
      <c r="H16" s="387"/>
      <c r="I16" s="5" t="s">
        <v>358</v>
      </c>
      <c r="J16" s="5"/>
      <c r="K16" s="108"/>
      <c r="S16" s="117" t="s">
        <v>258</v>
      </c>
      <c r="T16" s="250" t="s">
        <v>3</v>
      </c>
      <c r="U16" s="257">
        <v>2</v>
      </c>
      <c r="V16" s="257">
        <v>0</v>
      </c>
      <c r="W16" s="257"/>
      <c r="X16" s="126">
        <f t="shared" si="0"/>
        <v>3</v>
      </c>
      <c r="Y16" s="125">
        <f t="shared" si="1"/>
        <v>2</v>
      </c>
      <c r="AA16" t="s">
        <v>22</v>
      </c>
    </row>
    <row r="17" spans="1:27" ht="15" thickBot="1" x14ac:dyDescent="0.35">
      <c r="A17" s="389"/>
      <c r="B17" s="387"/>
      <c r="C17" s="58"/>
      <c r="D17" s="79"/>
      <c r="E17" s="79"/>
      <c r="F17" s="79" t="s">
        <v>172</v>
      </c>
      <c r="G17" s="79" t="s">
        <v>171</v>
      </c>
      <c r="H17" s="393"/>
      <c r="I17" s="8"/>
      <c r="J17" s="5"/>
      <c r="K17" s="108"/>
      <c r="S17" s="117" t="s">
        <v>355</v>
      </c>
      <c r="T17" s="250" t="s">
        <v>18</v>
      </c>
      <c r="U17" s="257">
        <v>3</v>
      </c>
      <c r="V17" s="257">
        <v>3</v>
      </c>
      <c r="W17" s="257"/>
      <c r="X17" s="126">
        <f t="shared" si="0"/>
        <v>1</v>
      </c>
      <c r="Y17" s="125">
        <f t="shared" si="1"/>
        <v>1</v>
      </c>
      <c r="AA17" t="s">
        <v>348</v>
      </c>
    </row>
    <row r="18" spans="1:27" ht="15" thickBot="1" x14ac:dyDescent="0.35">
      <c r="A18" s="389"/>
      <c r="B18" s="387"/>
      <c r="C18" s="88">
        <v>37413</v>
      </c>
      <c r="D18" s="89" t="s">
        <v>3</v>
      </c>
      <c r="E18" s="89" t="s">
        <v>18</v>
      </c>
      <c r="F18" s="89">
        <v>0</v>
      </c>
      <c r="G18" s="89">
        <v>0</v>
      </c>
      <c r="H18" s="286"/>
      <c r="I18" s="91" t="s">
        <v>359</v>
      </c>
      <c r="J18" s="5"/>
      <c r="K18" s="108"/>
      <c r="S18" s="117"/>
      <c r="T18" s="257"/>
      <c r="U18" s="257"/>
      <c r="V18" s="257"/>
      <c r="W18" s="257"/>
      <c r="X18" s="126"/>
      <c r="Y18" s="125"/>
      <c r="AA18" t="s">
        <v>35</v>
      </c>
    </row>
    <row r="19" spans="1:27" x14ac:dyDescent="0.3">
      <c r="A19" s="389"/>
      <c r="B19" s="387"/>
      <c r="C19" s="40">
        <v>37418</v>
      </c>
      <c r="D19" s="49" t="s">
        <v>258</v>
      </c>
      <c r="E19" s="49" t="s">
        <v>3</v>
      </c>
      <c r="F19" s="49">
        <v>2</v>
      </c>
      <c r="G19" s="49">
        <v>0</v>
      </c>
      <c r="H19" s="387"/>
      <c r="I19" s="5" t="s">
        <v>360</v>
      </c>
      <c r="J19" s="5"/>
      <c r="K19" s="108"/>
      <c r="S19" s="117"/>
      <c r="T19" s="257"/>
      <c r="U19" s="257"/>
      <c r="V19" s="257"/>
      <c r="W19" s="257"/>
      <c r="X19" s="126"/>
      <c r="Y19" s="125"/>
      <c r="AA19" t="s">
        <v>362</v>
      </c>
    </row>
    <row r="20" spans="1:27" ht="15" thickBot="1" x14ac:dyDescent="0.35">
      <c r="A20" s="389"/>
      <c r="B20" s="387"/>
      <c r="C20" s="58"/>
      <c r="D20" s="79"/>
      <c r="E20" s="79"/>
      <c r="F20" s="79" t="s">
        <v>172</v>
      </c>
      <c r="G20" s="79" t="s">
        <v>171</v>
      </c>
      <c r="H20" s="393"/>
      <c r="I20" s="8"/>
      <c r="J20" s="5"/>
      <c r="K20" s="108"/>
      <c r="S20" s="117"/>
      <c r="T20" s="257"/>
      <c r="U20" s="257"/>
      <c r="V20" s="257"/>
      <c r="W20" s="257"/>
      <c r="X20" s="257"/>
      <c r="Y20" s="118"/>
      <c r="AA20" t="s">
        <v>9</v>
      </c>
    </row>
    <row r="21" spans="1:27" x14ac:dyDescent="0.3">
      <c r="A21" s="389"/>
      <c r="B21" s="387"/>
      <c r="C21" s="40">
        <v>37418</v>
      </c>
      <c r="D21" s="49" t="s">
        <v>355</v>
      </c>
      <c r="E21" s="49" t="s">
        <v>18</v>
      </c>
      <c r="F21" s="49">
        <v>3</v>
      </c>
      <c r="G21" s="49">
        <v>3</v>
      </c>
      <c r="H21" s="387"/>
      <c r="I21" s="5" t="s">
        <v>361</v>
      </c>
      <c r="J21" s="5"/>
      <c r="K21" s="108"/>
      <c r="S21" s="117"/>
      <c r="T21" s="257"/>
      <c r="U21" s="257"/>
      <c r="V21" s="257"/>
      <c r="W21" s="257"/>
      <c r="X21" s="257"/>
      <c r="Y21" s="118"/>
      <c r="AA21" t="s">
        <v>82</v>
      </c>
    </row>
    <row r="22" spans="1:27" x14ac:dyDescent="0.3">
      <c r="A22" s="389"/>
      <c r="B22" s="387"/>
      <c r="C22" s="40"/>
      <c r="D22" s="49"/>
      <c r="E22" s="49"/>
      <c r="F22" s="49" t="s">
        <v>264</v>
      </c>
      <c r="G22" s="49" t="s">
        <v>171</v>
      </c>
      <c r="H22" s="387"/>
      <c r="I22" s="5"/>
      <c r="J22" s="5"/>
      <c r="K22" s="108"/>
      <c r="S22" s="117"/>
      <c r="T22" s="257"/>
      <c r="U22" s="257"/>
      <c r="V22" s="257"/>
      <c r="W22" s="257"/>
      <c r="X22" s="257"/>
      <c r="Y22" s="118"/>
      <c r="AA22" t="s">
        <v>367</v>
      </c>
    </row>
    <row r="23" spans="1:27" x14ac:dyDescent="0.3">
      <c r="A23" s="389"/>
      <c r="B23" s="387"/>
      <c r="C23" s="40"/>
      <c r="D23" s="387"/>
      <c r="E23" s="387"/>
      <c r="F23" s="387"/>
      <c r="G23" s="387"/>
      <c r="H23" s="387"/>
      <c r="I23" s="5"/>
      <c r="J23" s="5"/>
      <c r="K23" s="108"/>
      <c r="S23" s="117"/>
      <c r="T23" s="257"/>
      <c r="U23" s="257"/>
      <c r="V23" s="257"/>
      <c r="W23" s="257"/>
      <c r="X23" s="257"/>
      <c r="Y23" s="118"/>
      <c r="AA23" t="s">
        <v>286</v>
      </c>
    </row>
    <row r="24" spans="1:27" ht="15" thickBot="1" x14ac:dyDescent="0.35">
      <c r="A24" s="389"/>
      <c r="B24" s="387" t="s">
        <v>298</v>
      </c>
      <c r="C24" s="387" t="s">
        <v>12</v>
      </c>
      <c r="D24" s="387" t="s">
        <v>13</v>
      </c>
      <c r="E24" s="387" t="s">
        <v>14</v>
      </c>
      <c r="F24" s="387" t="s">
        <v>15</v>
      </c>
      <c r="G24" s="5" t="s">
        <v>24</v>
      </c>
      <c r="H24" s="5" t="s">
        <v>25</v>
      </c>
      <c r="I24" s="5" t="s">
        <v>301</v>
      </c>
      <c r="J24" s="5"/>
      <c r="K24" s="108"/>
      <c r="S24" s="117"/>
      <c r="T24" s="257"/>
      <c r="U24" s="257"/>
      <c r="V24" s="257"/>
      <c r="W24" s="257"/>
      <c r="X24" s="257"/>
      <c r="Y24" s="118"/>
      <c r="AA24" t="s">
        <v>90</v>
      </c>
    </row>
    <row r="25" spans="1:27" x14ac:dyDescent="0.3">
      <c r="A25" s="389"/>
      <c r="B25" s="19" t="s">
        <v>258</v>
      </c>
      <c r="C25" s="390">
        <f>COUNTIF($S$12:$T$17,"Dänemark")</f>
        <v>3</v>
      </c>
      <c r="D25" s="124">
        <f>SUMPRODUCT(($S$12:$T$17=B25)*($X$12:$Y$17=3))</f>
        <v>2</v>
      </c>
      <c r="E25" s="124">
        <f>SUMPRODUCT(($S$12:$T$17=B25)*($X$12:$Y$17=1))</f>
        <v>1</v>
      </c>
      <c r="F25" s="124">
        <f>SUMPRODUCT(($S$12:$T$17=B25)*($X$12:$Y$17=2))</f>
        <v>0</v>
      </c>
      <c r="G25" s="124">
        <f>SUMPRODUCT(($S$12:$S$17=B25)*($U$12:$U$17))+SUMPRODUCT(($T$12:$T$17=B25)*($V$12:$V$17))</f>
        <v>5</v>
      </c>
      <c r="H25" s="124">
        <f>SUMPRODUCT(($S$12:$S$17=B25)*($V$12:$V$17))+SUMPRODUCT(($T$12:$T$17=B25)*($U$12:$U$17))</f>
        <v>2</v>
      </c>
      <c r="I25" s="16">
        <f>(D25*3)+E25</f>
        <v>7</v>
      </c>
      <c r="J25" s="18"/>
      <c r="K25" s="108"/>
      <c r="S25" s="117"/>
      <c r="T25" s="257"/>
      <c r="U25" s="257"/>
      <c r="V25" s="257"/>
      <c r="W25" s="257"/>
      <c r="X25" s="126"/>
      <c r="Y25" s="125"/>
      <c r="AA25" t="s">
        <v>61</v>
      </c>
    </row>
    <row r="26" spans="1:27" x14ac:dyDescent="0.3">
      <c r="A26" s="389"/>
      <c r="B26" s="21" t="s">
        <v>355</v>
      </c>
      <c r="C26" s="387">
        <f>COUNTIF($S$12:$T$17,"Senegal")</f>
        <v>3</v>
      </c>
      <c r="D26" s="43">
        <f>SUMPRODUCT(($S$12:$T$17=B26)*($X$12:$Y$17=3))</f>
        <v>1</v>
      </c>
      <c r="E26" s="43">
        <f>SUMPRODUCT(($S$12:$T$17=B26)*($X$12:$Y$17=1))</f>
        <v>2</v>
      </c>
      <c r="F26" s="43">
        <f>SUMPRODUCT(($S$12:$T$17=B26)*($X$12:$Y$17=2))</f>
        <v>0</v>
      </c>
      <c r="G26" s="43">
        <f>SUMPRODUCT(($S$12:$S$17=B26)*($U$12:$U$17))+SUMPRODUCT(($T$12:$T$17=B26)*($V$12:$V$17))</f>
        <v>5</v>
      </c>
      <c r="H26" s="43">
        <f>SUMPRODUCT(($S$12:$S$17=B26)*($V$12:$V$17))+SUMPRODUCT(($T$12:$T$17=B26)*($U$12:$U$17))</f>
        <v>4</v>
      </c>
      <c r="I26" s="22">
        <f>(D26*3)+E26</f>
        <v>5</v>
      </c>
      <c r="J26" s="18"/>
      <c r="K26" s="108"/>
      <c r="S26" s="117"/>
      <c r="T26" s="257"/>
      <c r="U26" s="257"/>
      <c r="V26" s="257"/>
      <c r="W26" s="257"/>
      <c r="X26" s="257"/>
      <c r="Y26" s="118"/>
      <c r="AA26" t="s">
        <v>20</v>
      </c>
    </row>
    <row r="27" spans="1:27" x14ac:dyDescent="0.3">
      <c r="A27" s="389"/>
      <c r="B27" s="3" t="s">
        <v>18</v>
      </c>
      <c r="C27" s="387">
        <f>COUNTIF($S$12:$T$17,"Uruguay")</f>
        <v>3</v>
      </c>
      <c r="D27" s="43">
        <f>SUMPRODUCT(($S$12:$T$17=B27)*($X$12:$Y$17=3))</f>
        <v>0</v>
      </c>
      <c r="E27" s="43">
        <f>SUMPRODUCT(($S$12:$T$17=B27)*($X$12:$Y$17=1))</f>
        <v>2</v>
      </c>
      <c r="F27" s="43">
        <f>SUMPRODUCT(($S$12:$T$17=B27)*($X$12:$Y$17=2))</f>
        <v>1</v>
      </c>
      <c r="G27" s="43">
        <f>SUMPRODUCT(($S$12:$S$17=B27)*($U$12:$U$17))+SUMPRODUCT(($T$12:$T$17=B27)*($V$12:$V$17))</f>
        <v>4</v>
      </c>
      <c r="H27" s="43">
        <f>SUMPRODUCT(($S$12:$S$17=B27)*($V$12:$V$17))+SUMPRODUCT(($T$12:$T$17=B27)*($U$12:$U$17))</f>
        <v>5</v>
      </c>
      <c r="I27" s="22">
        <f>(D27*3)+E27</f>
        <v>2</v>
      </c>
      <c r="J27" s="5"/>
      <c r="K27" s="108"/>
      <c r="S27" s="117"/>
      <c r="T27" s="257"/>
      <c r="U27" s="257"/>
      <c r="V27" s="257"/>
      <c r="W27" s="257"/>
      <c r="X27" s="257"/>
      <c r="Y27" s="118"/>
      <c r="AA27" t="s">
        <v>133</v>
      </c>
    </row>
    <row r="28" spans="1:27" ht="15" thickBot="1" x14ac:dyDescent="0.35">
      <c r="A28" s="24"/>
      <c r="B28" s="29" t="s">
        <v>3</v>
      </c>
      <c r="C28" s="393">
        <f>COUNTIF($S$12:$T$17,"Frankreich")</f>
        <v>3</v>
      </c>
      <c r="D28" s="80">
        <f>SUMPRODUCT(($S$12:$T$17=B28)*($X$12:$Y$17=3))</f>
        <v>0</v>
      </c>
      <c r="E28" s="80">
        <f>SUMPRODUCT(($S$12:$T$17=B28)*($X$12:$Y$17=1))</f>
        <v>1</v>
      </c>
      <c r="F28" s="80">
        <f>SUMPRODUCT(($S$12:$T$17=B28)*($X$12:$Y$17=2))</f>
        <v>2</v>
      </c>
      <c r="G28" s="80">
        <f>SUMPRODUCT(($S$12:$S$17=B28)*($U$12:$U$17))+SUMPRODUCT(($T$12:$T$17=B28)*($V$12:$V$17))</f>
        <v>0</v>
      </c>
      <c r="H28" s="80">
        <f>SUMPRODUCT(($S$12:$S$17=B28)*($V$12:$V$17))+SUMPRODUCT(($T$12:$T$17=B28)*($U$12:$U$17))</f>
        <v>3</v>
      </c>
      <c r="I28" s="32">
        <f>(D28*3)+E28</f>
        <v>1</v>
      </c>
      <c r="J28" s="5"/>
      <c r="K28" s="108"/>
      <c r="S28" s="117"/>
      <c r="T28" s="257"/>
      <c r="U28" s="257"/>
      <c r="V28" s="257"/>
      <c r="W28" s="257"/>
      <c r="X28" s="126"/>
      <c r="Y28" s="125"/>
      <c r="AA28" t="s">
        <v>290</v>
      </c>
    </row>
    <row r="29" spans="1:27" ht="15" thickBot="1" x14ac:dyDescent="0.35">
      <c r="A29" s="389"/>
      <c r="B29" s="387"/>
      <c r="C29" s="387"/>
      <c r="D29" s="387"/>
      <c r="E29" s="387"/>
      <c r="F29" s="387"/>
      <c r="G29" s="5"/>
      <c r="H29" s="5"/>
      <c r="I29" s="5"/>
      <c r="J29" s="5"/>
      <c r="K29" s="193"/>
      <c r="S29" s="117"/>
      <c r="T29" s="257"/>
      <c r="U29" s="257"/>
      <c r="V29" s="257"/>
      <c r="W29" s="257"/>
      <c r="X29" s="126"/>
      <c r="Y29" s="125"/>
      <c r="AA29" t="s">
        <v>190</v>
      </c>
    </row>
    <row r="30" spans="1:27" ht="15" thickTop="1" x14ac:dyDescent="0.3">
      <c r="A30" s="106"/>
      <c r="B30" s="25"/>
      <c r="C30" s="25"/>
      <c r="D30" s="25"/>
      <c r="E30" s="25"/>
      <c r="F30" s="25"/>
      <c r="G30" s="26"/>
      <c r="H30" s="26"/>
      <c r="I30" s="26"/>
      <c r="J30" s="26"/>
      <c r="K30" s="108"/>
      <c r="S30" s="117"/>
      <c r="T30" s="257"/>
      <c r="U30" s="257"/>
      <c r="V30" s="257"/>
      <c r="W30" s="257"/>
      <c r="X30" s="126"/>
      <c r="Y30" s="125"/>
      <c r="AA30" t="s">
        <v>88</v>
      </c>
    </row>
    <row r="31" spans="1:27" ht="21" x14ac:dyDescent="0.4">
      <c r="A31" s="389"/>
      <c r="B31" s="387"/>
      <c r="C31" s="387"/>
      <c r="D31" s="387"/>
      <c r="E31" s="387"/>
      <c r="F31" s="386" t="s">
        <v>120</v>
      </c>
      <c r="G31" s="5"/>
      <c r="H31" s="5"/>
      <c r="I31" s="5"/>
      <c r="J31" s="5"/>
      <c r="K31" s="108"/>
      <c r="S31" s="122"/>
      <c r="T31" s="17"/>
      <c r="U31" s="17"/>
      <c r="V31" s="17"/>
      <c r="X31" s="126"/>
      <c r="Y31" s="125"/>
      <c r="AA31" t="s">
        <v>313</v>
      </c>
    </row>
    <row r="32" spans="1:27" x14ac:dyDescent="0.3">
      <c r="A32" s="389"/>
      <c r="B32" s="387"/>
      <c r="C32" s="387"/>
      <c r="D32" s="387"/>
      <c r="E32" s="387"/>
      <c r="F32" s="28"/>
      <c r="G32" s="5"/>
      <c r="H32" s="5"/>
      <c r="I32" s="5"/>
      <c r="J32" s="5"/>
      <c r="K32" s="108"/>
      <c r="S32" s="117"/>
      <c r="T32" s="257"/>
      <c r="U32" s="257"/>
      <c r="V32" s="257"/>
      <c r="X32" s="126"/>
      <c r="Y32" s="125"/>
      <c r="AA32" t="s">
        <v>74</v>
      </c>
    </row>
    <row r="33" spans="1:27" x14ac:dyDescent="0.3">
      <c r="A33" s="389"/>
      <c r="B33" s="387"/>
      <c r="C33" s="40">
        <v>37409</v>
      </c>
      <c r="D33" s="49" t="s">
        <v>22</v>
      </c>
      <c r="E33" s="49" t="s">
        <v>348</v>
      </c>
      <c r="F33" s="49">
        <v>2</v>
      </c>
      <c r="G33" s="49">
        <v>2</v>
      </c>
      <c r="H33" s="387"/>
      <c r="I33" s="5" t="s">
        <v>359</v>
      </c>
      <c r="J33" s="5"/>
      <c r="K33" s="108"/>
      <c r="S33" s="117" t="s">
        <v>22</v>
      </c>
      <c r="T33" s="257" t="s">
        <v>348</v>
      </c>
      <c r="U33" s="257">
        <v>2</v>
      </c>
      <c r="V33" s="257">
        <v>2</v>
      </c>
      <c r="X33" s="126">
        <f t="shared" ref="X33:X38" si="2">(IF(U33&gt;V33,3,IF(U33=V33,1,2)))</f>
        <v>1</v>
      </c>
      <c r="Y33" s="125">
        <f t="shared" ref="Y33:Y38" si="3">(IF(V33&gt;U33,3,IF(U33=V33,1,2)))</f>
        <v>1</v>
      </c>
      <c r="AA33" t="s">
        <v>41</v>
      </c>
    </row>
    <row r="34" spans="1:27" ht="15" thickBot="1" x14ac:dyDescent="0.35">
      <c r="A34" s="389"/>
      <c r="B34" s="387"/>
      <c r="C34" s="58"/>
      <c r="D34" s="79"/>
      <c r="E34" s="79"/>
      <c r="F34" s="79" t="s">
        <v>172</v>
      </c>
      <c r="G34" s="79" t="s">
        <v>171</v>
      </c>
      <c r="H34" s="393"/>
      <c r="I34" s="8"/>
      <c r="J34" s="5"/>
      <c r="K34" s="108"/>
      <c r="S34" s="117" t="s">
        <v>35</v>
      </c>
      <c r="T34" s="257" t="s">
        <v>362</v>
      </c>
      <c r="U34" s="257">
        <v>3</v>
      </c>
      <c r="V34" s="257">
        <v>1</v>
      </c>
      <c r="X34" s="126">
        <f t="shared" si="2"/>
        <v>3</v>
      </c>
      <c r="Y34" s="125">
        <f t="shared" si="3"/>
        <v>2</v>
      </c>
      <c r="AA34" t="s">
        <v>5</v>
      </c>
    </row>
    <row r="35" spans="1:27" x14ac:dyDescent="0.3">
      <c r="A35" s="389"/>
      <c r="B35" s="387"/>
      <c r="C35" s="40">
        <v>37409</v>
      </c>
      <c r="D35" s="49" t="s">
        <v>35</v>
      </c>
      <c r="E35" s="49" t="s">
        <v>362</v>
      </c>
      <c r="F35" s="49">
        <v>3</v>
      </c>
      <c r="G35" s="49">
        <v>1</v>
      </c>
      <c r="H35" s="387"/>
      <c r="I35" s="5" t="s">
        <v>363</v>
      </c>
      <c r="J35" s="5"/>
      <c r="K35" s="108"/>
      <c r="S35" s="117" t="s">
        <v>35</v>
      </c>
      <c r="T35" s="257" t="s">
        <v>22</v>
      </c>
      <c r="U35" s="257">
        <v>3</v>
      </c>
      <c r="V35" s="257">
        <v>1</v>
      </c>
      <c r="X35" s="126">
        <f t="shared" si="2"/>
        <v>3</v>
      </c>
      <c r="Y35" s="125">
        <f t="shared" si="3"/>
        <v>2</v>
      </c>
      <c r="AA35" t="s">
        <v>307</v>
      </c>
    </row>
    <row r="36" spans="1:27" ht="15" thickBot="1" x14ac:dyDescent="0.35">
      <c r="A36" s="389"/>
      <c r="B36" s="387"/>
      <c r="C36" s="58"/>
      <c r="D36" s="79"/>
      <c r="E36" s="79"/>
      <c r="F36" s="79" t="s">
        <v>172</v>
      </c>
      <c r="G36" s="79" t="s">
        <v>171</v>
      </c>
      <c r="H36" s="393"/>
      <c r="I36" s="8"/>
      <c r="J36" s="5"/>
      <c r="K36" s="108"/>
      <c r="S36" s="117" t="s">
        <v>348</v>
      </c>
      <c r="T36" s="257" t="s">
        <v>362</v>
      </c>
      <c r="U36" s="257">
        <v>1</v>
      </c>
      <c r="V36" s="257">
        <v>0</v>
      </c>
      <c r="X36" s="126">
        <f t="shared" si="2"/>
        <v>3</v>
      </c>
      <c r="Y36" s="125">
        <f t="shared" si="3"/>
        <v>2</v>
      </c>
      <c r="AA36" t="s">
        <v>353</v>
      </c>
    </row>
    <row r="37" spans="1:27" x14ac:dyDescent="0.3">
      <c r="A37" s="389"/>
      <c r="B37" s="387"/>
      <c r="C37" s="40">
        <v>37414</v>
      </c>
      <c r="D37" s="49" t="s">
        <v>35</v>
      </c>
      <c r="E37" s="49" t="s">
        <v>22</v>
      </c>
      <c r="F37" s="49">
        <v>3</v>
      </c>
      <c r="G37" s="49">
        <v>1</v>
      </c>
      <c r="H37" s="387"/>
      <c r="I37" s="5" t="s">
        <v>364</v>
      </c>
      <c r="J37" s="5"/>
      <c r="K37" s="108"/>
      <c r="S37" s="117" t="s">
        <v>348</v>
      </c>
      <c r="T37" s="257" t="s">
        <v>35</v>
      </c>
      <c r="U37" s="257">
        <v>2</v>
      </c>
      <c r="V37" s="257">
        <v>3</v>
      </c>
      <c r="X37" s="126">
        <f t="shared" si="2"/>
        <v>2</v>
      </c>
      <c r="Y37" s="125">
        <f t="shared" si="3"/>
        <v>3</v>
      </c>
      <c r="AA37" t="s">
        <v>4</v>
      </c>
    </row>
    <row r="38" spans="1:27" ht="15" thickBot="1" x14ac:dyDescent="0.35">
      <c r="A38" s="389"/>
      <c r="B38" s="387"/>
      <c r="C38" s="58"/>
      <c r="D38" s="79"/>
      <c r="E38" s="79"/>
      <c r="F38" s="79" t="s">
        <v>170</v>
      </c>
      <c r="G38" s="79" t="s">
        <v>183</v>
      </c>
      <c r="H38" s="393"/>
      <c r="I38" s="8"/>
      <c r="J38" s="5"/>
      <c r="K38" s="108"/>
      <c r="S38" s="117" t="s">
        <v>362</v>
      </c>
      <c r="T38" s="257" t="s">
        <v>22</v>
      </c>
      <c r="U38" s="257">
        <v>1</v>
      </c>
      <c r="V38" s="257">
        <v>3</v>
      </c>
      <c r="X38" s="126">
        <f t="shared" si="2"/>
        <v>2</v>
      </c>
      <c r="Y38" s="125">
        <f t="shared" si="3"/>
        <v>3</v>
      </c>
      <c r="AA38" t="s">
        <v>37</v>
      </c>
    </row>
    <row r="39" spans="1:27" x14ac:dyDescent="0.3">
      <c r="A39" s="389"/>
      <c r="B39" s="387"/>
      <c r="C39" s="40">
        <v>37415</v>
      </c>
      <c r="D39" s="49" t="s">
        <v>348</v>
      </c>
      <c r="E39" s="49" t="s">
        <v>362</v>
      </c>
      <c r="F39" s="49">
        <v>1</v>
      </c>
      <c r="G39" s="49">
        <v>0</v>
      </c>
      <c r="H39" s="387"/>
      <c r="I39" s="5" t="s">
        <v>358</v>
      </c>
      <c r="J39" s="5"/>
      <c r="K39" s="108"/>
      <c r="S39" s="117"/>
      <c r="T39" s="257"/>
      <c r="U39" s="257"/>
      <c r="V39" s="257"/>
      <c r="X39" s="126"/>
      <c r="Y39" s="125"/>
      <c r="AA39" t="s">
        <v>377</v>
      </c>
    </row>
    <row r="40" spans="1:27" ht="15" thickBot="1" x14ac:dyDescent="0.35">
      <c r="A40" s="389"/>
      <c r="B40" s="387"/>
      <c r="C40" s="58"/>
      <c r="D40" s="79"/>
      <c r="E40" s="79"/>
      <c r="F40" s="79" t="s">
        <v>172</v>
      </c>
      <c r="G40" s="79" t="s">
        <v>171</v>
      </c>
      <c r="H40" s="393"/>
      <c r="I40" s="8"/>
      <c r="J40" s="5"/>
      <c r="K40" s="108"/>
      <c r="S40" s="117"/>
      <c r="T40" s="257"/>
      <c r="U40" s="257"/>
      <c r="V40" s="257"/>
      <c r="X40" s="126"/>
      <c r="Y40" s="125"/>
      <c r="AA40" t="s">
        <v>351</v>
      </c>
    </row>
    <row r="41" spans="1:27" x14ac:dyDescent="0.3">
      <c r="A41" s="389"/>
      <c r="B41" s="387"/>
      <c r="C41" s="40">
        <v>37419</v>
      </c>
      <c r="D41" s="43" t="s">
        <v>348</v>
      </c>
      <c r="E41" s="43" t="s">
        <v>35</v>
      </c>
      <c r="F41" s="43">
        <v>2</v>
      </c>
      <c r="G41" s="43">
        <v>3</v>
      </c>
      <c r="H41" s="17"/>
      <c r="I41" s="5" t="s">
        <v>365</v>
      </c>
      <c r="J41" s="5"/>
      <c r="K41" s="108"/>
      <c r="S41" s="117"/>
      <c r="T41" s="257"/>
      <c r="U41" s="257"/>
      <c r="V41" s="257"/>
      <c r="X41" s="126"/>
      <c r="Y41" s="125"/>
      <c r="AA41" t="s">
        <v>21</v>
      </c>
    </row>
    <row r="42" spans="1:27" ht="15" thickBot="1" x14ac:dyDescent="0.35">
      <c r="A42" s="389"/>
      <c r="B42" s="387"/>
      <c r="C42" s="58"/>
      <c r="D42" s="80"/>
      <c r="E42" s="80"/>
      <c r="F42" s="80" t="s">
        <v>172</v>
      </c>
      <c r="G42" s="80" t="s">
        <v>173</v>
      </c>
      <c r="H42" s="30"/>
      <c r="I42" s="8"/>
      <c r="J42" s="5"/>
      <c r="K42" s="108"/>
      <c r="S42" s="117"/>
      <c r="T42" s="257"/>
      <c r="U42" s="257"/>
      <c r="V42" s="257"/>
      <c r="W42" s="257"/>
      <c r="X42" s="126"/>
      <c r="Y42" s="125"/>
      <c r="AA42" t="s">
        <v>302</v>
      </c>
    </row>
    <row r="43" spans="1:27" x14ac:dyDescent="0.3">
      <c r="A43" s="389"/>
      <c r="B43" s="387"/>
      <c r="C43" s="40">
        <v>37419</v>
      </c>
      <c r="D43" s="43" t="s">
        <v>362</v>
      </c>
      <c r="E43" s="43" t="s">
        <v>22</v>
      </c>
      <c r="F43" s="43">
        <v>1</v>
      </c>
      <c r="G43" s="43">
        <v>3</v>
      </c>
      <c r="H43" s="17"/>
      <c r="I43" s="5" t="s">
        <v>366</v>
      </c>
      <c r="J43" s="5"/>
      <c r="K43" s="108"/>
      <c r="S43" s="117"/>
      <c r="T43" s="257"/>
      <c r="U43" s="257"/>
      <c r="V43" s="257"/>
      <c r="W43" s="257"/>
      <c r="X43" s="126"/>
      <c r="Y43" s="125"/>
      <c r="AA43" t="s">
        <v>176</v>
      </c>
    </row>
    <row r="44" spans="1:27" x14ac:dyDescent="0.3">
      <c r="A44" s="389"/>
      <c r="B44" s="387"/>
      <c r="C44" s="40"/>
      <c r="D44" s="43"/>
      <c r="E44" s="43"/>
      <c r="F44" s="43" t="s">
        <v>172</v>
      </c>
      <c r="G44" s="43" t="s">
        <v>171</v>
      </c>
      <c r="H44" s="17"/>
      <c r="I44" s="5"/>
      <c r="J44" s="5"/>
      <c r="K44" s="108"/>
      <c r="S44" s="117"/>
      <c r="T44" s="257"/>
      <c r="U44" s="257"/>
      <c r="V44" s="257"/>
      <c r="W44" s="257"/>
      <c r="X44" s="126"/>
      <c r="Y44" s="125"/>
    </row>
    <row r="45" spans="1:27" x14ac:dyDescent="0.3">
      <c r="A45" s="156"/>
      <c r="B45" s="17"/>
      <c r="C45" s="17"/>
      <c r="D45" s="17"/>
      <c r="E45" s="17"/>
      <c r="F45" s="17"/>
      <c r="G45" s="18"/>
      <c r="H45" s="5"/>
      <c r="I45" s="5"/>
      <c r="J45" s="5"/>
      <c r="K45" s="108"/>
      <c r="S45" s="117"/>
      <c r="T45" s="257"/>
      <c r="U45" s="257"/>
      <c r="V45" s="257"/>
      <c r="W45" s="257"/>
      <c r="X45" s="126"/>
      <c r="Y45" s="125"/>
    </row>
    <row r="46" spans="1:27" ht="15" thickBot="1" x14ac:dyDescent="0.35">
      <c r="A46" s="389"/>
      <c r="B46" s="387" t="s">
        <v>298</v>
      </c>
      <c r="C46" s="387" t="s">
        <v>12</v>
      </c>
      <c r="D46" s="387" t="s">
        <v>13</v>
      </c>
      <c r="E46" s="387" t="s">
        <v>14</v>
      </c>
      <c r="F46" s="387" t="s">
        <v>15</v>
      </c>
      <c r="G46" s="5" t="s">
        <v>24</v>
      </c>
      <c r="H46" s="5" t="s">
        <v>25</v>
      </c>
      <c r="I46" s="5" t="s">
        <v>301</v>
      </c>
      <c r="J46" s="5"/>
      <c r="K46" s="108"/>
      <c r="S46" s="117"/>
      <c r="T46" s="257"/>
      <c r="U46" s="257"/>
      <c r="V46" s="257"/>
      <c r="W46" s="257"/>
      <c r="X46" s="126"/>
      <c r="Y46" s="125"/>
    </row>
    <row r="47" spans="1:27" x14ac:dyDescent="0.3">
      <c r="A47" s="389"/>
      <c r="B47" s="14" t="s">
        <v>22</v>
      </c>
      <c r="C47" s="394">
        <v>3</v>
      </c>
      <c r="D47" s="394">
        <v>2</v>
      </c>
      <c r="E47" s="394">
        <v>1</v>
      </c>
      <c r="F47" s="394">
        <v>0</v>
      </c>
      <c r="G47" s="15">
        <v>6</v>
      </c>
      <c r="H47" s="15">
        <v>1</v>
      </c>
      <c r="I47" s="15">
        <v>7</v>
      </c>
      <c r="J47" s="86"/>
      <c r="K47" s="108"/>
      <c r="S47" s="117"/>
      <c r="T47" s="257"/>
      <c r="U47" s="257"/>
      <c r="V47" s="257"/>
      <c r="W47" s="257"/>
      <c r="X47" s="126"/>
      <c r="Y47" s="125"/>
    </row>
    <row r="48" spans="1:27" x14ac:dyDescent="0.3">
      <c r="A48" s="389"/>
      <c r="B48" s="21" t="s">
        <v>348</v>
      </c>
      <c r="C48" s="17"/>
      <c r="D48" s="17"/>
      <c r="E48" s="17"/>
      <c r="F48" s="17"/>
      <c r="G48" s="18"/>
      <c r="H48" s="18"/>
      <c r="I48" s="18"/>
      <c r="J48" s="86"/>
      <c r="K48" s="108"/>
      <c r="S48" s="117"/>
      <c r="T48" s="257"/>
      <c r="U48" s="257"/>
      <c r="V48" s="257"/>
      <c r="W48" s="257"/>
      <c r="X48" s="126"/>
      <c r="Y48" s="125"/>
    </row>
    <row r="49" spans="1:25" x14ac:dyDescent="0.3">
      <c r="A49" s="389"/>
      <c r="B49" s="3" t="s">
        <v>35</v>
      </c>
      <c r="C49" s="387"/>
      <c r="D49" s="387"/>
      <c r="E49" s="387"/>
      <c r="F49" s="387"/>
      <c r="G49" s="5"/>
      <c r="H49" s="5"/>
      <c r="I49" s="5"/>
      <c r="J49" s="87"/>
      <c r="K49" s="108"/>
      <c r="S49" s="117"/>
      <c r="T49" s="257"/>
      <c r="U49" s="257"/>
      <c r="V49" s="257"/>
      <c r="W49" s="257"/>
      <c r="X49" s="126"/>
      <c r="Y49" s="125"/>
    </row>
    <row r="50" spans="1:25" ht="15" thickBot="1" x14ac:dyDescent="0.35">
      <c r="A50" s="389"/>
      <c r="B50" s="7" t="s">
        <v>362</v>
      </c>
      <c r="C50" s="393"/>
      <c r="D50" s="393"/>
      <c r="E50" s="393"/>
      <c r="F50" s="393"/>
      <c r="G50" s="8"/>
      <c r="H50" s="8"/>
      <c r="I50" s="8"/>
      <c r="J50" s="87"/>
      <c r="K50" s="108"/>
      <c r="S50" s="117"/>
      <c r="T50" s="257"/>
      <c r="U50" s="257"/>
      <c r="V50" s="257"/>
      <c r="W50" s="257"/>
      <c r="X50" s="126"/>
      <c r="Y50" s="125"/>
    </row>
    <row r="51" spans="1:25" ht="15" thickBot="1" x14ac:dyDescent="0.35">
      <c r="A51" s="389"/>
      <c r="B51" s="387"/>
      <c r="C51" s="387"/>
      <c r="D51" s="387"/>
      <c r="E51" s="387"/>
      <c r="F51" s="387"/>
      <c r="G51" s="5"/>
      <c r="H51" s="5"/>
      <c r="I51" s="5"/>
      <c r="J51" s="5"/>
      <c r="K51" s="193"/>
      <c r="S51" s="117"/>
      <c r="T51" s="257"/>
      <c r="U51" s="257"/>
      <c r="V51" s="257"/>
      <c r="W51" s="257"/>
      <c r="X51" s="126"/>
      <c r="Y51" s="125"/>
    </row>
    <row r="52" spans="1:25" ht="15" thickTop="1" x14ac:dyDescent="0.3">
      <c r="A52" s="106"/>
      <c r="B52" s="25"/>
      <c r="C52" s="25"/>
      <c r="D52" s="25"/>
      <c r="E52" s="25"/>
      <c r="F52" s="25"/>
      <c r="G52" s="26"/>
      <c r="H52" s="26"/>
      <c r="I52" s="26"/>
      <c r="J52" s="26"/>
      <c r="K52" s="108"/>
      <c r="S52" s="117"/>
      <c r="T52" s="257"/>
      <c r="U52" s="257"/>
      <c r="V52" s="257"/>
      <c r="W52" s="257"/>
      <c r="X52" s="126"/>
      <c r="Y52" s="125"/>
    </row>
    <row r="53" spans="1:25" ht="21" x14ac:dyDescent="0.4">
      <c r="A53" s="389"/>
      <c r="B53" s="387"/>
      <c r="C53" s="387"/>
      <c r="D53" s="387"/>
      <c r="E53" s="387"/>
      <c r="F53" s="386" t="s">
        <v>121</v>
      </c>
      <c r="G53" s="5"/>
      <c r="H53" s="5"/>
      <c r="I53" s="5"/>
      <c r="J53" s="5"/>
      <c r="K53" s="108"/>
      <c r="S53" s="117"/>
      <c r="T53" s="257"/>
      <c r="U53" s="257"/>
      <c r="V53" s="257"/>
      <c r="W53" s="257"/>
      <c r="X53" s="126"/>
      <c r="Y53" s="125"/>
    </row>
    <row r="54" spans="1:25" x14ac:dyDescent="0.3">
      <c r="A54" s="389"/>
      <c r="B54" s="387"/>
      <c r="C54" s="387"/>
      <c r="D54" s="387"/>
      <c r="E54" s="387"/>
      <c r="F54" s="28"/>
      <c r="G54" s="5"/>
      <c r="H54" s="5"/>
      <c r="I54" s="5"/>
      <c r="J54" s="5"/>
      <c r="K54" s="108"/>
      <c r="S54" s="122"/>
      <c r="T54" s="17"/>
      <c r="U54" s="17"/>
      <c r="V54" s="17"/>
      <c r="W54" s="17"/>
      <c r="X54" s="126"/>
      <c r="Y54" s="125"/>
    </row>
    <row r="55" spans="1:25" x14ac:dyDescent="0.3">
      <c r="A55" s="389"/>
      <c r="B55" s="387"/>
      <c r="C55" s="40">
        <v>37410</v>
      </c>
      <c r="D55" s="49" t="s">
        <v>9</v>
      </c>
      <c r="E55" s="49" t="s">
        <v>82</v>
      </c>
      <c r="F55" s="49">
        <v>2</v>
      </c>
      <c r="G55" s="51">
        <v>1</v>
      </c>
      <c r="H55" s="5"/>
      <c r="I55" s="5" t="s">
        <v>357</v>
      </c>
      <c r="J55" s="5"/>
      <c r="K55" s="108"/>
      <c r="S55" s="122" t="s">
        <v>9</v>
      </c>
      <c r="T55" s="17" t="s">
        <v>82</v>
      </c>
      <c r="U55" s="17">
        <v>2</v>
      </c>
      <c r="V55" s="17">
        <v>1</v>
      </c>
      <c r="W55" s="17"/>
      <c r="X55" s="126">
        <f t="shared" ref="X55:X60" si="4">(IF(U55&gt;V55,3,IF(U55=V55,1,2)))</f>
        <v>3</v>
      </c>
      <c r="Y55" s="125">
        <f t="shared" ref="Y55:Y60" si="5">(IF(V55&gt;U55,3,IF(U55=V55,1,2)))</f>
        <v>2</v>
      </c>
    </row>
    <row r="56" spans="1:25" ht="15" thickBot="1" x14ac:dyDescent="0.35">
      <c r="A56" s="389"/>
      <c r="B56" s="387"/>
      <c r="C56" s="58"/>
      <c r="D56" s="79"/>
      <c r="E56" s="79"/>
      <c r="F56" s="79" t="s">
        <v>170</v>
      </c>
      <c r="G56" s="81" t="s">
        <v>183</v>
      </c>
      <c r="H56" s="8"/>
      <c r="I56" s="8"/>
      <c r="J56" s="5"/>
      <c r="K56" s="108"/>
      <c r="S56" s="122" t="s">
        <v>367</v>
      </c>
      <c r="T56" s="17" t="s">
        <v>286</v>
      </c>
      <c r="U56" s="17">
        <v>0</v>
      </c>
      <c r="V56" s="17">
        <v>2</v>
      </c>
      <c r="W56" s="17"/>
      <c r="X56" s="126">
        <f t="shared" si="4"/>
        <v>2</v>
      </c>
      <c r="Y56" s="125">
        <f t="shared" si="5"/>
        <v>3</v>
      </c>
    </row>
    <row r="57" spans="1:25" x14ac:dyDescent="0.3">
      <c r="A57" s="389"/>
      <c r="B57" s="387"/>
      <c r="C57" s="40">
        <v>37411</v>
      </c>
      <c r="D57" s="49" t="s">
        <v>367</v>
      </c>
      <c r="E57" s="49" t="s">
        <v>286</v>
      </c>
      <c r="F57" s="49">
        <v>0</v>
      </c>
      <c r="G57" s="51">
        <v>2</v>
      </c>
      <c r="H57" s="5"/>
      <c r="I57" s="5" t="s">
        <v>363</v>
      </c>
      <c r="J57" s="5"/>
      <c r="K57" s="108"/>
      <c r="S57" s="122" t="s">
        <v>9</v>
      </c>
      <c r="T57" s="17" t="s">
        <v>367</v>
      </c>
      <c r="U57" s="17">
        <v>4</v>
      </c>
      <c r="V57" s="17">
        <v>0</v>
      </c>
      <c r="W57" s="17"/>
      <c r="X57" s="126">
        <f t="shared" si="4"/>
        <v>3</v>
      </c>
      <c r="Y57" s="125">
        <f t="shared" si="5"/>
        <v>2</v>
      </c>
    </row>
    <row r="58" spans="1:25" ht="15" thickBot="1" x14ac:dyDescent="0.35">
      <c r="A58" s="389"/>
      <c r="B58" s="387"/>
      <c r="C58" s="58"/>
      <c r="D58" s="79"/>
      <c r="E58" s="79"/>
      <c r="F58" s="79" t="s">
        <v>170</v>
      </c>
      <c r="G58" s="81" t="s">
        <v>171</v>
      </c>
      <c r="H58" s="8"/>
      <c r="I58" s="8"/>
      <c r="J58" s="5"/>
      <c r="K58" s="108"/>
      <c r="S58" s="122" t="s">
        <v>286</v>
      </c>
      <c r="T58" s="17" t="s">
        <v>82</v>
      </c>
      <c r="U58" s="17">
        <v>1</v>
      </c>
      <c r="V58" s="17">
        <v>1</v>
      </c>
      <c r="W58" s="17"/>
      <c r="X58" s="126">
        <f t="shared" si="4"/>
        <v>1</v>
      </c>
      <c r="Y58" s="125">
        <f t="shared" si="5"/>
        <v>1</v>
      </c>
    </row>
    <row r="59" spans="1:25" x14ac:dyDescent="0.3">
      <c r="A59" s="389"/>
      <c r="B59" s="387"/>
      <c r="C59" s="40">
        <v>37415</v>
      </c>
      <c r="D59" s="49" t="s">
        <v>9</v>
      </c>
      <c r="E59" s="49" t="s">
        <v>367</v>
      </c>
      <c r="F59" s="49">
        <v>4</v>
      </c>
      <c r="G59" s="51">
        <v>0</v>
      </c>
      <c r="H59" s="5"/>
      <c r="I59" s="5" t="s">
        <v>366</v>
      </c>
      <c r="J59" s="5"/>
      <c r="K59" s="108"/>
      <c r="S59" s="122" t="s">
        <v>286</v>
      </c>
      <c r="T59" s="17" t="s">
        <v>9</v>
      </c>
      <c r="U59" s="17">
        <v>2</v>
      </c>
      <c r="V59" s="17">
        <v>5</v>
      </c>
      <c r="W59" s="17"/>
      <c r="X59" s="126">
        <f t="shared" si="4"/>
        <v>2</v>
      </c>
      <c r="Y59" s="125">
        <f t="shared" si="5"/>
        <v>3</v>
      </c>
    </row>
    <row r="60" spans="1:25" ht="15" thickBot="1" x14ac:dyDescent="0.35">
      <c r="A60" s="389"/>
      <c r="B60" s="387"/>
      <c r="C60" s="58"/>
      <c r="D60" s="79"/>
      <c r="E60" s="79"/>
      <c r="F60" s="79" t="s">
        <v>264</v>
      </c>
      <c r="G60" s="81" t="s">
        <v>171</v>
      </c>
      <c r="H60" s="8"/>
      <c r="I60" s="8"/>
      <c r="J60" s="5"/>
      <c r="K60" s="108"/>
      <c r="S60" s="122" t="s">
        <v>82</v>
      </c>
      <c r="T60" s="17" t="s">
        <v>367</v>
      </c>
      <c r="U60" s="17">
        <v>3</v>
      </c>
      <c r="V60" s="17">
        <v>0</v>
      </c>
      <c r="W60" s="17"/>
      <c r="X60" s="126">
        <f t="shared" si="4"/>
        <v>3</v>
      </c>
      <c r="Y60" s="125">
        <f t="shared" si="5"/>
        <v>2</v>
      </c>
    </row>
    <row r="61" spans="1:25" x14ac:dyDescent="0.3">
      <c r="A61" s="389"/>
      <c r="B61" s="387"/>
      <c r="C61" s="269">
        <v>37416</v>
      </c>
      <c r="D61" s="270" t="s">
        <v>286</v>
      </c>
      <c r="E61" s="270" t="s">
        <v>82</v>
      </c>
      <c r="F61" s="270">
        <v>1</v>
      </c>
      <c r="G61" s="271">
        <v>1</v>
      </c>
      <c r="H61" s="20"/>
      <c r="I61" s="20" t="s">
        <v>360</v>
      </c>
      <c r="J61" s="5"/>
      <c r="K61" s="108"/>
      <c r="S61" s="122"/>
      <c r="T61" s="17"/>
      <c r="U61" s="17"/>
      <c r="V61" s="17"/>
      <c r="W61" s="17"/>
      <c r="X61" s="126"/>
      <c r="Y61" s="125"/>
    </row>
    <row r="62" spans="1:25" ht="15" thickBot="1" x14ac:dyDescent="0.35">
      <c r="A62" s="389"/>
      <c r="B62" s="387"/>
      <c r="C62" s="58"/>
      <c r="D62" s="79"/>
      <c r="E62" s="79"/>
      <c r="F62" s="79" t="s">
        <v>170</v>
      </c>
      <c r="G62" s="81" t="s">
        <v>171</v>
      </c>
      <c r="H62" s="8"/>
      <c r="I62" s="8"/>
      <c r="J62" s="5"/>
      <c r="K62" s="108"/>
      <c r="S62" s="122"/>
      <c r="T62" s="17"/>
      <c r="U62" s="17"/>
      <c r="V62" s="17"/>
      <c r="W62" s="17"/>
      <c r="X62" s="126"/>
      <c r="Y62" s="125"/>
    </row>
    <row r="63" spans="1:25" x14ac:dyDescent="0.3">
      <c r="A63" s="389"/>
      <c r="B63" s="387"/>
      <c r="C63" s="40">
        <v>37420</v>
      </c>
      <c r="D63" s="49" t="s">
        <v>286</v>
      </c>
      <c r="E63" s="49" t="s">
        <v>9</v>
      </c>
      <c r="F63" s="49">
        <v>2</v>
      </c>
      <c r="G63" s="51">
        <v>5</v>
      </c>
      <c r="H63" s="5"/>
      <c r="I63" s="5" t="s">
        <v>361</v>
      </c>
      <c r="J63" s="5"/>
      <c r="K63" s="108"/>
      <c r="S63" s="122"/>
      <c r="T63" s="17"/>
      <c r="U63" s="17"/>
      <c r="V63" s="17"/>
      <c r="W63" s="17"/>
      <c r="X63" s="126"/>
      <c r="Y63" s="125"/>
    </row>
    <row r="64" spans="1:25" ht="15" thickBot="1" x14ac:dyDescent="0.35">
      <c r="A64" s="389"/>
      <c r="B64" s="387"/>
      <c r="C64" s="58"/>
      <c r="D64" s="79"/>
      <c r="E64" s="79"/>
      <c r="F64" s="79" t="s">
        <v>172</v>
      </c>
      <c r="G64" s="81" t="s">
        <v>274</v>
      </c>
      <c r="H64" s="8"/>
      <c r="I64" s="8"/>
      <c r="J64" s="5"/>
      <c r="K64" s="108"/>
      <c r="S64" s="122"/>
      <c r="T64" s="17"/>
      <c r="U64" s="17"/>
      <c r="V64" s="17"/>
      <c r="W64" s="17"/>
      <c r="X64" s="126"/>
      <c r="Y64" s="125"/>
    </row>
    <row r="65" spans="1:25" x14ac:dyDescent="0.3">
      <c r="A65" s="389"/>
      <c r="B65" s="387"/>
      <c r="C65" s="40">
        <v>37420</v>
      </c>
      <c r="D65" s="49" t="s">
        <v>82</v>
      </c>
      <c r="E65" s="49" t="s">
        <v>367</v>
      </c>
      <c r="F65" s="49">
        <v>3</v>
      </c>
      <c r="G65" s="51">
        <v>0</v>
      </c>
      <c r="H65" s="5"/>
      <c r="I65" s="5" t="s">
        <v>356</v>
      </c>
      <c r="J65" s="5"/>
      <c r="K65" s="108"/>
      <c r="S65" s="117"/>
      <c r="T65" s="257"/>
      <c r="U65" s="257"/>
      <c r="V65" s="257"/>
      <c r="W65" s="257"/>
      <c r="X65" s="126"/>
      <c r="Y65" s="125"/>
    </row>
    <row r="66" spans="1:25" x14ac:dyDescent="0.3">
      <c r="A66" s="156"/>
      <c r="B66" s="387"/>
      <c r="C66" s="387"/>
      <c r="D66" s="49"/>
      <c r="E66" s="49"/>
      <c r="F66" s="49" t="s">
        <v>215</v>
      </c>
      <c r="G66" s="51" t="s">
        <v>171</v>
      </c>
      <c r="H66" s="5"/>
      <c r="I66" s="5"/>
      <c r="J66" s="5"/>
      <c r="K66" s="108"/>
      <c r="S66" s="117"/>
      <c r="T66" s="257"/>
      <c r="U66" s="257"/>
      <c r="V66" s="257"/>
      <c r="W66" s="257"/>
      <c r="X66" s="126"/>
      <c r="Y66" s="125"/>
    </row>
    <row r="67" spans="1:25" x14ac:dyDescent="0.3">
      <c r="A67" s="156"/>
      <c r="B67" s="387"/>
      <c r="C67" s="387"/>
      <c r="D67" s="387"/>
      <c r="E67" s="387"/>
      <c r="F67" s="387"/>
      <c r="G67" s="5"/>
      <c r="H67" s="5"/>
      <c r="I67" s="5"/>
      <c r="J67" s="5"/>
      <c r="K67" s="108"/>
      <c r="S67" s="117"/>
      <c r="T67" s="257"/>
      <c r="U67" s="257"/>
      <c r="V67" s="257"/>
      <c r="W67" s="257"/>
      <c r="X67" s="126"/>
      <c r="Y67" s="125"/>
    </row>
    <row r="68" spans="1:25" ht="15" thickBot="1" x14ac:dyDescent="0.35">
      <c r="A68" s="389"/>
      <c r="B68" s="387" t="s">
        <v>298</v>
      </c>
      <c r="C68" s="387" t="s">
        <v>12</v>
      </c>
      <c r="D68" s="387" t="s">
        <v>13</v>
      </c>
      <c r="E68" s="387" t="s">
        <v>14</v>
      </c>
      <c r="F68" s="387" t="s">
        <v>15</v>
      </c>
      <c r="G68" s="5" t="s">
        <v>24</v>
      </c>
      <c r="H68" s="5" t="s">
        <v>25</v>
      </c>
      <c r="I68" s="5" t="s">
        <v>301</v>
      </c>
      <c r="J68" s="5"/>
      <c r="K68" s="108"/>
      <c r="S68" s="117"/>
      <c r="T68" s="257"/>
      <c r="U68" s="257"/>
      <c r="V68" s="257"/>
      <c r="W68" s="257"/>
      <c r="X68" s="126"/>
      <c r="Y68" s="125"/>
    </row>
    <row r="69" spans="1:25" x14ac:dyDescent="0.3">
      <c r="A69" s="389"/>
      <c r="B69" s="14" t="s">
        <v>9</v>
      </c>
      <c r="C69" s="394">
        <v>3</v>
      </c>
      <c r="D69" s="394">
        <v>2</v>
      </c>
      <c r="E69" s="394">
        <v>1</v>
      </c>
      <c r="F69" s="394">
        <v>0</v>
      </c>
      <c r="G69" s="15">
        <v>5</v>
      </c>
      <c r="H69" s="15">
        <v>3</v>
      </c>
      <c r="I69" s="15">
        <v>7</v>
      </c>
      <c r="J69" s="86"/>
      <c r="K69" s="108"/>
      <c r="S69" s="117"/>
      <c r="T69" s="257"/>
      <c r="U69" s="257"/>
      <c r="V69" s="257"/>
      <c r="W69" s="257"/>
      <c r="X69" s="126"/>
      <c r="Y69" s="125"/>
    </row>
    <row r="70" spans="1:25" x14ac:dyDescent="0.3">
      <c r="A70" s="389"/>
      <c r="B70" s="21" t="s">
        <v>82</v>
      </c>
      <c r="C70" s="17"/>
      <c r="D70" s="17"/>
      <c r="E70" s="17"/>
      <c r="F70" s="17"/>
      <c r="G70" s="18"/>
      <c r="H70" s="18"/>
      <c r="I70" s="18"/>
      <c r="J70" s="86"/>
      <c r="K70" s="108"/>
      <c r="S70" s="117"/>
      <c r="T70" s="257"/>
      <c r="U70" s="257"/>
      <c r="V70" s="257"/>
      <c r="W70" s="257"/>
      <c r="X70" s="126"/>
      <c r="Y70" s="125"/>
    </row>
    <row r="71" spans="1:25" x14ac:dyDescent="0.3">
      <c r="A71" s="389"/>
      <c r="B71" s="3" t="s">
        <v>367</v>
      </c>
      <c r="C71" s="387"/>
      <c r="D71" s="387"/>
      <c r="E71" s="387"/>
      <c r="F71" s="387"/>
      <c r="G71" s="5"/>
      <c r="H71" s="5"/>
      <c r="I71" s="5"/>
      <c r="J71" s="87"/>
      <c r="K71" s="108"/>
      <c r="S71" s="117"/>
      <c r="T71" s="257"/>
      <c r="U71" s="257"/>
      <c r="V71" s="257"/>
      <c r="W71" s="257"/>
      <c r="X71" s="126"/>
      <c r="Y71" s="125"/>
    </row>
    <row r="72" spans="1:25" ht="15" thickBot="1" x14ac:dyDescent="0.35">
      <c r="A72" s="389"/>
      <c r="B72" s="7" t="s">
        <v>286</v>
      </c>
      <c r="C72" s="393"/>
      <c r="D72" s="393"/>
      <c r="E72" s="393"/>
      <c r="F72" s="393"/>
      <c r="G72" s="8"/>
      <c r="H72" s="8"/>
      <c r="I72" s="8"/>
      <c r="J72" s="87"/>
      <c r="K72" s="108"/>
      <c r="S72" s="117"/>
      <c r="T72" s="257"/>
      <c r="U72" s="257"/>
      <c r="V72" s="257"/>
      <c r="W72" s="257"/>
      <c r="X72" s="126"/>
      <c r="Y72" s="125"/>
    </row>
    <row r="73" spans="1:25" ht="15" thickBot="1" x14ac:dyDescent="0.35">
      <c r="A73" s="389"/>
      <c r="B73" s="387"/>
      <c r="C73" s="387"/>
      <c r="D73" s="387"/>
      <c r="E73" s="387"/>
      <c r="F73" s="387"/>
      <c r="G73" s="5"/>
      <c r="H73" s="5"/>
      <c r="I73" s="5"/>
      <c r="J73" s="5"/>
      <c r="K73" s="193"/>
      <c r="S73" s="117"/>
      <c r="T73" s="257"/>
      <c r="U73" s="257"/>
      <c r="V73" s="257"/>
      <c r="W73" s="257"/>
      <c r="X73" s="126"/>
      <c r="Y73" s="125"/>
    </row>
    <row r="74" spans="1:25" ht="15" thickTop="1" x14ac:dyDescent="0.3">
      <c r="A74" s="106"/>
      <c r="B74" s="25"/>
      <c r="C74" s="25"/>
      <c r="D74" s="25"/>
      <c r="E74" s="25"/>
      <c r="F74" s="25"/>
      <c r="G74" s="26"/>
      <c r="H74" s="26"/>
      <c r="I74" s="26"/>
      <c r="J74" s="26"/>
      <c r="K74" s="108"/>
      <c r="S74" s="117"/>
      <c r="T74" s="257"/>
      <c r="U74" s="257"/>
      <c r="V74" s="257"/>
      <c r="W74" s="257"/>
      <c r="X74" s="126"/>
      <c r="Y74" s="125"/>
    </row>
    <row r="75" spans="1:25" ht="21" x14ac:dyDescent="0.4">
      <c r="A75" s="389"/>
      <c r="B75" s="387"/>
      <c r="C75" s="387"/>
      <c r="D75" s="387"/>
      <c r="E75" s="387"/>
      <c r="F75" s="386" t="s">
        <v>122</v>
      </c>
      <c r="G75" s="5"/>
      <c r="H75" s="5"/>
      <c r="I75" s="5"/>
      <c r="J75" s="5"/>
      <c r="K75" s="108"/>
      <c r="S75" s="117"/>
      <c r="T75" s="257"/>
      <c r="U75" s="257"/>
      <c r="V75" s="257"/>
      <c r="W75" s="257"/>
      <c r="X75" s="126"/>
      <c r="Y75" s="125"/>
    </row>
    <row r="76" spans="1:25" x14ac:dyDescent="0.3">
      <c r="A76" s="389"/>
      <c r="B76" s="387"/>
      <c r="C76" s="387"/>
      <c r="D76" s="387"/>
      <c r="E76" s="387"/>
      <c r="F76" s="28"/>
      <c r="G76" s="5"/>
      <c r="H76" s="5"/>
      <c r="I76" s="5"/>
      <c r="J76" s="5"/>
      <c r="K76" s="108"/>
      <c r="S76" s="117"/>
      <c r="T76" s="257"/>
      <c r="U76" s="257"/>
      <c r="V76" s="257"/>
      <c r="W76" s="257"/>
      <c r="X76" s="126"/>
      <c r="Y76" s="125"/>
    </row>
    <row r="77" spans="1:25" x14ac:dyDescent="0.3">
      <c r="A77" s="389"/>
      <c r="B77" s="387"/>
      <c r="C77" s="40">
        <v>37411</v>
      </c>
      <c r="D77" s="49" t="s">
        <v>90</v>
      </c>
      <c r="E77" s="49" t="s">
        <v>61</v>
      </c>
      <c r="F77" s="49">
        <v>2</v>
      </c>
      <c r="G77" s="51">
        <v>0</v>
      </c>
      <c r="H77" s="5"/>
      <c r="I77" s="5" t="s">
        <v>359</v>
      </c>
      <c r="J77" s="5"/>
      <c r="K77" s="108"/>
      <c r="S77" s="117" t="s">
        <v>90</v>
      </c>
      <c r="T77" s="257" t="s">
        <v>61</v>
      </c>
      <c r="U77" s="257">
        <v>2</v>
      </c>
      <c r="V77" s="257">
        <v>0</v>
      </c>
      <c r="W77" s="257"/>
      <c r="X77" s="126">
        <f t="shared" ref="X77:X82" si="6">(IF(U77&gt;V77,3,IF(U77=V77,1,2)))</f>
        <v>3</v>
      </c>
      <c r="Y77" s="125">
        <f t="shared" ref="Y77:Y82" si="7">(IF(V77&gt;U77,3,IF(U77=V77,1,2)))</f>
        <v>2</v>
      </c>
    </row>
    <row r="78" spans="1:25" ht="15" thickBot="1" x14ac:dyDescent="0.35">
      <c r="A78" s="389"/>
      <c r="B78" s="387"/>
      <c r="C78" s="58"/>
      <c r="D78" s="79"/>
      <c r="E78" s="79"/>
      <c r="F78" s="79" t="s">
        <v>172</v>
      </c>
      <c r="G78" s="81" t="s">
        <v>171</v>
      </c>
      <c r="H78" s="8"/>
      <c r="I78" s="8"/>
      <c r="J78" s="5"/>
      <c r="K78" s="108"/>
      <c r="S78" s="117" t="s">
        <v>20</v>
      </c>
      <c r="T78" s="257" t="s">
        <v>133</v>
      </c>
      <c r="U78" s="257">
        <v>3</v>
      </c>
      <c r="V78" s="257">
        <v>2</v>
      </c>
      <c r="W78" s="257"/>
      <c r="X78" s="126">
        <f t="shared" si="6"/>
        <v>3</v>
      </c>
      <c r="Y78" s="125">
        <f t="shared" si="7"/>
        <v>2</v>
      </c>
    </row>
    <row r="79" spans="1:25" x14ac:dyDescent="0.3">
      <c r="A79" s="389"/>
      <c r="B79" s="387"/>
      <c r="C79" s="40">
        <v>37412</v>
      </c>
      <c r="D79" s="49" t="s">
        <v>20</v>
      </c>
      <c r="E79" s="49" t="s">
        <v>133</v>
      </c>
      <c r="F79" s="49">
        <v>3</v>
      </c>
      <c r="G79" s="51">
        <v>2</v>
      </c>
      <c r="H79" s="5"/>
      <c r="I79" s="5" t="s">
        <v>361</v>
      </c>
      <c r="J79" s="5"/>
      <c r="K79" s="108"/>
      <c r="S79" s="117" t="s">
        <v>90</v>
      </c>
      <c r="T79" s="257" t="s">
        <v>20</v>
      </c>
      <c r="U79" s="257">
        <v>1</v>
      </c>
      <c r="V79" s="257">
        <v>1</v>
      </c>
      <c r="W79" s="257"/>
      <c r="X79" s="126">
        <f t="shared" si="6"/>
        <v>1</v>
      </c>
      <c r="Y79" s="125">
        <f t="shared" si="7"/>
        <v>1</v>
      </c>
    </row>
    <row r="80" spans="1:25" ht="15" thickBot="1" x14ac:dyDescent="0.35">
      <c r="A80" s="389"/>
      <c r="B80" s="387"/>
      <c r="C80" s="58"/>
      <c r="D80" s="79"/>
      <c r="E80" s="79"/>
      <c r="F80" s="79" t="s">
        <v>264</v>
      </c>
      <c r="G80" s="81" t="s">
        <v>183</v>
      </c>
      <c r="H80" s="8"/>
      <c r="I80" s="8"/>
      <c r="J80" s="5"/>
      <c r="K80" s="108"/>
      <c r="S80" s="117" t="s">
        <v>133</v>
      </c>
      <c r="T80" s="257" t="s">
        <v>61</v>
      </c>
      <c r="U80" s="257">
        <v>4</v>
      </c>
      <c r="V80" s="257">
        <v>0</v>
      </c>
      <c r="W80" s="257"/>
      <c r="X80" s="126">
        <f t="shared" si="6"/>
        <v>3</v>
      </c>
      <c r="Y80" s="125">
        <f t="shared" si="7"/>
        <v>2</v>
      </c>
    </row>
    <row r="81" spans="1:25" x14ac:dyDescent="0.3">
      <c r="A81" s="389"/>
      <c r="B81" s="387"/>
      <c r="C81" s="40">
        <v>37417</v>
      </c>
      <c r="D81" s="49" t="s">
        <v>90</v>
      </c>
      <c r="E81" s="49" t="s">
        <v>20</v>
      </c>
      <c r="F81" s="49">
        <v>1</v>
      </c>
      <c r="G81" s="51">
        <v>1</v>
      </c>
      <c r="H81" s="5"/>
      <c r="I81" s="5" t="s">
        <v>358</v>
      </c>
      <c r="J81" s="5"/>
      <c r="K81" s="108"/>
      <c r="S81" s="117" t="s">
        <v>133</v>
      </c>
      <c r="T81" s="257" t="s">
        <v>90</v>
      </c>
      <c r="U81" s="257">
        <v>0</v>
      </c>
      <c r="V81" s="257">
        <v>1</v>
      </c>
      <c r="W81" s="257"/>
      <c r="X81" s="126">
        <f t="shared" si="6"/>
        <v>2</v>
      </c>
      <c r="Y81" s="125">
        <f t="shared" si="7"/>
        <v>3</v>
      </c>
    </row>
    <row r="82" spans="1:25" ht="15" thickBot="1" x14ac:dyDescent="0.35">
      <c r="A82" s="389"/>
      <c r="B82" s="387"/>
      <c r="C82" s="58"/>
      <c r="D82" s="79"/>
      <c r="E82" s="79"/>
      <c r="F82" s="79" t="s">
        <v>170</v>
      </c>
      <c r="G82" s="81" t="s">
        <v>183</v>
      </c>
      <c r="H82" s="8"/>
      <c r="I82" s="8"/>
      <c r="J82" s="5"/>
      <c r="K82" s="108"/>
      <c r="S82" s="117" t="s">
        <v>61</v>
      </c>
      <c r="T82" s="257" t="s">
        <v>20</v>
      </c>
      <c r="U82" s="257">
        <v>3</v>
      </c>
      <c r="V82" s="257">
        <v>1</v>
      </c>
      <c r="W82" s="257"/>
      <c r="X82" s="126">
        <f t="shared" si="6"/>
        <v>3</v>
      </c>
      <c r="Y82" s="125">
        <f t="shared" si="7"/>
        <v>2</v>
      </c>
    </row>
    <row r="83" spans="1:25" x14ac:dyDescent="0.3">
      <c r="A83" s="389"/>
      <c r="B83" s="387"/>
      <c r="C83" s="40">
        <v>37417</v>
      </c>
      <c r="D83" s="49" t="s">
        <v>133</v>
      </c>
      <c r="E83" s="49" t="s">
        <v>61</v>
      </c>
      <c r="F83" s="49">
        <v>4</v>
      </c>
      <c r="G83" s="51">
        <v>0</v>
      </c>
      <c r="H83" s="5"/>
      <c r="I83" s="5" t="s">
        <v>364</v>
      </c>
      <c r="J83" s="5"/>
      <c r="K83" s="108"/>
      <c r="S83" s="117"/>
      <c r="T83" s="257"/>
      <c r="U83" s="257"/>
      <c r="V83" s="257"/>
      <c r="W83" s="257"/>
      <c r="X83" s="126"/>
      <c r="Y83" s="125"/>
    </row>
    <row r="84" spans="1:25" ht="15" thickBot="1" x14ac:dyDescent="0.35">
      <c r="A84" s="389"/>
      <c r="B84" s="387"/>
      <c r="C84" s="58"/>
      <c r="D84" s="79"/>
      <c r="E84" s="79"/>
      <c r="F84" s="79" t="s">
        <v>172</v>
      </c>
      <c r="G84" s="81" t="s">
        <v>171</v>
      </c>
      <c r="H84" s="8"/>
      <c r="I84" s="8"/>
      <c r="J84" s="5"/>
      <c r="K84" s="108"/>
      <c r="S84" s="117"/>
      <c r="T84" s="257"/>
      <c r="U84" s="257"/>
      <c r="V84" s="257"/>
      <c r="W84" s="257"/>
      <c r="X84" s="126"/>
      <c r="Y84" s="125"/>
    </row>
    <row r="85" spans="1:25" x14ac:dyDescent="0.3">
      <c r="A85" s="389"/>
      <c r="B85" s="387"/>
      <c r="C85" s="40">
        <v>37421</v>
      </c>
      <c r="D85" s="49" t="s">
        <v>133</v>
      </c>
      <c r="E85" s="49" t="s">
        <v>90</v>
      </c>
      <c r="F85" s="49">
        <v>0</v>
      </c>
      <c r="G85" s="51">
        <v>1</v>
      </c>
      <c r="H85" s="5"/>
      <c r="I85" s="5" t="s">
        <v>360</v>
      </c>
      <c r="J85" s="5"/>
      <c r="K85" s="108"/>
      <c r="S85" s="117"/>
      <c r="T85" s="257"/>
      <c r="U85" s="257"/>
      <c r="V85" s="257"/>
      <c r="W85" s="257"/>
      <c r="X85" s="126"/>
      <c r="Y85" s="125"/>
    </row>
    <row r="86" spans="1:25" ht="15" thickBot="1" x14ac:dyDescent="0.35">
      <c r="A86" s="389"/>
      <c r="B86" s="387"/>
      <c r="C86" s="58"/>
      <c r="D86" s="79"/>
      <c r="E86" s="79"/>
      <c r="F86" s="79" t="s">
        <v>170</v>
      </c>
      <c r="G86" s="81" t="s">
        <v>171</v>
      </c>
      <c r="H86" s="8"/>
      <c r="I86" s="8"/>
      <c r="J86" s="5"/>
      <c r="K86" s="108"/>
      <c r="S86" s="117"/>
      <c r="T86" s="257"/>
      <c r="U86" s="257"/>
      <c r="V86" s="257"/>
      <c r="W86" s="257"/>
      <c r="X86" s="126"/>
      <c r="Y86" s="125"/>
    </row>
    <row r="87" spans="1:25" x14ac:dyDescent="0.3">
      <c r="A87" s="389"/>
      <c r="B87" s="17"/>
      <c r="C87" s="40">
        <v>37421</v>
      </c>
      <c r="D87" s="43" t="s">
        <v>61</v>
      </c>
      <c r="E87" s="43" t="s">
        <v>20</v>
      </c>
      <c r="F87" s="49">
        <v>3</v>
      </c>
      <c r="G87" s="51">
        <v>1</v>
      </c>
      <c r="H87" s="5"/>
      <c r="I87" s="5" t="s">
        <v>365</v>
      </c>
      <c r="J87" s="5"/>
      <c r="K87" s="108"/>
      <c r="S87" s="117"/>
      <c r="T87" s="257"/>
      <c r="U87" s="257"/>
      <c r="V87" s="257"/>
      <c r="W87" s="257"/>
      <c r="X87" s="257"/>
      <c r="Y87" s="118"/>
    </row>
    <row r="88" spans="1:25" x14ac:dyDescent="0.3">
      <c r="A88" s="156"/>
      <c r="B88" s="17"/>
      <c r="C88" s="17"/>
      <c r="D88" s="43"/>
      <c r="E88" s="43"/>
      <c r="F88" s="49" t="s">
        <v>215</v>
      </c>
      <c r="G88" s="51" t="s">
        <v>171</v>
      </c>
      <c r="H88" s="5"/>
      <c r="I88" s="5"/>
      <c r="J88" s="5"/>
      <c r="K88" s="108"/>
      <c r="S88" s="117"/>
      <c r="T88" s="257"/>
      <c r="U88" s="257"/>
      <c r="V88" s="257"/>
      <c r="W88" s="257"/>
      <c r="X88" s="126"/>
      <c r="Y88" s="125"/>
    </row>
    <row r="89" spans="1:25" x14ac:dyDescent="0.3">
      <c r="A89" s="156"/>
      <c r="B89" s="17"/>
      <c r="C89" s="17"/>
      <c r="D89" s="17"/>
      <c r="E89" s="17"/>
      <c r="F89" s="387"/>
      <c r="G89" s="5"/>
      <c r="H89" s="5"/>
      <c r="I89" s="5"/>
      <c r="J89" s="5"/>
      <c r="K89" s="108"/>
      <c r="S89" s="117"/>
      <c r="T89" s="257"/>
      <c r="U89" s="257"/>
      <c r="V89" s="257"/>
      <c r="W89" s="257"/>
      <c r="X89" s="126"/>
      <c r="Y89" s="125"/>
    </row>
    <row r="90" spans="1:25" ht="15" thickBot="1" x14ac:dyDescent="0.35">
      <c r="A90" s="389"/>
      <c r="B90" s="387" t="s">
        <v>298</v>
      </c>
      <c r="C90" s="387" t="s">
        <v>12</v>
      </c>
      <c r="D90" s="387" t="s">
        <v>13</v>
      </c>
      <c r="E90" s="387" t="s">
        <v>14</v>
      </c>
      <c r="F90" s="387" t="s">
        <v>15</v>
      </c>
      <c r="G90" s="5" t="s">
        <v>24</v>
      </c>
      <c r="H90" s="5" t="s">
        <v>25</v>
      </c>
      <c r="I90" s="5" t="s">
        <v>301</v>
      </c>
      <c r="J90" s="5"/>
      <c r="K90" s="108"/>
      <c r="S90" s="117"/>
      <c r="T90" s="257"/>
      <c r="U90" s="257"/>
      <c r="V90" s="257"/>
      <c r="W90" s="257"/>
      <c r="X90" s="126"/>
      <c r="Y90" s="125"/>
    </row>
    <row r="91" spans="1:25" x14ac:dyDescent="0.3">
      <c r="A91" s="389"/>
      <c r="B91" s="14" t="s">
        <v>90</v>
      </c>
      <c r="C91" s="394">
        <v>3</v>
      </c>
      <c r="D91" s="394">
        <v>2</v>
      </c>
      <c r="E91" s="394">
        <v>0</v>
      </c>
      <c r="F91" s="394">
        <v>1</v>
      </c>
      <c r="G91" s="15">
        <v>6</v>
      </c>
      <c r="H91" s="15">
        <v>2</v>
      </c>
      <c r="I91" s="15">
        <v>6</v>
      </c>
      <c r="J91" s="86"/>
      <c r="K91" s="108"/>
      <c r="S91" s="117"/>
      <c r="T91" s="257"/>
      <c r="U91" s="257"/>
      <c r="V91" s="257"/>
      <c r="W91" s="257"/>
      <c r="X91" s="126"/>
      <c r="Y91" s="125"/>
    </row>
    <row r="92" spans="1:25" x14ac:dyDescent="0.3">
      <c r="A92" s="389"/>
      <c r="B92" s="21" t="s">
        <v>61</v>
      </c>
      <c r="C92" s="17"/>
      <c r="D92" s="17"/>
      <c r="E92" s="17"/>
      <c r="F92" s="17"/>
      <c r="G92" s="18"/>
      <c r="H92" s="18"/>
      <c r="I92" s="18"/>
      <c r="J92" s="86"/>
      <c r="K92" s="108"/>
      <c r="S92" s="117"/>
      <c r="T92" s="257"/>
      <c r="U92" s="257"/>
      <c r="V92" s="257"/>
      <c r="W92" s="257"/>
      <c r="X92" s="257"/>
      <c r="Y92" s="118"/>
    </row>
    <row r="93" spans="1:25" x14ac:dyDescent="0.3">
      <c r="A93" s="389"/>
      <c r="B93" s="3" t="s">
        <v>20</v>
      </c>
      <c r="C93" s="387"/>
      <c r="D93" s="387"/>
      <c r="E93" s="387"/>
      <c r="F93" s="387"/>
      <c r="G93" s="5"/>
      <c r="H93" s="5"/>
      <c r="I93" s="5"/>
      <c r="J93" s="87"/>
      <c r="K93" s="108"/>
      <c r="S93" s="117"/>
      <c r="T93" s="257"/>
      <c r="U93" s="257"/>
      <c r="V93" s="257"/>
      <c r="W93" s="257"/>
      <c r="X93" s="257"/>
      <c r="Y93" s="118"/>
    </row>
    <row r="94" spans="1:25" ht="15" thickBot="1" x14ac:dyDescent="0.35">
      <c r="A94" s="389"/>
      <c r="B94" s="7" t="s">
        <v>133</v>
      </c>
      <c r="C94" s="393"/>
      <c r="D94" s="393"/>
      <c r="E94" s="393"/>
      <c r="F94" s="393"/>
      <c r="G94" s="8"/>
      <c r="H94" s="8"/>
      <c r="I94" s="8"/>
      <c r="J94" s="87"/>
      <c r="K94" s="108"/>
      <c r="S94" s="117"/>
      <c r="T94" s="257"/>
      <c r="U94" s="257"/>
      <c r="V94" s="257"/>
      <c r="W94" s="257"/>
      <c r="X94" s="257"/>
      <c r="Y94" s="118"/>
    </row>
    <row r="95" spans="1:25" ht="15" thickBot="1" x14ac:dyDescent="0.35">
      <c r="A95" s="389"/>
      <c r="B95" s="387"/>
      <c r="C95" s="387"/>
      <c r="D95" s="387"/>
      <c r="E95" s="387"/>
      <c r="F95" s="387"/>
      <c r="G95" s="5"/>
      <c r="H95" s="5"/>
      <c r="I95" s="5"/>
      <c r="J95" s="5"/>
      <c r="K95" s="193"/>
      <c r="S95" s="117"/>
      <c r="T95" s="257"/>
      <c r="U95" s="257"/>
      <c r="V95" s="257"/>
      <c r="W95" s="257"/>
      <c r="X95" s="126"/>
      <c r="Y95" s="125"/>
    </row>
    <row r="96" spans="1:25" ht="15" thickTop="1" x14ac:dyDescent="0.3">
      <c r="A96" s="106"/>
      <c r="B96" s="25"/>
      <c r="C96" s="25"/>
      <c r="D96" s="25"/>
      <c r="E96" s="25"/>
      <c r="F96" s="25"/>
      <c r="G96" s="26"/>
      <c r="H96" s="26"/>
      <c r="I96" s="26"/>
      <c r="J96" s="26"/>
      <c r="K96" s="108"/>
      <c r="S96" s="117"/>
      <c r="T96" s="257"/>
      <c r="U96" s="257"/>
      <c r="V96" s="257"/>
      <c r="W96" s="257"/>
      <c r="X96" s="126"/>
      <c r="Y96" s="125"/>
    </row>
    <row r="97" spans="1:25" ht="21" x14ac:dyDescent="0.4">
      <c r="A97" s="389"/>
      <c r="B97" s="387"/>
      <c r="C97" s="387"/>
      <c r="D97" s="387"/>
      <c r="E97" s="387"/>
      <c r="F97" s="386" t="s">
        <v>246</v>
      </c>
      <c r="G97" s="5"/>
      <c r="H97" s="5"/>
      <c r="I97" s="5"/>
      <c r="J97" s="5"/>
      <c r="K97" s="108"/>
      <c r="S97" s="117"/>
      <c r="T97" s="257"/>
      <c r="U97" s="257"/>
      <c r="V97" s="257"/>
      <c r="W97" s="257"/>
      <c r="X97" s="126"/>
      <c r="Y97" s="125"/>
    </row>
    <row r="98" spans="1:25" x14ac:dyDescent="0.3">
      <c r="A98" s="389"/>
      <c r="B98" s="387"/>
      <c r="C98" s="387"/>
      <c r="D98" s="387"/>
      <c r="E98" s="387"/>
      <c r="F98" s="28"/>
      <c r="G98" s="5"/>
      <c r="H98" s="5"/>
      <c r="I98" s="5"/>
      <c r="J98" s="5"/>
      <c r="K98" s="108"/>
      <c r="S98" s="117"/>
      <c r="T98" s="257"/>
      <c r="U98" s="257"/>
      <c r="V98" s="257"/>
      <c r="W98" s="257"/>
      <c r="X98" s="126"/>
      <c r="Y98" s="125"/>
    </row>
    <row r="99" spans="1:25" x14ac:dyDescent="0.3">
      <c r="A99" s="389"/>
      <c r="B99" s="387"/>
      <c r="C99" s="40">
        <v>37408</v>
      </c>
      <c r="D99" s="49" t="s">
        <v>290</v>
      </c>
      <c r="E99" s="49" t="s">
        <v>190</v>
      </c>
      <c r="F99" s="49">
        <v>1</v>
      </c>
      <c r="G99" s="51">
        <v>1</v>
      </c>
      <c r="H99" s="5"/>
      <c r="I99" s="5" t="s">
        <v>368</v>
      </c>
      <c r="J99" s="5"/>
      <c r="K99" s="108"/>
      <c r="S99" s="117" t="s">
        <v>290</v>
      </c>
      <c r="T99" s="257" t="s">
        <v>190</v>
      </c>
      <c r="U99" s="257">
        <v>1</v>
      </c>
      <c r="V99" s="257">
        <v>1</v>
      </c>
      <c r="W99" s="257"/>
      <c r="X99" s="126">
        <f t="shared" ref="X99:X104" si="8">(IF(U99&gt;V99,3,IF(U99=V99,1,2)))</f>
        <v>1</v>
      </c>
      <c r="Y99" s="125">
        <f t="shared" ref="Y99:Y104" si="9">(IF(V99&gt;U99,3,IF(U99=V99,1,2)))</f>
        <v>1</v>
      </c>
    </row>
    <row r="100" spans="1:25" ht="15" thickBot="1" x14ac:dyDescent="0.35">
      <c r="A100" s="389"/>
      <c r="B100" s="387"/>
      <c r="C100" s="58"/>
      <c r="D100" s="79"/>
      <c r="E100" s="79"/>
      <c r="F100" s="79" t="s">
        <v>170</v>
      </c>
      <c r="G100" s="81" t="s">
        <v>183</v>
      </c>
      <c r="H100" s="8"/>
      <c r="I100" s="8"/>
      <c r="J100" s="5"/>
      <c r="K100" s="108"/>
      <c r="S100" s="117" t="s">
        <v>88</v>
      </c>
      <c r="T100" s="257" t="s">
        <v>313</v>
      </c>
      <c r="U100" s="257">
        <v>8</v>
      </c>
      <c r="V100" s="257">
        <v>0</v>
      </c>
      <c r="W100" s="257"/>
      <c r="X100" s="126">
        <f t="shared" si="8"/>
        <v>3</v>
      </c>
      <c r="Y100" s="125">
        <f t="shared" si="9"/>
        <v>2</v>
      </c>
    </row>
    <row r="101" spans="1:25" x14ac:dyDescent="0.3">
      <c r="A101" s="389"/>
      <c r="B101" s="387"/>
      <c r="C101" s="40">
        <v>37408</v>
      </c>
      <c r="D101" s="49" t="s">
        <v>88</v>
      </c>
      <c r="E101" s="49" t="s">
        <v>313</v>
      </c>
      <c r="F101" s="49">
        <v>8</v>
      </c>
      <c r="G101" s="51">
        <v>0</v>
      </c>
      <c r="H101" s="5"/>
      <c r="I101" s="5" t="s">
        <v>369</v>
      </c>
      <c r="J101" s="5"/>
      <c r="K101" s="108"/>
      <c r="S101" s="117" t="s">
        <v>88</v>
      </c>
      <c r="T101" s="257" t="s">
        <v>290</v>
      </c>
      <c r="U101" s="257">
        <v>1</v>
      </c>
      <c r="V101" s="257">
        <v>1</v>
      </c>
      <c r="W101" s="257"/>
      <c r="X101" s="126">
        <f t="shared" si="8"/>
        <v>1</v>
      </c>
      <c r="Y101" s="125">
        <f t="shared" si="9"/>
        <v>1</v>
      </c>
    </row>
    <row r="102" spans="1:25" s="13" customFormat="1" ht="15" thickBot="1" x14ac:dyDescent="0.35">
      <c r="A102" s="389"/>
      <c r="B102" s="387"/>
      <c r="C102" s="58"/>
      <c r="D102" s="79"/>
      <c r="E102" s="79"/>
      <c r="F102" s="79" t="s">
        <v>268</v>
      </c>
      <c r="G102" s="81" t="s">
        <v>171</v>
      </c>
      <c r="H102" s="8"/>
      <c r="I102" s="8"/>
      <c r="J102" s="5"/>
      <c r="K102" s="108"/>
      <c r="S102" s="117" t="s">
        <v>190</v>
      </c>
      <c r="T102" s="257" t="s">
        <v>313</v>
      </c>
      <c r="U102" s="257">
        <v>1</v>
      </c>
      <c r="V102" s="257">
        <v>0</v>
      </c>
      <c r="W102" s="257"/>
      <c r="X102" s="126">
        <f t="shared" si="8"/>
        <v>3</v>
      </c>
      <c r="Y102" s="125">
        <f t="shared" si="9"/>
        <v>2</v>
      </c>
    </row>
    <row r="103" spans="1:25" s="13" customFormat="1" x14ac:dyDescent="0.3">
      <c r="A103" s="389"/>
      <c r="B103" s="387"/>
      <c r="C103" s="40">
        <v>37412</v>
      </c>
      <c r="D103" s="49" t="s">
        <v>88</v>
      </c>
      <c r="E103" s="49" t="s">
        <v>290</v>
      </c>
      <c r="F103" s="49">
        <v>1</v>
      </c>
      <c r="G103" s="51">
        <v>1</v>
      </c>
      <c r="H103" s="5"/>
      <c r="I103" s="5" t="s">
        <v>370</v>
      </c>
      <c r="J103" s="5"/>
      <c r="K103" s="108"/>
      <c r="S103" s="117" t="s">
        <v>190</v>
      </c>
      <c r="T103" s="257" t="s">
        <v>88</v>
      </c>
      <c r="U103" s="257">
        <v>0</v>
      </c>
      <c r="V103" s="257">
        <v>2</v>
      </c>
      <c r="W103" s="257"/>
      <c r="X103" s="126">
        <f t="shared" si="8"/>
        <v>2</v>
      </c>
      <c r="Y103" s="125">
        <f t="shared" si="9"/>
        <v>3</v>
      </c>
    </row>
    <row r="104" spans="1:25" s="13" customFormat="1" ht="15" thickBot="1" x14ac:dyDescent="0.35">
      <c r="A104" s="389"/>
      <c r="B104" s="387"/>
      <c r="C104" s="58"/>
      <c r="D104" s="79"/>
      <c r="E104" s="79"/>
      <c r="F104" s="79" t="s">
        <v>172</v>
      </c>
      <c r="G104" s="81" t="s">
        <v>171</v>
      </c>
      <c r="H104" s="8"/>
      <c r="I104" s="8"/>
      <c r="J104" s="5"/>
      <c r="K104" s="108"/>
      <c r="S104" s="117" t="s">
        <v>313</v>
      </c>
      <c r="T104" s="257" t="s">
        <v>290</v>
      </c>
      <c r="U104" s="257">
        <v>0</v>
      </c>
      <c r="V104" s="257">
        <v>3</v>
      </c>
      <c r="W104" s="257"/>
      <c r="X104" s="126">
        <f t="shared" si="8"/>
        <v>2</v>
      </c>
      <c r="Y104" s="125">
        <f t="shared" si="9"/>
        <v>3</v>
      </c>
    </row>
    <row r="105" spans="1:25" x14ac:dyDescent="0.3">
      <c r="A105" s="389"/>
      <c r="B105" s="387"/>
      <c r="C105" s="40">
        <v>37413</v>
      </c>
      <c r="D105" s="49" t="s">
        <v>190</v>
      </c>
      <c r="E105" s="49" t="s">
        <v>313</v>
      </c>
      <c r="F105" s="49">
        <v>1</v>
      </c>
      <c r="G105" s="51">
        <v>0</v>
      </c>
      <c r="H105" s="5"/>
      <c r="I105" s="5" t="s">
        <v>371</v>
      </c>
      <c r="J105" s="5"/>
      <c r="K105" s="108"/>
      <c r="S105" s="117"/>
      <c r="T105" s="257"/>
      <c r="U105" s="257"/>
      <c r="V105" s="257"/>
      <c r="W105" s="257"/>
      <c r="X105" s="126"/>
      <c r="Y105" s="125"/>
    </row>
    <row r="106" spans="1:25" ht="15" thickBot="1" x14ac:dyDescent="0.35">
      <c r="A106" s="389"/>
      <c r="B106" s="387"/>
      <c r="C106" s="58"/>
      <c r="D106" s="79"/>
      <c r="E106" s="79"/>
      <c r="F106" s="79" t="s">
        <v>170</v>
      </c>
      <c r="G106" s="81" t="s">
        <v>171</v>
      </c>
      <c r="H106" s="8"/>
      <c r="I106" s="8"/>
      <c r="J106" s="5"/>
      <c r="K106" s="108"/>
      <c r="S106" s="117"/>
      <c r="T106" s="257"/>
      <c r="U106" s="257"/>
      <c r="V106" s="257"/>
      <c r="W106" s="257"/>
      <c r="X106" s="126"/>
      <c r="Y106" s="125"/>
    </row>
    <row r="107" spans="1:25" x14ac:dyDescent="0.3">
      <c r="A107" s="389"/>
      <c r="B107" s="387"/>
      <c r="C107" s="269">
        <v>37418</v>
      </c>
      <c r="D107" s="270" t="s">
        <v>190</v>
      </c>
      <c r="E107" s="270" t="s">
        <v>88</v>
      </c>
      <c r="F107" s="270">
        <v>0</v>
      </c>
      <c r="G107" s="271">
        <v>2</v>
      </c>
      <c r="H107" s="20"/>
      <c r="I107" s="20" t="s">
        <v>372</v>
      </c>
      <c r="J107" s="5"/>
      <c r="K107" s="108"/>
      <c r="S107" s="117"/>
      <c r="T107" s="257"/>
      <c r="U107" s="257"/>
      <c r="V107" s="257"/>
      <c r="W107" s="257"/>
      <c r="X107" s="126"/>
      <c r="Y107" s="125"/>
    </row>
    <row r="108" spans="1:25" ht="15" thickBot="1" x14ac:dyDescent="0.35">
      <c r="A108" s="389"/>
      <c r="B108" s="387"/>
      <c r="C108" s="58"/>
      <c r="D108" s="79"/>
      <c r="E108" s="79"/>
      <c r="F108" s="79" t="s">
        <v>170</v>
      </c>
      <c r="G108" s="81" t="s">
        <v>171</v>
      </c>
      <c r="H108" s="8"/>
      <c r="I108" s="8"/>
      <c r="J108" s="5"/>
      <c r="K108" s="108"/>
      <c r="S108" s="117"/>
      <c r="T108" s="282"/>
      <c r="U108" s="282"/>
      <c r="V108" s="282"/>
      <c r="W108" s="282"/>
      <c r="X108" s="126"/>
      <c r="Y108" s="125"/>
    </row>
    <row r="109" spans="1:25" x14ac:dyDescent="0.3">
      <c r="A109" s="389"/>
      <c r="B109" s="17"/>
      <c r="C109" s="40">
        <v>37418</v>
      </c>
      <c r="D109" s="43" t="s">
        <v>313</v>
      </c>
      <c r="E109" s="43" t="s">
        <v>290</v>
      </c>
      <c r="F109" s="49">
        <v>0</v>
      </c>
      <c r="G109" s="51">
        <v>3</v>
      </c>
      <c r="H109" s="5"/>
      <c r="I109" s="5" t="s">
        <v>373</v>
      </c>
      <c r="J109" s="5"/>
      <c r="K109" s="108"/>
      <c r="S109" s="117"/>
      <c r="T109" s="257"/>
      <c r="U109" s="257"/>
      <c r="V109" s="257"/>
      <c r="W109" s="257"/>
      <c r="X109" s="126"/>
      <c r="Y109" s="125"/>
    </row>
    <row r="110" spans="1:25" x14ac:dyDescent="0.3">
      <c r="A110" s="156"/>
      <c r="B110" s="17"/>
      <c r="C110" s="17"/>
      <c r="D110" s="43"/>
      <c r="E110" s="43"/>
      <c r="F110" s="49" t="s">
        <v>170</v>
      </c>
      <c r="G110" s="51" t="s">
        <v>183</v>
      </c>
      <c r="H110" s="5"/>
      <c r="I110" s="5"/>
      <c r="J110" s="5"/>
      <c r="K110" s="108"/>
      <c r="S110" s="117"/>
      <c r="T110" s="257"/>
      <c r="U110" s="257"/>
      <c r="V110" s="257"/>
      <c r="W110" s="257"/>
      <c r="X110" s="126"/>
      <c r="Y110" s="125"/>
    </row>
    <row r="111" spans="1:25" x14ac:dyDescent="0.3">
      <c r="A111" s="156"/>
      <c r="B111" s="17"/>
      <c r="C111" s="17"/>
      <c r="D111" s="17"/>
      <c r="E111" s="17"/>
      <c r="F111" s="387"/>
      <c r="G111" s="5"/>
      <c r="H111" s="5"/>
      <c r="I111" s="5"/>
      <c r="J111" s="5"/>
      <c r="K111" s="108"/>
      <c r="S111" s="117"/>
      <c r="T111" s="257"/>
      <c r="U111" s="257"/>
      <c r="V111" s="257"/>
      <c r="W111" s="257"/>
      <c r="X111" s="126"/>
      <c r="Y111" s="125"/>
    </row>
    <row r="112" spans="1:25" ht="15" thickBot="1" x14ac:dyDescent="0.35">
      <c r="A112" s="389"/>
      <c r="B112" s="387" t="s">
        <v>298</v>
      </c>
      <c r="C112" s="387" t="s">
        <v>12</v>
      </c>
      <c r="D112" s="387" t="s">
        <v>13</v>
      </c>
      <c r="E112" s="387" t="s">
        <v>14</v>
      </c>
      <c r="F112" s="387" t="s">
        <v>15</v>
      </c>
      <c r="G112" s="5" t="s">
        <v>24</v>
      </c>
      <c r="H112" s="5" t="s">
        <v>25</v>
      </c>
      <c r="I112" s="5" t="s">
        <v>301</v>
      </c>
      <c r="J112" s="5"/>
      <c r="K112" s="108"/>
      <c r="S112" s="117"/>
      <c r="T112" s="257"/>
      <c r="U112" s="257"/>
      <c r="V112" s="257"/>
      <c r="W112" s="257"/>
      <c r="X112" s="257"/>
      <c r="Y112" s="118"/>
    </row>
    <row r="113" spans="1:25" x14ac:dyDescent="0.3">
      <c r="A113" s="389"/>
      <c r="B113" s="14" t="s">
        <v>290</v>
      </c>
      <c r="C113" s="394">
        <v>3</v>
      </c>
      <c r="D113" s="394">
        <v>1</v>
      </c>
      <c r="E113" s="394">
        <v>1</v>
      </c>
      <c r="F113" s="394">
        <v>1</v>
      </c>
      <c r="G113" s="15">
        <v>3</v>
      </c>
      <c r="H113" s="15">
        <v>3</v>
      </c>
      <c r="I113" s="15">
        <v>4</v>
      </c>
      <c r="J113" s="86"/>
      <c r="K113" s="108"/>
      <c r="S113" s="117"/>
      <c r="T113" s="257"/>
      <c r="U113" s="257"/>
      <c r="V113" s="257"/>
      <c r="W113" s="257"/>
      <c r="X113" s="257"/>
      <c r="Y113" s="118"/>
    </row>
    <row r="114" spans="1:25" s="13" customFormat="1" x14ac:dyDescent="0.3">
      <c r="A114" s="389"/>
      <c r="B114" s="21" t="s">
        <v>190</v>
      </c>
      <c r="C114" s="17"/>
      <c r="D114" s="17"/>
      <c r="E114" s="17"/>
      <c r="F114" s="17"/>
      <c r="G114" s="18"/>
      <c r="H114" s="18"/>
      <c r="I114" s="18"/>
      <c r="J114" s="86"/>
      <c r="K114" s="108"/>
      <c r="S114" s="117"/>
      <c r="T114" s="257"/>
      <c r="U114" s="257"/>
      <c r="V114" s="257"/>
      <c r="W114" s="257"/>
      <c r="X114" s="126"/>
      <c r="Y114" s="125"/>
    </row>
    <row r="115" spans="1:25" s="13" customFormat="1" x14ac:dyDescent="0.3">
      <c r="A115" s="389"/>
      <c r="B115" s="3" t="s">
        <v>88</v>
      </c>
      <c r="C115" s="387"/>
      <c r="D115" s="387"/>
      <c r="E115" s="387"/>
      <c r="F115" s="387"/>
      <c r="G115" s="5"/>
      <c r="H115" s="5"/>
      <c r="I115" s="5"/>
      <c r="J115" s="87"/>
      <c r="K115" s="108"/>
      <c r="S115" s="117"/>
      <c r="T115" s="257"/>
      <c r="U115" s="257"/>
      <c r="V115" s="257"/>
      <c r="W115" s="257"/>
      <c r="X115" s="126"/>
      <c r="Y115" s="125"/>
    </row>
    <row r="116" spans="1:25" s="13" customFormat="1" ht="15" thickBot="1" x14ac:dyDescent="0.35">
      <c r="A116" s="389"/>
      <c r="B116" s="7" t="s">
        <v>313</v>
      </c>
      <c r="C116" s="393"/>
      <c r="D116" s="393"/>
      <c r="E116" s="393"/>
      <c r="F116" s="393"/>
      <c r="G116" s="8"/>
      <c r="H116" s="8"/>
      <c r="I116" s="8"/>
      <c r="J116" s="87"/>
      <c r="K116" s="108"/>
      <c r="S116" s="117"/>
      <c r="T116" s="257"/>
      <c r="U116" s="257"/>
      <c r="V116" s="257"/>
      <c r="W116" s="257"/>
      <c r="X116" s="126"/>
      <c r="Y116" s="125"/>
    </row>
    <row r="117" spans="1:25" ht="15" thickBot="1" x14ac:dyDescent="0.35">
      <c r="A117" s="110"/>
      <c r="B117" s="36"/>
      <c r="C117" s="36"/>
      <c r="D117" s="36"/>
      <c r="E117" s="36"/>
      <c r="F117" s="36"/>
      <c r="G117" s="37"/>
      <c r="H117" s="37"/>
      <c r="I117" s="37"/>
      <c r="J117" s="37"/>
      <c r="K117" s="193"/>
      <c r="S117" s="117"/>
      <c r="T117" s="257"/>
      <c r="U117" s="257"/>
      <c r="V117" s="257"/>
      <c r="W117" s="257"/>
      <c r="X117" s="126"/>
      <c r="Y117" s="125"/>
    </row>
    <row r="118" spans="1:25" ht="15" thickTop="1" x14ac:dyDescent="0.3">
      <c r="A118" s="106"/>
      <c r="B118" s="25"/>
      <c r="C118" s="25"/>
      <c r="D118" s="25"/>
      <c r="E118" s="25"/>
      <c r="F118" s="25"/>
      <c r="G118" s="26"/>
      <c r="H118" s="26"/>
      <c r="I118" s="26"/>
      <c r="J118" s="26"/>
      <c r="K118" s="108"/>
      <c r="S118" s="117"/>
      <c r="T118" s="257"/>
      <c r="U118" s="257"/>
      <c r="V118" s="257"/>
      <c r="W118" s="257"/>
      <c r="X118" s="126"/>
      <c r="Y118" s="125"/>
    </row>
    <row r="119" spans="1:25" ht="21" x14ac:dyDescent="0.4">
      <c r="A119" s="389"/>
      <c r="B119" s="387"/>
      <c r="C119" s="387"/>
      <c r="D119" s="387"/>
      <c r="E119" s="387"/>
      <c r="F119" s="386" t="s">
        <v>247</v>
      </c>
      <c r="G119" s="5"/>
      <c r="H119" s="5"/>
      <c r="I119" s="5"/>
      <c r="J119" s="5"/>
      <c r="K119" s="108"/>
      <c r="S119" s="117"/>
      <c r="T119" s="257"/>
      <c r="U119" s="257"/>
      <c r="V119" s="257"/>
      <c r="W119" s="257"/>
      <c r="X119" s="126"/>
      <c r="Y119" s="125"/>
    </row>
    <row r="120" spans="1:25" x14ac:dyDescent="0.3">
      <c r="A120" s="389"/>
      <c r="B120" s="387"/>
      <c r="C120" s="387"/>
      <c r="D120" s="387"/>
      <c r="E120" s="387"/>
      <c r="F120" s="28"/>
      <c r="G120" s="5"/>
      <c r="H120" s="5"/>
      <c r="I120" s="5"/>
      <c r="J120" s="5"/>
      <c r="K120" s="108"/>
      <c r="S120" s="117"/>
      <c r="T120" s="257"/>
      <c r="U120" s="257"/>
      <c r="V120" s="257"/>
      <c r="W120" s="257"/>
      <c r="X120" s="126"/>
      <c r="Y120" s="125"/>
    </row>
    <row r="121" spans="1:25" x14ac:dyDescent="0.3">
      <c r="A121" s="389"/>
      <c r="B121" s="387"/>
      <c r="C121" s="40">
        <v>37409</v>
      </c>
      <c r="D121" s="49" t="s">
        <v>74</v>
      </c>
      <c r="E121" s="49" t="s">
        <v>41</v>
      </c>
      <c r="F121" s="49">
        <v>1</v>
      </c>
      <c r="G121" s="51">
        <v>1</v>
      </c>
      <c r="H121" s="5"/>
      <c r="I121" s="5" t="s">
        <v>371</v>
      </c>
      <c r="J121" s="5"/>
      <c r="K121" s="108"/>
      <c r="S121" s="117" t="s">
        <v>74</v>
      </c>
      <c r="T121" s="257" t="s">
        <v>41</v>
      </c>
      <c r="U121" s="257">
        <v>1</v>
      </c>
      <c r="V121" s="257">
        <v>1</v>
      </c>
      <c r="W121" s="257"/>
      <c r="X121" s="126">
        <f t="shared" ref="X121:X126" si="10">(IF(U121&gt;V121,3,IF(U121=V121,1,2)))</f>
        <v>1</v>
      </c>
      <c r="Y121" s="125">
        <f t="shared" ref="Y121:Y126" si="11">(IF(V121&gt;U121,3,IF(U121=V121,1,2)))</f>
        <v>1</v>
      </c>
    </row>
    <row r="122" spans="1:25" ht="15" thickBot="1" x14ac:dyDescent="0.35">
      <c r="A122" s="389"/>
      <c r="B122" s="387"/>
      <c r="C122" s="58"/>
      <c r="D122" s="79"/>
      <c r="E122" s="79"/>
      <c r="F122" s="79" t="s">
        <v>172</v>
      </c>
      <c r="G122" s="81" t="s">
        <v>171</v>
      </c>
      <c r="H122" s="8"/>
      <c r="I122" s="8"/>
      <c r="J122" s="5"/>
      <c r="K122" s="108"/>
      <c r="S122" s="117" t="s">
        <v>5</v>
      </c>
      <c r="T122" s="257" t="s">
        <v>307</v>
      </c>
      <c r="U122" s="257">
        <v>1</v>
      </c>
      <c r="V122" s="257">
        <v>0</v>
      </c>
      <c r="W122" s="257"/>
      <c r="X122" s="126">
        <f t="shared" si="10"/>
        <v>3</v>
      </c>
      <c r="Y122" s="125">
        <f t="shared" si="11"/>
        <v>2</v>
      </c>
    </row>
    <row r="123" spans="1:25" s="13" customFormat="1" x14ac:dyDescent="0.3">
      <c r="A123" s="389"/>
      <c r="B123" s="387"/>
      <c r="C123" s="40">
        <v>37409</v>
      </c>
      <c r="D123" s="49" t="s">
        <v>5</v>
      </c>
      <c r="E123" s="49" t="s">
        <v>307</v>
      </c>
      <c r="F123" s="49">
        <v>1</v>
      </c>
      <c r="G123" s="51">
        <v>0</v>
      </c>
      <c r="H123" s="5"/>
      <c r="I123" s="5" t="s">
        <v>370</v>
      </c>
      <c r="J123" s="5"/>
      <c r="K123" s="108"/>
      <c r="S123" s="117" t="s">
        <v>41</v>
      </c>
      <c r="T123" s="257" t="s">
        <v>307</v>
      </c>
      <c r="U123" s="257">
        <v>2</v>
      </c>
      <c r="V123" s="257">
        <v>1</v>
      </c>
      <c r="W123" s="257"/>
      <c r="X123" s="126">
        <f t="shared" si="10"/>
        <v>3</v>
      </c>
      <c r="Y123" s="125">
        <f t="shared" si="11"/>
        <v>2</v>
      </c>
    </row>
    <row r="124" spans="1:25" s="13" customFormat="1" ht="15" thickBot="1" x14ac:dyDescent="0.35">
      <c r="A124" s="389"/>
      <c r="B124" s="387"/>
      <c r="C124" s="58"/>
      <c r="D124" s="79"/>
      <c r="E124" s="79"/>
      <c r="F124" s="79" t="s">
        <v>170</v>
      </c>
      <c r="G124" s="81" t="s">
        <v>171</v>
      </c>
      <c r="H124" s="8"/>
      <c r="I124" s="8"/>
      <c r="J124" s="5"/>
      <c r="K124" s="108"/>
      <c r="S124" s="117" t="s">
        <v>5</v>
      </c>
      <c r="T124" s="257" t="s">
        <v>74</v>
      </c>
      <c r="U124" s="257">
        <v>0</v>
      </c>
      <c r="V124" s="257">
        <v>1</v>
      </c>
      <c r="W124" s="257"/>
      <c r="X124" s="126">
        <f t="shared" si="10"/>
        <v>2</v>
      </c>
      <c r="Y124" s="125">
        <f t="shared" si="11"/>
        <v>3</v>
      </c>
    </row>
    <row r="125" spans="1:25" s="13" customFormat="1" x14ac:dyDescent="0.3">
      <c r="A125" s="389"/>
      <c r="B125" s="387"/>
      <c r="C125" s="40">
        <v>37414</v>
      </c>
      <c r="D125" s="49" t="s">
        <v>41</v>
      </c>
      <c r="E125" s="49" t="s">
        <v>307</v>
      </c>
      <c r="F125" s="49">
        <v>2</v>
      </c>
      <c r="G125" s="51">
        <v>1</v>
      </c>
      <c r="H125" s="5"/>
      <c r="I125" s="5" t="s">
        <v>374</v>
      </c>
      <c r="J125" s="5"/>
      <c r="K125" s="108"/>
      <c r="S125" s="117" t="s">
        <v>41</v>
      </c>
      <c r="T125" s="257" t="s">
        <v>5</v>
      </c>
      <c r="U125" s="257">
        <v>1</v>
      </c>
      <c r="V125" s="257">
        <v>1</v>
      </c>
      <c r="W125" s="257"/>
      <c r="X125" s="126">
        <f t="shared" si="10"/>
        <v>1</v>
      </c>
      <c r="Y125" s="125">
        <f t="shared" si="11"/>
        <v>1</v>
      </c>
    </row>
    <row r="126" spans="1:25" ht="15" thickBot="1" x14ac:dyDescent="0.35">
      <c r="A126" s="389"/>
      <c r="B126" s="387"/>
      <c r="C126" s="58"/>
      <c r="D126" s="79"/>
      <c r="E126" s="79"/>
      <c r="F126" s="79" t="s">
        <v>172</v>
      </c>
      <c r="G126" s="81" t="s">
        <v>183</v>
      </c>
      <c r="H126" s="8"/>
      <c r="I126" s="8"/>
      <c r="J126" s="5"/>
      <c r="K126" s="108"/>
      <c r="S126" s="117" t="s">
        <v>307</v>
      </c>
      <c r="T126" s="257" t="s">
        <v>74</v>
      </c>
      <c r="U126" s="257">
        <v>0</v>
      </c>
      <c r="V126" s="257">
        <v>0</v>
      </c>
      <c r="W126" s="257"/>
      <c r="X126" s="126">
        <f t="shared" si="10"/>
        <v>1</v>
      </c>
      <c r="Y126" s="125">
        <f t="shared" si="11"/>
        <v>1</v>
      </c>
    </row>
    <row r="127" spans="1:25" x14ac:dyDescent="0.3">
      <c r="A127" s="389"/>
      <c r="B127" s="387"/>
      <c r="C127" s="40">
        <v>37414</v>
      </c>
      <c r="D127" s="49" t="s">
        <v>5</v>
      </c>
      <c r="E127" s="49" t="s">
        <v>74</v>
      </c>
      <c r="F127" s="49">
        <v>0</v>
      </c>
      <c r="G127" s="51">
        <v>1</v>
      </c>
      <c r="H127" s="5"/>
      <c r="I127" s="5" t="s">
        <v>369</v>
      </c>
      <c r="J127" s="5"/>
      <c r="K127" s="108"/>
      <c r="S127" s="117"/>
      <c r="T127" s="257"/>
      <c r="U127" s="257"/>
      <c r="V127" s="257"/>
      <c r="W127" s="257"/>
      <c r="X127" s="126"/>
      <c r="Y127" s="125"/>
    </row>
    <row r="128" spans="1:25" ht="15" thickBot="1" x14ac:dyDescent="0.35">
      <c r="A128" s="389"/>
      <c r="B128" s="387"/>
      <c r="C128" s="58"/>
      <c r="D128" s="79"/>
      <c r="E128" s="79"/>
      <c r="F128" s="79" t="s">
        <v>170</v>
      </c>
      <c r="G128" s="81" t="s">
        <v>183</v>
      </c>
      <c r="H128" s="8"/>
      <c r="I128" s="8"/>
      <c r="J128" s="5"/>
      <c r="K128" s="108"/>
      <c r="S128" s="117"/>
      <c r="T128" s="257"/>
      <c r="U128" s="257"/>
      <c r="V128" s="257"/>
      <c r="W128" s="257"/>
      <c r="X128" s="126"/>
      <c r="Y128" s="125"/>
    </row>
    <row r="129" spans="1:25" x14ac:dyDescent="0.3">
      <c r="A129" s="389"/>
      <c r="B129" s="387"/>
      <c r="C129" s="40">
        <v>37419</v>
      </c>
      <c r="D129" s="49" t="s">
        <v>41</v>
      </c>
      <c r="E129" s="49" t="s">
        <v>5</v>
      </c>
      <c r="F129" s="49">
        <v>1</v>
      </c>
      <c r="G129" s="51">
        <v>1</v>
      </c>
      <c r="H129" s="5"/>
      <c r="I129" s="5" t="s">
        <v>375</v>
      </c>
      <c r="J129" s="5"/>
      <c r="K129" s="108"/>
      <c r="S129" s="117"/>
      <c r="T129" s="257"/>
      <c r="U129" s="257"/>
      <c r="V129" s="257"/>
      <c r="W129" s="257"/>
      <c r="X129" s="126"/>
      <c r="Y129" s="125"/>
    </row>
    <row r="130" spans="1:25" ht="15" thickBot="1" x14ac:dyDescent="0.35">
      <c r="A130" s="389"/>
      <c r="B130" s="387"/>
      <c r="C130" s="58"/>
      <c r="D130" s="79"/>
      <c r="E130" s="79"/>
      <c r="F130" s="79" t="s">
        <v>170</v>
      </c>
      <c r="G130" s="81" t="s">
        <v>171</v>
      </c>
      <c r="H130" s="8"/>
      <c r="I130" s="8"/>
      <c r="J130" s="5"/>
      <c r="K130" s="108"/>
      <c r="S130" s="117"/>
      <c r="T130" s="257"/>
      <c r="U130" s="257"/>
      <c r="V130" s="257"/>
      <c r="W130" s="257"/>
      <c r="X130" s="126"/>
      <c r="Y130" s="125"/>
    </row>
    <row r="131" spans="1:25" x14ac:dyDescent="0.3">
      <c r="A131" s="389"/>
      <c r="B131" s="17"/>
      <c r="C131" s="40">
        <v>37419</v>
      </c>
      <c r="D131" s="43" t="s">
        <v>307</v>
      </c>
      <c r="E131" s="43" t="s">
        <v>74</v>
      </c>
      <c r="F131" s="49">
        <v>0</v>
      </c>
      <c r="G131" s="51">
        <v>0</v>
      </c>
      <c r="H131" s="5"/>
      <c r="I131" s="5" t="s">
        <v>376</v>
      </c>
      <c r="J131" s="5"/>
      <c r="K131" s="108"/>
      <c r="S131" s="117"/>
      <c r="T131" s="257"/>
      <c r="U131" s="257"/>
      <c r="V131" s="257"/>
      <c r="W131" s="257"/>
      <c r="X131" s="126"/>
      <c r="Y131" s="125"/>
    </row>
    <row r="132" spans="1:25" x14ac:dyDescent="0.3">
      <c r="A132" s="156"/>
      <c r="B132" s="17"/>
      <c r="C132" s="17"/>
      <c r="D132" s="17"/>
      <c r="E132" s="17"/>
      <c r="F132" s="387"/>
      <c r="G132" s="5"/>
      <c r="H132" s="5"/>
      <c r="I132" s="5"/>
      <c r="J132" s="5"/>
      <c r="K132" s="108"/>
      <c r="S132" s="168"/>
      <c r="T132" s="95"/>
      <c r="U132" s="95"/>
      <c r="V132" s="95"/>
      <c r="W132" s="95"/>
      <c r="X132" s="95"/>
      <c r="Y132" s="169"/>
    </row>
    <row r="133" spans="1:25" s="13" customFormat="1" ht="15" thickBot="1" x14ac:dyDescent="0.35">
      <c r="A133" s="389"/>
      <c r="B133" s="387" t="s">
        <v>298</v>
      </c>
      <c r="C133" s="387" t="s">
        <v>12</v>
      </c>
      <c r="D133" s="387" t="s">
        <v>13</v>
      </c>
      <c r="E133" s="387" t="s">
        <v>14</v>
      </c>
      <c r="F133" s="387" t="s">
        <v>15</v>
      </c>
      <c r="G133" s="5" t="s">
        <v>24</v>
      </c>
      <c r="H133" s="5" t="s">
        <v>25</v>
      </c>
      <c r="I133" s="5" t="s">
        <v>301</v>
      </c>
      <c r="J133" s="5"/>
      <c r="K133" s="108"/>
      <c r="S133" s="117"/>
      <c r="T133" s="257"/>
      <c r="U133" s="257"/>
      <c r="V133" s="257"/>
      <c r="W133" s="257"/>
      <c r="X133" s="126"/>
      <c r="Y133" s="125"/>
    </row>
    <row r="134" spans="1:25" s="13" customFormat="1" x14ac:dyDescent="0.3">
      <c r="A134" s="389"/>
      <c r="B134" s="14" t="s">
        <v>74</v>
      </c>
      <c r="C134" s="394">
        <v>3</v>
      </c>
      <c r="D134" s="394">
        <v>2</v>
      </c>
      <c r="E134" s="394">
        <v>0</v>
      </c>
      <c r="F134" s="394">
        <v>1</v>
      </c>
      <c r="G134" s="15">
        <v>4</v>
      </c>
      <c r="H134" s="15">
        <v>3</v>
      </c>
      <c r="I134" s="15">
        <v>6</v>
      </c>
      <c r="J134" s="86"/>
      <c r="K134" s="108"/>
      <c r="S134" s="117"/>
      <c r="T134" s="257"/>
      <c r="U134" s="257"/>
      <c r="V134" s="257"/>
      <c r="W134" s="257"/>
      <c r="X134" s="126"/>
      <c r="Y134" s="125"/>
    </row>
    <row r="135" spans="1:25" s="13" customFormat="1" x14ac:dyDescent="0.3">
      <c r="A135" s="389"/>
      <c r="B135" s="21" t="s">
        <v>41</v>
      </c>
      <c r="C135" s="17"/>
      <c r="D135" s="17"/>
      <c r="E135" s="17"/>
      <c r="F135" s="17"/>
      <c r="G135" s="18"/>
      <c r="H135" s="18"/>
      <c r="I135" s="18"/>
      <c r="J135" s="86"/>
      <c r="K135" s="108"/>
      <c r="S135" s="117"/>
      <c r="T135" s="257"/>
      <c r="U135" s="257"/>
      <c r="V135" s="257"/>
      <c r="W135" s="257"/>
      <c r="X135" s="126"/>
      <c r="Y135" s="125"/>
    </row>
    <row r="136" spans="1:25" x14ac:dyDescent="0.3">
      <c r="A136" s="389"/>
      <c r="B136" s="3" t="s">
        <v>5</v>
      </c>
      <c r="C136" s="387"/>
      <c r="D136" s="387"/>
      <c r="E136" s="387"/>
      <c r="F136" s="387"/>
      <c r="G136" s="5"/>
      <c r="H136" s="5"/>
      <c r="I136" s="5"/>
      <c r="J136" s="87"/>
      <c r="K136" s="108"/>
      <c r="S136" s="117"/>
      <c r="T136" s="257"/>
      <c r="U136" s="257"/>
      <c r="V136" s="257"/>
      <c r="W136" s="257"/>
      <c r="X136" s="126"/>
      <c r="Y136" s="125"/>
    </row>
    <row r="137" spans="1:25" ht="15" thickBot="1" x14ac:dyDescent="0.35">
      <c r="A137" s="389"/>
      <c r="B137" s="7" t="s">
        <v>307</v>
      </c>
      <c r="C137" s="393"/>
      <c r="D137" s="393"/>
      <c r="E137" s="393"/>
      <c r="F137" s="393"/>
      <c r="G137" s="8"/>
      <c r="H137" s="8"/>
      <c r="I137" s="8"/>
      <c r="J137" s="87"/>
      <c r="K137" s="108"/>
      <c r="S137" s="117"/>
      <c r="T137" s="257"/>
      <c r="U137" s="257"/>
      <c r="V137" s="257"/>
      <c r="W137" s="257"/>
      <c r="X137" s="126"/>
      <c r="Y137" s="125"/>
    </row>
    <row r="138" spans="1:25" s="13" customFormat="1" ht="15" thickBot="1" x14ac:dyDescent="0.35">
      <c r="A138" s="110"/>
      <c r="B138" s="36"/>
      <c r="C138" s="36"/>
      <c r="D138" s="36"/>
      <c r="E138" s="36"/>
      <c r="F138" s="36"/>
      <c r="G138" s="37"/>
      <c r="H138" s="37"/>
      <c r="I138" s="37"/>
      <c r="J138" s="37"/>
      <c r="K138" s="193"/>
      <c r="S138" s="168"/>
      <c r="T138" s="95"/>
      <c r="U138" s="95"/>
      <c r="V138" s="95"/>
      <c r="W138" s="95"/>
      <c r="X138" s="95"/>
      <c r="Y138" s="169"/>
    </row>
    <row r="139" spans="1:25" s="13" customFormat="1" ht="15" thickTop="1" x14ac:dyDescent="0.3">
      <c r="A139" s="389"/>
      <c r="B139" s="387"/>
      <c r="C139" s="387"/>
      <c r="D139" s="387"/>
      <c r="E139" s="387"/>
      <c r="F139" s="387"/>
      <c r="G139" s="5"/>
      <c r="H139" s="5"/>
      <c r="I139" s="5"/>
      <c r="J139" s="5"/>
      <c r="K139" s="108"/>
      <c r="S139" s="168"/>
      <c r="T139" s="95"/>
      <c r="U139" s="95"/>
      <c r="V139" s="95"/>
      <c r="W139" s="95"/>
      <c r="X139" s="95"/>
      <c r="Y139" s="169"/>
    </row>
    <row r="140" spans="1:25" ht="21" x14ac:dyDescent="0.4">
      <c r="A140" s="389"/>
      <c r="B140" s="387"/>
      <c r="C140" s="387"/>
      <c r="D140" s="387"/>
      <c r="E140" s="387"/>
      <c r="F140" s="386" t="s">
        <v>349</v>
      </c>
      <c r="G140" s="5"/>
      <c r="H140" s="5"/>
      <c r="I140" s="5"/>
      <c r="J140" s="5"/>
      <c r="K140" s="108"/>
      <c r="S140" s="117"/>
      <c r="T140" s="282"/>
      <c r="U140" s="282"/>
      <c r="V140" s="282"/>
      <c r="W140" s="282"/>
      <c r="X140" s="126"/>
      <c r="Y140" s="125"/>
    </row>
    <row r="141" spans="1:25" x14ac:dyDescent="0.3">
      <c r="A141" s="389"/>
      <c r="B141" s="387"/>
      <c r="C141" s="387"/>
      <c r="D141" s="387"/>
      <c r="E141" s="387"/>
      <c r="F141" s="28"/>
      <c r="G141" s="5"/>
      <c r="H141" s="5"/>
      <c r="I141" s="5"/>
      <c r="J141" s="5"/>
      <c r="K141" s="108"/>
      <c r="S141" s="117"/>
      <c r="T141" s="282"/>
      <c r="U141" s="282"/>
      <c r="V141" s="282"/>
      <c r="W141" s="282"/>
      <c r="X141" s="126"/>
      <c r="Y141" s="125"/>
    </row>
    <row r="142" spans="1:25" x14ac:dyDescent="0.3">
      <c r="A142" s="389"/>
      <c r="B142" s="387"/>
      <c r="C142" s="40">
        <v>37410</v>
      </c>
      <c r="D142" s="49" t="s">
        <v>353</v>
      </c>
      <c r="E142" s="49" t="s">
        <v>4</v>
      </c>
      <c r="F142" s="49">
        <v>0</v>
      </c>
      <c r="G142" s="51">
        <v>1</v>
      </c>
      <c r="H142" s="5"/>
      <c r="I142" s="5" t="s">
        <v>368</v>
      </c>
      <c r="J142" s="5"/>
      <c r="K142" s="108"/>
      <c r="S142" s="117" t="s">
        <v>353</v>
      </c>
      <c r="T142" s="282" t="s">
        <v>4</v>
      </c>
      <c r="U142" s="282">
        <v>0</v>
      </c>
      <c r="V142" s="282">
        <v>1</v>
      </c>
      <c r="W142" s="282"/>
      <c r="X142" s="126">
        <f t="shared" ref="X142:X147" si="12">(IF(U142&gt;V142,3,IF(U142=V142,1,2)))</f>
        <v>2</v>
      </c>
      <c r="Y142" s="125">
        <f t="shared" ref="Y142:Y147" si="13">(IF(V142&gt;U142,3,IF(U142=V142,1,2)))</f>
        <v>3</v>
      </c>
    </row>
    <row r="143" spans="1:25" ht="15" thickBot="1" x14ac:dyDescent="0.35">
      <c r="A143" s="389"/>
      <c r="B143" s="387"/>
      <c r="C143" s="58"/>
      <c r="D143" s="79"/>
      <c r="E143" s="79"/>
      <c r="F143" s="79" t="s">
        <v>170</v>
      </c>
      <c r="G143" s="81" t="s">
        <v>171</v>
      </c>
      <c r="H143" s="8"/>
      <c r="I143" s="8"/>
      <c r="J143" s="5"/>
      <c r="K143" s="108"/>
      <c r="S143" s="117" t="s">
        <v>37</v>
      </c>
      <c r="T143" s="282" t="s">
        <v>377</v>
      </c>
      <c r="U143" s="282">
        <v>2</v>
      </c>
      <c r="V143" s="282">
        <v>0</v>
      </c>
      <c r="W143" s="282"/>
      <c r="X143" s="126">
        <f t="shared" si="12"/>
        <v>3</v>
      </c>
      <c r="Y143" s="125">
        <f t="shared" si="13"/>
        <v>2</v>
      </c>
    </row>
    <row r="144" spans="1:25" s="13" customFormat="1" x14ac:dyDescent="0.3">
      <c r="A144" s="389"/>
      <c r="B144" s="387"/>
      <c r="C144" s="40">
        <v>37410</v>
      </c>
      <c r="D144" s="49" t="s">
        <v>37</v>
      </c>
      <c r="E144" s="49" t="s">
        <v>377</v>
      </c>
      <c r="F144" s="49">
        <v>2</v>
      </c>
      <c r="G144" s="51">
        <v>0</v>
      </c>
      <c r="H144" s="5"/>
      <c r="I144" s="5" t="s">
        <v>369</v>
      </c>
      <c r="J144" s="5"/>
      <c r="K144" s="108"/>
      <c r="S144" s="117" t="s">
        <v>37</v>
      </c>
      <c r="T144" s="282" t="s">
        <v>353</v>
      </c>
      <c r="U144" s="282">
        <v>1</v>
      </c>
      <c r="V144" s="282">
        <v>2</v>
      </c>
      <c r="W144" s="282"/>
      <c r="X144" s="126">
        <f t="shared" si="12"/>
        <v>2</v>
      </c>
      <c r="Y144" s="125">
        <f t="shared" si="13"/>
        <v>3</v>
      </c>
    </row>
    <row r="145" spans="1:25" s="13" customFormat="1" ht="15" thickBot="1" x14ac:dyDescent="0.35">
      <c r="A145" s="389"/>
      <c r="B145" s="387"/>
      <c r="C145" s="58"/>
      <c r="D145" s="79"/>
      <c r="E145" s="79"/>
      <c r="F145" s="79" t="s">
        <v>215</v>
      </c>
      <c r="G145" s="81" t="s">
        <v>171</v>
      </c>
      <c r="H145" s="8"/>
      <c r="I145" s="8"/>
      <c r="J145" s="5"/>
      <c r="K145" s="108"/>
      <c r="S145" s="117" t="s">
        <v>4</v>
      </c>
      <c r="T145" s="282" t="s">
        <v>377</v>
      </c>
      <c r="U145" s="282">
        <v>2</v>
      </c>
      <c r="V145" s="282">
        <v>1</v>
      </c>
      <c r="W145" s="282"/>
      <c r="X145" s="126">
        <f t="shared" si="12"/>
        <v>3</v>
      </c>
      <c r="Y145" s="125">
        <f t="shared" si="13"/>
        <v>2</v>
      </c>
    </row>
    <row r="146" spans="1:25" s="13" customFormat="1" x14ac:dyDescent="0.3">
      <c r="A146" s="389"/>
      <c r="B146" s="387"/>
      <c r="C146" s="40">
        <v>37415</v>
      </c>
      <c r="D146" s="49" t="s">
        <v>37</v>
      </c>
      <c r="E146" s="49" t="s">
        <v>353</v>
      </c>
      <c r="F146" s="49">
        <v>1</v>
      </c>
      <c r="G146" s="51">
        <v>2</v>
      </c>
      <c r="H146" s="5"/>
      <c r="I146" s="5" t="s">
        <v>370</v>
      </c>
      <c r="J146" s="5"/>
      <c r="K146" s="108"/>
      <c r="S146" s="117" t="s">
        <v>4</v>
      </c>
      <c r="T146" s="282" t="s">
        <v>37</v>
      </c>
      <c r="U146" s="282">
        <v>1</v>
      </c>
      <c r="V146" s="282">
        <v>1</v>
      </c>
      <c r="W146" s="282"/>
      <c r="X146" s="126">
        <f t="shared" si="12"/>
        <v>1</v>
      </c>
      <c r="Y146" s="125">
        <f t="shared" si="13"/>
        <v>1</v>
      </c>
    </row>
    <row r="147" spans="1:25" ht="15" thickBot="1" x14ac:dyDescent="0.35">
      <c r="A147" s="389"/>
      <c r="B147" s="387"/>
      <c r="C147" s="58"/>
      <c r="D147" s="79"/>
      <c r="E147" s="79"/>
      <c r="F147" s="79" t="s">
        <v>170</v>
      </c>
      <c r="G147" s="81" t="s">
        <v>171</v>
      </c>
      <c r="H147" s="8"/>
      <c r="I147" s="8"/>
      <c r="J147" s="5"/>
      <c r="K147" s="108"/>
      <c r="S147" s="117" t="s">
        <v>377</v>
      </c>
      <c r="T147" s="282" t="s">
        <v>353</v>
      </c>
      <c r="U147" s="282">
        <v>1</v>
      </c>
      <c r="V147" s="282">
        <v>0</v>
      </c>
      <c r="W147" s="282"/>
      <c r="X147" s="126">
        <f t="shared" si="12"/>
        <v>3</v>
      </c>
      <c r="Y147" s="125">
        <f t="shared" si="13"/>
        <v>2</v>
      </c>
    </row>
    <row r="148" spans="1:25" x14ac:dyDescent="0.3">
      <c r="A148" s="389"/>
      <c r="B148" s="387"/>
      <c r="C148" s="40">
        <v>37416</v>
      </c>
      <c r="D148" s="49" t="s">
        <v>4</v>
      </c>
      <c r="E148" s="49" t="s">
        <v>377</v>
      </c>
      <c r="F148" s="49">
        <v>2</v>
      </c>
      <c r="G148" s="51">
        <v>1</v>
      </c>
      <c r="H148" s="5"/>
      <c r="I148" s="5" t="s">
        <v>375</v>
      </c>
      <c r="J148" s="5"/>
      <c r="K148" s="108"/>
      <c r="S148" s="117"/>
      <c r="T148" s="282"/>
      <c r="U148" s="282"/>
      <c r="V148" s="282"/>
      <c r="W148" s="282"/>
      <c r="X148" s="126"/>
      <c r="Y148" s="125"/>
    </row>
    <row r="149" spans="1:25" ht="15" thickBot="1" x14ac:dyDescent="0.35">
      <c r="A149" s="389"/>
      <c r="B149" s="387"/>
      <c r="C149" s="58"/>
      <c r="D149" s="79"/>
      <c r="E149" s="79"/>
      <c r="F149" s="79" t="s">
        <v>172</v>
      </c>
      <c r="G149" s="81" t="s">
        <v>183</v>
      </c>
      <c r="H149" s="8"/>
      <c r="I149" s="8"/>
      <c r="J149" s="5"/>
      <c r="K149" s="108"/>
      <c r="S149" s="117"/>
      <c r="T149" s="282"/>
      <c r="U149" s="282"/>
      <c r="V149" s="282"/>
      <c r="W149" s="282"/>
      <c r="X149" s="126"/>
      <c r="Y149" s="125"/>
    </row>
    <row r="150" spans="1:25" x14ac:dyDescent="0.3">
      <c r="A150" s="389"/>
      <c r="B150" s="387"/>
      <c r="C150" s="40">
        <v>37420</v>
      </c>
      <c r="D150" s="49" t="s">
        <v>4</v>
      </c>
      <c r="E150" s="49" t="s">
        <v>37</v>
      </c>
      <c r="F150" s="49">
        <v>1</v>
      </c>
      <c r="G150" s="51">
        <v>1</v>
      </c>
      <c r="H150" s="5"/>
      <c r="I150" s="5" t="s">
        <v>378</v>
      </c>
      <c r="J150" s="5"/>
      <c r="K150" s="108"/>
      <c r="S150" s="117"/>
      <c r="T150" s="282"/>
      <c r="U150" s="282"/>
      <c r="V150" s="282"/>
      <c r="W150" s="282"/>
      <c r="X150" s="126"/>
      <c r="Y150" s="125"/>
    </row>
    <row r="151" spans="1:25" ht="15" thickBot="1" x14ac:dyDescent="0.35">
      <c r="A151" s="389"/>
      <c r="B151" s="387"/>
      <c r="C151" s="58"/>
      <c r="D151" s="79"/>
      <c r="E151" s="79"/>
      <c r="F151" s="79" t="s">
        <v>172</v>
      </c>
      <c r="G151" s="81" t="s">
        <v>171</v>
      </c>
      <c r="H151" s="8"/>
      <c r="I151" s="8"/>
      <c r="J151" s="5"/>
      <c r="K151" s="108"/>
      <c r="S151" s="117"/>
      <c r="T151" s="282"/>
      <c r="U151" s="282"/>
      <c r="V151" s="282"/>
      <c r="W151" s="282"/>
      <c r="X151" s="126"/>
      <c r="Y151" s="125"/>
    </row>
    <row r="152" spans="1:25" x14ac:dyDescent="0.3">
      <c r="A152" s="389"/>
      <c r="B152" s="17"/>
      <c r="C152" s="40">
        <v>37420</v>
      </c>
      <c r="D152" s="43" t="s">
        <v>377</v>
      </c>
      <c r="E152" s="43" t="s">
        <v>353</v>
      </c>
      <c r="F152" s="49">
        <v>1</v>
      </c>
      <c r="G152" s="51">
        <v>0</v>
      </c>
      <c r="H152" s="5"/>
      <c r="I152" s="5" t="s">
        <v>373</v>
      </c>
      <c r="J152" s="5"/>
      <c r="K152" s="108"/>
      <c r="S152" s="117"/>
      <c r="T152" s="282"/>
      <c r="U152" s="282"/>
      <c r="V152" s="282"/>
      <c r="W152" s="282"/>
      <c r="X152" s="126"/>
      <c r="Y152" s="125"/>
    </row>
    <row r="153" spans="1:25" x14ac:dyDescent="0.3">
      <c r="A153" s="389"/>
      <c r="B153" s="17"/>
      <c r="C153" s="40"/>
      <c r="D153" s="43"/>
      <c r="E153" s="43"/>
      <c r="F153" s="49" t="s">
        <v>170</v>
      </c>
      <c r="G153" s="51" t="s">
        <v>171</v>
      </c>
      <c r="H153" s="5"/>
      <c r="I153" s="5"/>
      <c r="J153" s="5"/>
      <c r="K153" s="108"/>
      <c r="S153" s="117"/>
      <c r="T153" s="282"/>
      <c r="U153" s="282"/>
      <c r="V153" s="282"/>
      <c r="W153" s="282"/>
      <c r="X153" s="126"/>
      <c r="Y153" s="125"/>
    </row>
    <row r="154" spans="1:25" x14ac:dyDescent="0.3">
      <c r="A154" s="156"/>
      <c r="B154" s="17"/>
      <c r="C154" s="17"/>
      <c r="D154" s="17"/>
      <c r="E154" s="17"/>
      <c r="F154" s="387"/>
      <c r="G154" s="5"/>
      <c r="H154" s="5"/>
      <c r="I154" s="5"/>
      <c r="J154" s="5"/>
      <c r="K154" s="108"/>
      <c r="S154" s="168"/>
      <c r="T154" s="95"/>
      <c r="U154" s="95"/>
      <c r="V154" s="95"/>
      <c r="W154" s="95"/>
      <c r="X154" s="95"/>
      <c r="Y154" s="169"/>
    </row>
    <row r="155" spans="1:25" s="13" customFormat="1" ht="15" thickBot="1" x14ac:dyDescent="0.35">
      <c r="A155" s="389"/>
      <c r="B155" s="387" t="s">
        <v>298</v>
      </c>
      <c r="C155" s="387" t="s">
        <v>12</v>
      </c>
      <c r="D155" s="387" t="s">
        <v>13</v>
      </c>
      <c r="E155" s="387" t="s">
        <v>14</v>
      </c>
      <c r="F155" s="387" t="s">
        <v>15</v>
      </c>
      <c r="G155" s="5" t="s">
        <v>24</v>
      </c>
      <c r="H155" s="5" t="s">
        <v>25</v>
      </c>
      <c r="I155" s="5" t="s">
        <v>301</v>
      </c>
      <c r="J155" s="5"/>
      <c r="K155" s="108"/>
      <c r="S155" s="117"/>
      <c r="T155" s="282"/>
      <c r="U155" s="282"/>
      <c r="V155" s="282"/>
      <c r="W155" s="282"/>
      <c r="X155" s="126"/>
      <c r="Y155" s="125"/>
    </row>
    <row r="156" spans="1:25" s="13" customFormat="1" x14ac:dyDescent="0.3">
      <c r="A156" s="389"/>
      <c r="B156" s="14" t="s">
        <v>353</v>
      </c>
      <c r="C156" s="394">
        <v>3</v>
      </c>
      <c r="D156" s="394">
        <v>2</v>
      </c>
      <c r="E156" s="394">
        <v>0</v>
      </c>
      <c r="F156" s="394">
        <v>1</v>
      </c>
      <c r="G156" s="15">
        <v>4</v>
      </c>
      <c r="H156" s="15">
        <v>3</v>
      </c>
      <c r="I156" s="15">
        <v>6</v>
      </c>
      <c r="J156" s="86"/>
      <c r="K156" s="108"/>
      <c r="S156" s="117"/>
      <c r="T156" s="282"/>
      <c r="U156" s="282"/>
      <c r="V156" s="282"/>
      <c r="W156" s="282"/>
      <c r="X156" s="126"/>
      <c r="Y156" s="125"/>
    </row>
    <row r="157" spans="1:25" s="13" customFormat="1" x14ac:dyDescent="0.3">
      <c r="A157" s="389"/>
      <c r="B157" s="21" t="s">
        <v>4</v>
      </c>
      <c r="C157" s="17"/>
      <c r="D157" s="17"/>
      <c r="E157" s="17"/>
      <c r="F157" s="17"/>
      <c r="G157" s="18"/>
      <c r="H157" s="18"/>
      <c r="I157" s="18"/>
      <c r="J157" s="86"/>
      <c r="K157" s="108"/>
      <c r="S157" s="117"/>
      <c r="T157" s="282"/>
      <c r="U157" s="282"/>
      <c r="V157" s="282"/>
      <c r="W157" s="282"/>
      <c r="X157" s="126"/>
      <c r="Y157" s="125"/>
    </row>
    <row r="158" spans="1:25" x14ac:dyDescent="0.3">
      <c r="A158" s="389"/>
      <c r="B158" s="3" t="s">
        <v>37</v>
      </c>
      <c r="C158" s="387"/>
      <c r="D158" s="387"/>
      <c r="E158" s="387"/>
      <c r="F158" s="387"/>
      <c r="G158" s="5"/>
      <c r="H158" s="5"/>
      <c r="I158" s="5"/>
      <c r="J158" s="87"/>
      <c r="K158" s="108"/>
      <c r="S158" s="117"/>
      <c r="T158" s="282"/>
      <c r="U158" s="282"/>
      <c r="V158" s="282"/>
      <c r="W158" s="282"/>
      <c r="X158" s="126"/>
      <c r="Y158" s="125"/>
    </row>
    <row r="159" spans="1:25" ht="15" thickBot="1" x14ac:dyDescent="0.35">
      <c r="A159" s="389"/>
      <c r="B159" s="7" t="s">
        <v>377</v>
      </c>
      <c r="C159" s="393"/>
      <c r="D159" s="393"/>
      <c r="E159" s="393"/>
      <c r="F159" s="393"/>
      <c r="G159" s="8"/>
      <c r="H159" s="8"/>
      <c r="I159" s="8"/>
      <c r="J159" s="87"/>
      <c r="K159" s="108"/>
      <c r="S159" s="117"/>
      <c r="T159" s="282"/>
      <c r="U159" s="282"/>
      <c r="V159" s="282"/>
      <c r="W159" s="282"/>
      <c r="X159" s="126"/>
      <c r="Y159" s="125"/>
    </row>
    <row r="160" spans="1:25" s="13" customFormat="1" ht="15" thickBot="1" x14ac:dyDescent="0.35">
      <c r="A160" s="110"/>
      <c r="B160" s="36"/>
      <c r="C160" s="36"/>
      <c r="D160" s="36"/>
      <c r="E160" s="36"/>
      <c r="F160" s="36"/>
      <c r="G160" s="37"/>
      <c r="H160" s="37"/>
      <c r="I160" s="37"/>
      <c r="J160" s="37"/>
      <c r="K160" s="193"/>
      <c r="S160" s="168"/>
      <c r="T160" s="95"/>
      <c r="U160" s="95"/>
      <c r="V160" s="95"/>
      <c r="W160" s="95"/>
      <c r="X160" s="95"/>
      <c r="Y160" s="169"/>
    </row>
    <row r="161" spans="1:25" s="13" customFormat="1" ht="15" thickTop="1" x14ac:dyDescent="0.3">
      <c r="A161" s="389"/>
      <c r="B161" s="387"/>
      <c r="C161" s="387"/>
      <c r="D161" s="387"/>
      <c r="E161" s="387"/>
      <c r="F161" s="387"/>
      <c r="G161" s="5"/>
      <c r="H161" s="5"/>
      <c r="I161" s="5"/>
      <c r="J161" s="5"/>
      <c r="K161" s="108"/>
      <c r="S161" s="168"/>
      <c r="T161" s="95"/>
      <c r="U161" s="95"/>
      <c r="V161" s="95"/>
      <c r="W161" s="95"/>
      <c r="X161" s="95"/>
      <c r="Y161" s="169"/>
    </row>
    <row r="162" spans="1:25" ht="21" x14ac:dyDescent="0.4">
      <c r="A162" s="389"/>
      <c r="B162" s="387"/>
      <c r="C162" s="387"/>
      <c r="D162" s="387"/>
      <c r="E162" s="387"/>
      <c r="F162" s="386" t="s">
        <v>350</v>
      </c>
      <c r="G162" s="5"/>
      <c r="H162" s="5"/>
      <c r="I162" s="5"/>
      <c r="J162" s="5"/>
      <c r="K162" s="108"/>
      <c r="S162" s="117"/>
      <c r="T162" s="282"/>
      <c r="U162" s="282"/>
      <c r="V162" s="282"/>
      <c r="W162" s="282"/>
      <c r="X162" s="126"/>
      <c r="Y162" s="125"/>
    </row>
    <row r="163" spans="1:25" x14ac:dyDescent="0.3">
      <c r="A163" s="389"/>
      <c r="B163" s="387"/>
      <c r="C163" s="387"/>
      <c r="D163" s="387"/>
      <c r="E163" s="387"/>
      <c r="F163" s="28"/>
      <c r="G163" s="5"/>
      <c r="H163" s="5"/>
      <c r="I163" s="5"/>
      <c r="J163" s="5"/>
      <c r="K163" s="108"/>
      <c r="S163" s="117"/>
      <c r="T163" s="282"/>
      <c r="U163" s="282"/>
      <c r="V163" s="282"/>
      <c r="W163" s="282"/>
      <c r="X163" s="126"/>
      <c r="Y163" s="125"/>
    </row>
    <row r="164" spans="1:25" x14ac:dyDescent="0.3">
      <c r="A164" s="389"/>
      <c r="B164" s="387"/>
      <c r="C164" s="40">
        <v>37411</v>
      </c>
      <c r="D164" s="49" t="s">
        <v>351</v>
      </c>
      <c r="E164" s="49" t="s">
        <v>21</v>
      </c>
      <c r="F164" s="49">
        <v>2</v>
      </c>
      <c r="G164" s="51">
        <v>2</v>
      </c>
      <c r="H164" s="5"/>
      <c r="I164" s="5" t="s">
        <v>371</v>
      </c>
      <c r="J164" s="5"/>
      <c r="K164" s="108"/>
      <c r="S164" s="117" t="s">
        <v>351</v>
      </c>
      <c r="T164" s="282" t="s">
        <v>21</v>
      </c>
      <c r="U164" s="282">
        <v>2</v>
      </c>
      <c r="V164" s="282">
        <v>2</v>
      </c>
      <c r="W164" s="282"/>
      <c r="X164" s="126">
        <f t="shared" ref="X164:X169" si="14">(IF(U164&gt;V164,3,IF(U164=V164,1,2)))</f>
        <v>1</v>
      </c>
      <c r="Y164" s="125">
        <f t="shared" ref="Y164:Y169" si="15">(IF(V164&gt;U164,3,IF(U164=V164,1,2)))</f>
        <v>1</v>
      </c>
    </row>
    <row r="165" spans="1:25" ht="15" thickBot="1" x14ac:dyDescent="0.35">
      <c r="A165" s="389"/>
      <c r="B165" s="387"/>
      <c r="C165" s="58"/>
      <c r="D165" s="79"/>
      <c r="E165" s="79"/>
      <c r="F165" s="79" t="s">
        <v>170</v>
      </c>
      <c r="G165" s="81" t="s">
        <v>171</v>
      </c>
      <c r="H165" s="8"/>
      <c r="I165" s="8"/>
      <c r="J165" s="5"/>
      <c r="K165" s="108"/>
      <c r="S165" s="117" t="s">
        <v>302</v>
      </c>
      <c r="T165" s="282" t="s">
        <v>176</v>
      </c>
      <c r="U165" s="282">
        <v>2</v>
      </c>
      <c r="V165" s="282">
        <v>0</v>
      </c>
      <c r="W165" s="282"/>
      <c r="X165" s="126">
        <f t="shared" si="14"/>
        <v>3</v>
      </c>
      <c r="Y165" s="125">
        <f t="shared" si="15"/>
        <v>2</v>
      </c>
    </row>
    <row r="166" spans="1:25" s="13" customFormat="1" x14ac:dyDescent="0.3">
      <c r="A166" s="389"/>
      <c r="B166" s="387"/>
      <c r="C166" s="40">
        <v>37412</v>
      </c>
      <c r="D166" s="49" t="s">
        <v>302</v>
      </c>
      <c r="E166" s="49" t="s">
        <v>176</v>
      </c>
      <c r="F166" s="49">
        <v>2</v>
      </c>
      <c r="G166" s="51">
        <v>0</v>
      </c>
      <c r="H166" s="5"/>
      <c r="I166" s="5" t="s">
        <v>374</v>
      </c>
      <c r="J166" s="5"/>
      <c r="K166" s="108"/>
      <c r="S166" s="117" t="s">
        <v>351</v>
      </c>
      <c r="T166" s="282" t="s">
        <v>302</v>
      </c>
      <c r="U166" s="282">
        <v>1</v>
      </c>
      <c r="V166" s="282">
        <v>0</v>
      </c>
      <c r="W166" s="282"/>
      <c r="X166" s="126">
        <f t="shared" si="14"/>
        <v>3</v>
      </c>
      <c r="Y166" s="125">
        <f t="shared" si="15"/>
        <v>2</v>
      </c>
    </row>
    <row r="167" spans="1:25" s="13" customFormat="1" ht="15" thickBot="1" x14ac:dyDescent="0.35">
      <c r="A167" s="389"/>
      <c r="B167" s="387"/>
      <c r="C167" s="58"/>
      <c r="D167" s="79"/>
      <c r="E167" s="79"/>
      <c r="F167" s="79" t="s">
        <v>170</v>
      </c>
      <c r="G167" s="81" t="s">
        <v>171</v>
      </c>
      <c r="H167" s="8"/>
      <c r="I167" s="8"/>
      <c r="J167" s="5"/>
      <c r="K167" s="108"/>
      <c r="S167" s="117" t="s">
        <v>176</v>
      </c>
      <c r="T167" s="282" t="s">
        <v>21</v>
      </c>
      <c r="U167" s="282">
        <v>1</v>
      </c>
      <c r="V167" s="282">
        <v>1</v>
      </c>
      <c r="W167" s="282"/>
      <c r="X167" s="126">
        <f t="shared" si="14"/>
        <v>1</v>
      </c>
      <c r="Y167" s="125">
        <f t="shared" si="15"/>
        <v>1</v>
      </c>
    </row>
    <row r="168" spans="1:25" s="13" customFormat="1" x14ac:dyDescent="0.3">
      <c r="A168" s="389"/>
      <c r="B168" s="387"/>
      <c r="C168" s="40">
        <v>37416</v>
      </c>
      <c r="D168" s="49" t="s">
        <v>351</v>
      </c>
      <c r="E168" s="49" t="s">
        <v>302</v>
      </c>
      <c r="F168" s="49">
        <v>1</v>
      </c>
      <c r="G168" s="51">
        <v>0</v>
      </c>
      <c r="H168" s="5"/>
      <c r="I168" s="5" t="s">
        <v>373</v>
      </c>
      <c r="J168" s="5"/>
      <c r="K168" s="108"/>
      <c r="S168" s="117" t="s">
        <v>176</v>
      </c>
      <c r="T168" s="282" t="s">
        <v>351</v>
      </c>
      <c r="U168" s="282">
        <v>0</v>
      </c>
      <c r="V168" s="282">
        <v>2</v>
      </c>
      <c r="W168" s="282"/>
      <c r="X168" s="126">
        <f t="shared" si="14"/>
        <v>2</v>
      </c>
      <c r="Y168" s="125">
        <f t="shared" si="15"/>
        <v>3</v>
      </c>
    </row>
    <row r="169" spans="1:25" ht="15" thickBot="1" x14ac:dyDescent="0.35">
      <c r="A169" s="389"/>
      <c r="B169" s="387"/>
      <c r="C169" s="58"/>
      <c r="D169" s="79"/>
      <c r="E169" s="79"/>
      <c r="F169" s="79" t="s">
        <v>170</v>
      </c>
      <c r="G169" s="81" t="s">
        <v>171</v>
      </c>
      <c r="H169" s="8"/>
      <c r="I169" s="8"/>
      <c r="J169" s="5"/>
      <c r="K169" s="108"/>
      <c r="S169" s="117" t="s">
        <v>21</v>
      </c>
      <c r="T169" s="282" t="s">
        <v>302</v>
      </c>
      <c r="U169" s="282">
        <v>3</v>
      </c>
      <c r="V169" s="282">
        <v>2</v>
      </c>
      <c r="W169" s="282"/>
      <c r="X169" s="126">
        <f t="shared" si="14"/>
        <v>3</v>
      </c>
      <c r="Y169" s="125">
        <f t="shared" si="15"/>
        <v>2</v>
      </c>
    </row>
    <row r="170" spans="1:25" x14ac:dyDescent="0.3">
      <c r="A170" s="389"/>
      <c r="B170" s="387"/>
      <c r="C170" s="40">
        <v>37417</v>
      </c>
      <c r="D170" s="49" t="s">
        <v>176</v>
      </c>
      <c r="E170" s="49" t="s">
        <v>21</v>
      </c>
      <c r="F170" s="49">
        <v>1</v>
      </c>
      <c r="G170" s="51">
        <v>1</v>
      </c>
      <c r="H170" s="5"/>
      <c r="I170" s="5" t="s">
        <v>378</v>
      </c>
      <c r="J170" s="5"/>
      <c r="K170" s="108"/>
      <c r="S170" s="117"/>
      <c r="T170" s="282"/>
      <c r="U170" s="282"/>
      <c r="V170" s="282"/>
      <c r="W170" s="282"/>
      <c r="X170" s="126"/>
      <c r="Y170" s="125"/>
    </row>
    <row r="171" spans="1:25" ht="15" thickBot="1" x14ac:dyDescent="0.35">
      <c r="A171" s="389"/>
      <c r="B171" s="387"/>
      <c r="C171" s="58"/>
      <c r="D171" s="79"/>
      <c r="E171" s="79"/>
      <c r="F171" s="79" t="s">
        <v>172</v>
      </c>
      <c r="G171" s="81" t="s">
        <v>183</v>
      </c>
      <c r="H171" s="8"/>
      <c r="I171" s="8"/>
      <c r="J171" s="5"/>
      <c r="K171" s="108"/>
      <c r="S171" s="117"/>
      <c r="T171" s="282"/>
      <c r="U171" s="282"/>
      <c r="V171" s="282"/>
      <c r="W171" s="282"/>
      <c r="X171" s="126"/>
      <c r="Y171" s="125"/>
    </row>
    <row r="172" spans="1:25" x14ac:dyDescent="0.3">
      <c r="A172" s="389"/>
      <c r="B172" s="387"/>
      <c r="C172" s="40">
        <v>37421</v>
      </c>
      <c r="D172" s="49" t="s">
        <v>176</v>
      </c>
      <c r="E172" s="49" t="s">
        <v>351</v>
      </c>
      <c r="F172" s="49">
        <v>0</v>
      </c>
      <c r="G172" s="51">
        <v>2</v>
      </c>
      <c r="H172" s="5"/>
      <c r="I172" s="5" t="s">
        <v>376</v>
      </c>
      <c r="J172" s="5"/>
      <c r="K172" s="108"/>
      <c r="S172" s="117"/>
      <c r="T172" s="282"/>
      <c r="U172" s="282"/>
      <c r="V172" s="282"/>
      <c r="W172" s="282"/>
      <c r="X172" s="126"/>
      <c r="Y172" s="125"/>
    </row>
    <row r="173" spans="1:25" ht="15" thickBot="1" x14ac:dyDescent="0.35">
      <c r="A173" s="389"/>
      <c r="B173" s="387"/>
      <c r="C173" s="58"/>
      <c r="D173" s="79"/>
      <c r="E173" s="79"/>
      <c r="F173" s="79" t="s">
        <v>170</v>
      </c>
      <c r="G173" s="81" t="s">
        <v>171</v>
      </c>
      <c r="H173" s="8"/>
      <c r="I173" s="8"/>
      <c r="J173" s="5"/>
      <c r="K173" s="108"/>
      <c r="S173" s="117"/>
      <c r="T173" s="282"/>
      <c r="U173" s="282"/>
      <c r="V173" s="282"/>
      <c r="W173" s="282"/>
      <c r="X173" s="126"/>
      <c r="Y173" s="125"/>
    </row>
    <row r="174" spans="1:25" x14ac:dyDescent="0.3">
      <c r="A174" s="389"/>
      <c r="B174" s="17"/>
      <c r="C174" s="40">
        <v>37421</v>
      </c>
      <c r="D174" s="43" t="s">
        <v>21</v>
      </c>
      <c r="E174" s="43" t="s">
        <v>302</v>
      </c>
      <c r="F174" s="49">
        <v>3</v>
      </c>
      <c r="G174" s="51">
        <v>2</v>
      </c>
      <c r="H174" s="5"/>
      <c r="I174" s="5" t="s">
        <v>372</v>
      </c>
      <c r="J174" s="5"/>
      <c r="K174" s="108"/>
      <c r="S174" s="117"/>
      <c r="T174" s="282"/>
      <c r="U174" s="282"/>
      <c r="V174" s="282"/>
      <c r="W174" s="282"/>
      <c r="X174" s="126"/>
      <c r="Y174" s="125"/>
    </row>
    <row r="175" spans="1:25" x14ac:dyDescent="0.3">
      <c r="A175" s="389"/>
      <c r="B175" s="17"/>
      <c r="C175" s="40"/>
      <c r="D175" s="43"/>
      <c r="E175" s="43"/>
      <c r="F175" s="49" t="s">
        <v>172</v>
      </c>
      <c r="G175" s="51" t="s">
        <v>171</v>
      </c>
      <c r="H175" s="5"/>
      <c r="I175" s="5"/>
      <c r="J175" s="5"/>
      <c r="K175" s="108"/>
      <c r="S175" s="117"/>
      <c r="T175" s="282"/>
      <c r="U175" s="282"/>
      <c r="V175" s="282"/>
      <c r="W175" s="282"/>
      <c r="X175" s="126"/>
      <c r="Y175" s="125"/>
    </row>
    <row r="176" spans="1:25" x14ac:dyDescent="0.3">
      <c r="A176" s="156"/>
      <c r="B176" s="17"/>
      <c r="C176" s="17"/>
      <c r="D176" s="17"/>
      <c r="E176" s="17"/>
      <c r="F176" s="387"/>
      <c r="G176" s="5"/>
      <c r="H176" s="5"/>
      <c r="I176" s="5"/>
      <c r="J176" s="5"/>
      <c r="K176" s="108"/>
      <c r="S176" s="168"/>
      <c r="T176" s="95"/>
      <c r="U176" s="95"/>
      <c r="V176" s="95"/>
      <c r="W176" s="95"/>
      <c r="X176" s="95"/>
      <c r="Y176" s="169"/>
    </row>
    <row r="177" spans="1:25" s="13" customFormat="1" ht="15" thickBot="1" x14ac:dyDescent="0.35">
      <c r="A177" s="389"/>
      <c r="B177" s="387" t="s">
        <v>298</v>
      </c>
      <c r="C177" s="387" t="s">
        <v>12</v>
      </c>
      <c r="D177" s="387" t="s">
        <v>13</v>
      </c>
      <c r="E177" s="387" t="s">
        <v>14</v>
      </c>
      <c r="F177" s="387" t="s">
        <v>15</v>
      </c>
      <c r="G177" s="5" t="s">
        <v>24</v>
      </c>
      <c r="H177" s="5" t="s">
        <v>25</v>
      </c>
      <c r="I177" s="5" t="s">
        <v>301</v>
      </c>
      <c r="J177" s="5"/>
      <c r="K177" s="108"/>
      <c r="S177" s="117"/>
      <c r="T177" s="282"/>
      <c r="U177" s="282"/>
      <c r="V177" s="282"/>
      <c r="W177" s="282"/>
      <c r="X177" s="126"/>
      <c r="Y177" s="125"/>
    </row>
    <row r="178" spans="1:25" s="13" customFormat="1" x14ac:dyDescent="0.3">
      <c r="A178" s="389"/>
      <c r="B178" s="14" t="s">
        <v>351</v>
      </c>
      <c r="C178" s="394">
        <v>3</v>
      </c>
      <c r="D178" s="394">
        <v>2</v>
      </c>
      <c r="E178" s="394">
        <v>0</v>
      </c>
      <c r="F178" s="394">
        <v>1</v>
      </c>
      <c r="G178" s="15">
        <v>4</v>
      </c>
      <c r="H178" s="15">
        <v>3</v>
      </c>
      <c r="I178" s="15">
        <v>6</v>
      </c>
      <c r="J178" s="86"/>
      <c r="K178" s="108"/>
      <c r="S178" s="117"/>
      <c r="T178" s="282"/>
      <c r="U178" s="282"/>
      <c r="V178" s="282"/>
      <c r="W178" s="282"/>
      <c r="X178" s="126"/>
      <c r="Y178" s="125"/>
    </row>
    <row r="179" spans="1:25" s="13" customFormat="1" x14ac:dyDescent="0.3">
      <c r="A179" s="389"/>
      <c r="B179" s="21" t="s">
        <v>21</v>
      </c>
      <c r="C179" s="17"/>
      <c r="D179" s="17"/>
      <c r="E179" s="17"/>
      <c r="F179" s="17"/>
      <c r="G179" s="18"/>
      <c r="H179" s="18"/>
      <c r="I179" s="18"/>
      <c r="J179" s="86"/>
      <c r="K179" s="108"/>
      <c r="S179" s="117"/>
      <c r="T179" s="282"/>
      <c r="U179" s="282"/>
      <c r="V179" s="282"/>
      <c r="W179" s="282"/>
      <c r="X179" s="126"/>
      <c r="Y179" s="125"/>
    </row>
    <row r="180" spans="1:25" x14ac:dyDescent="0.3">
      <c r="A180" s="389"/>
      <c r="B180" s="3" t="s">
        <v>302</v>
      </c>
      <c r="C180" s="387"/>
      <c r="D180" s="387"/>
      <c r="E180" s="387"/>
      <c r="F180" s="387"/>
      <c r="G180" s="5"/>
      <c r="H180" s="5"/>
      <c r="I180" s="5"/>
      <c r="J180" s="87"/>
      <c r="K180" s="108"/>
      <c r="S180" s="117"/>
      <c r="T180" s="282"/>
      <c r="U180" s="282"/>
      <c r="V180" s="282"/>
      <c r="W180" s="282"/>
      <c r="X180" s="126"/>
      <c r="Y180" s="125"/>
    </row>
    <row r="181" spans="1:25" ht="15" thickBot="1" x14ac:dyDescent="0.35">
      <c r="A181" s="389"/>
      <c r="B181" s="7" t="s">
        <v>176</v>
      </c>
      <c r="C181" s="393"/>
      <c r="D181" s="393"/>
      <c r="E181" s="393"/>
      <c r="F181" s="393"/>
      <c r="G181" s="8"/>
      <c r="H181" s="8"/>
      <c r="I181" s="8"/>
      <c r="J181" s="87"/>
      <c r="K181" s="108"/>
      <c r="S181" s="117"/>
      <c r="T181" s="282"/>
      <c r="U181" s="282"/>
      <c r="V181" s="282"/>
      <c r="W181" s="282"/>
      <c r="X181" s="126"/>
      <c r="Y181" s="125"/>
    </row>
    <row r="182" spans="1:25" s="13" customFormat="1" ht="15" thickBot="1" x14ac:dyDescent="0.35">
      <c r="A182" s="110"/>
      <c r="B182" s="36"/>
      <c r="C182" s="36"/>
      <c r="D182" s="36"/>
      <c r="E182" s="36"/>
      <c r="F182" s="36"/>
      <c r="G182" s="37"/>
      <c r="H182" s="37"/>
      <c r="I182" s="37"/>
      <c r="J182" s="37"/>
      <c r="K182" s="193"/>
      <c r="S182" s="168"/>
      <c r="T182" s="95"/>
      <c r="U182" s="95"/>
      <c r="V182" s="95"/>
      <c r="W182" s="95"/>
      <c r="X182" s="95"/>
      <c r="Y182" s="169"/>
    </row>
    <row r="183" spans="1:25" s="13" customFormat="1" ht="15" thickTop="1" x14ac:dyDescent="0.3">
      <c r="A183" s="389"/>
      <c r="B183" s="387"/>
      <c r="C183" s="387"/>
      <c r="D183" s="387"/>
      <c r="E183" s="387"/>
      <c r="F183" s="387"/>
      <c r="G183" s="5"/>
      <c r="H183" s="5"/>
      <c r="I183" s="5"/>
      <c r="J183" s="5"/>
      <c r="K183" s="108"/>
      <c r="L183" s="10"/>
      <c r="S183" s="117"/>
      <c r="T183" s="257"/>
      <c r="U183" s="257"/>
      <c r="V183" s="257"/>
      <c r="W183" s="257"/>
      <c r="X183" s="126"/>
      <c r="Y183" s="125"/>
    </row>
    <row r="184" spans="1:25" s="13" customFormat="1" ht="21" x14ac:dyDescent="0.4">
      <c r="A184" s="389"/>
      <c r="B184" s="387"/>
      <c r="C184" s="387"/>
      <c r="D184" s="387"/>
      <c r="E184" s="387"/>
      <c r="F184" s="386" t="s">
        <v>457</v>
      </c>
      <c r="G184" s="5"/>
      <c r="H184" s="5"/>
      <c r="I184" s="5"/>
      <c r="J184" s="5"/>
      <c r="K184" s="108"/>
      <c r="L184" s="10"/>
      <c r="S184" s="122"/>
      <c r="T184" s="17"/>
      <c r="U184" s="17"/>
      <c r="V184" s="17"/>
      <c r="W184" s="17"/>
      <c r="X184" s="126"/>
      <c r="Y184" s="125"/>
    </row>
    <row r="185" spans="1:25" x14ac:dyDescent="0.3">
      <c r="A185" s="389"/>
      <c r="B185" s="387"/>
      <c r="C185" s="49"/>
      <c r="D185" s="49"/>
      <c r="E185" s="49"/>
      <c r="F185" s="49"/>
      <c r="G185" s="51"/>
      <c r="H185" s="51"/>
      <c r="I185" s="51"/>
      <c r="J185" s="5"/>
      <c r="K185" s="108"/>
      <c r="L185" s="1"/>
      <c r="S185" s="117"/>
      <c r="T185" s="257"/>
      <c r="U185" s="257"/>
      <c r="V185" s="257"/>
      <c r="W185" s="257"/>
      <c r="X185" s="126"/>
      <c r="Y185" s="125"/>
    </row>
    <row r="186" spans="1:25" x14ac:dyDescent="0.3">
      <c r="A186" s="389"/>
      <c r="B186" s="387"/>
      <c r="C186" s="82">
        <v>37422</v>
      </c>
      <c r="D186" s="43" t="s">
        <v>88</v>
      </c>
      <c r="E186" s="43" t="s">
        <v>22</v>
      </c>
      <c r="F186" s="43">
        <v>1</v>
      </c>
      <c r="G186" s="48">
        <v>0</v>
      </c>
      <c r="H186" s="51"/>
      <c r="I186" s="51" t="s">
        <v>366</v>
      </c>
      <c r="J186" s="5"/>
      <c r="K186" s="108"/>
      <c r="L186" s="1"/>
      <c r="S186" s="117" t="s">
        <v>88</v>
      </c>
      <c r="T186" s="257" t="s">
        <v>22</v>
      </c>
      <c r="U186" s="257">
        <v>1</v>
      </c>
      <c r="V186" s="257">
        <v>0</v>
      </c>
      <c r="W186" s="257"/>
      <c r="X186" s="126">
        <f t="shared" ref="X186:X193" si="16">(IF(U186&gt;V186,3,IF(U186=V186,1,2)))</f>
        <v>3</v>
      </c>
      <c r="Y186" s="125">
        <f t="shared" ref="Y186:Y193" si="17">(IF(V186&gt;U186,3,IF(U186=V186,1,2)))</f>
        <v>2</v>
      </c>
    </row>
    <row r="187" spans="1:25" ht="15" thickBot="1" x14ac:dyDescent="0.35">
      <c r="A187" s="389"/>
      <c r="B187" s="387"/>
      <c r="C187" s="83"/>
      <c r="D187" s="80"/>
      <c r="E187" s="80"/>
      <c r="F187" s="80" t="s">
        <v>170</v>
      </c>
      <c r="G187" s="84" t="s">
        <v>171</v>
      </c>
      <c r="H187" s="81"/>
      <c r="I187" s="81"/>
      <c r="J187" s="5"/>
      <c r="K187" s="108"/>
      <c r="L187" s="1"/>
      <c r="S187" s="122" t="s">
        <v>258</v>
      </c>
      <c r="T187" s="17" t="s">
        <v>74</v>
      </c>
      <c r="U187" s="17">
        <v>0</v>
      </c>
      <c r="V187" s="17">
        <v>3</v>
      </c>
      <c r="W187" s="17"/>
      <c r="X187" s="126">
        <f t="shared" si="16"/>
        <v>2</v>
      </c>
      <c r="Y187" s="125">
        <f t="shared" si="17"/>
        <v>3</v>
      </c>
    </row>
    <row r="188" spans="1:25" s="13" customFormat="1" x14ac:dyDescent="0.3">
      <c r="A188" s="389"/>
      <c r="B188" s="387"/>
      <c r="C188" s="82">
        <v>37422</v>
      </c>
      <c r="D188" s="43" t="s">
        <v>258</v>
      </c>
      <c r="E188" s="43" t="s">
        <v>74</v>
      </c>
      <c r="F188" s="43">
        <v>0</v>
      </c>
      <c r="G188" s="48">
        <v>3</v>
      </c>
      <c r="H188" s="51"/>
      <c r="I188" s="51" t="s">
        <v>368</v>
      </c>
      <c r="J188" s="5"/>
      <c r="K188" s="108"/>
      <c r="L188" s="10"/>
      <c r="S188" s="117" t="s">
        <v>41</v>
      </c>
      <c r="T188" s="257" t="s">
        <v>355</v>
      </c>
      <c r="U188" s="257">
        <v>1</v>
      </c>
      <c r="V188" s="257">
        <v>2</v>
      </c>
      <c r="W188" s="257"/>
      <c r="X188" s="126">
        <f t="shared" si="16"/>
        <v>2</v>
      </c>
      <c r="Y188" s="125">
        <f t="shared" si="17"/>
        <v>3</v>
      </c>
    </row>
    <row r="189" spans="1:25" ht="15" thickBot="1" x14ac:dyDescent="0.35">
      <c r="A189" s="389"/>
      <c r="B189" s="387"/>
      <c r="C189" s="83"/>
      <c r="D189" s="80"/>
      <c r="E189" s="80"/>
      <c r="F189" s="80" t="s">
        <v>170</v>
      </c>
      <c r="G189" s="84" t="s">
        <v>274</v>
      </c>
      <c r="H189" s="81"/>
      <c r="I189" s="81"/>
      <c r="J189" s="5"/>
      <c r="K189" s="108"/>
      <c r="L189" s="1"/>
      <c r="S189" s="117" t="s">
        <v>35</v>
      </c>
      <c r="T189" s="257" t="s">
        <v>290</v>
      </c>
      <c r="U189" s="257">
        <v>4</v>
      </c>
      <c r="V189" s="257">
        <v>3</v>
      </c>
      <c r="W189" s="257" t="s">
        <v>214</v>
      </c>
      <c r="X189" s="126">
        <f t="shared" si="16"/>
        <v>3</v>
      </c>
      <c r="Y189" s="125">
        <f t="shared" si="17"/>
        <v>2</v>
      </c>
    </row>
    <row r="190" spans="1:25" x14ac:dyDescent="0.3">
      <c r="A190" s="389"/>
      <c r="B190" s="33"/>
      <c r="C190" s="82">
        <v>37423</v>
      </c>
      <c r="D190" s="43" t="s">
        <v>41</v>
      </c>
      <c r="E190" s="43" t="s">
        <v>355</v>
      </c>
      <c r="F190" s="43">
        <v>1</v>
      </c>
      <c r="G190" s="48">
        <v>2</v>
      </c>
      <c r="H190" s="51" t="s">
        <v>354</v>
      </c>
      <c r="I190" s="51" t="s">
        <v>378</v>
      </c>
      <c r="J190" s="5"/>
      <c r="K190" s="108"/>
      <c r="L190" s="1"/>
      <c r="S190" s="117" t="s">
        <v>4</v>
      </c>
      <c r="T190" s="257" t="s">
        <v>20</v>
      </c>
      <c r="U190" s="257">
        <v>0</v>
      </c>
      <c r="V190" s="257">
        <v>2</v>
      </c>
      <c r="W190" s="257"/>
      <c r="X190" s="257">
        <f t="shared" si="16"/>
        <v>2</v>
      </c>
      <c r="Y190" s="118">
        <f t="shared" si="17"/>
        <v>3</v>
      </c>
    </row>
    <row r="191" spans="1:25" x14ac:dyDescent="0.3">
      <c r="A191" s="389"/>
      <c r="B191" s="33"/>
      <c r="C191" s="82"/>
      <c r="D191" s="43"/>
      <c r="E191" s="43"/>
      <c r="F191" s="43">
        <v>1</v>
      </c>
      <c r="G191" s="48">
        <v>1</v>
      </c>
      <c r="H191" s="51"/>
      <c r="I191" s="51"/>
      <c r="J191" s="5"/>
      <c r="K191" s="108"/>
      <c r="L191" s="285"/>
      <c r="S191" s="117" t="s">
        <v>9</v>
      </c>
      <c r="T191" s="284" t="s">
        <v>21</v>
      </c>
      <c r="U191" s="284">
        <v>2</v>
      </c>
      <c r="V191" s="284">
        <v>0</v>
      </c>
      <c r="W191" s="284"/>
      <c r="X191" s="284">
        <f t="shared" si="16"/>
        <v>3</v>
      </c>
      <c r="Y191" s="118">
        <f t="shared" si="17"/>
        <v>2</v>
      </c>
    </row>
    <row r="192" spans="1:25" ht="15" thickBot="1" x14ac:dyDescent="0.35">
      <c r="A192" s="389"/>
      <c r="B192" s="33"/>
      <c r="C192" s="83"/>
      <c r="D192" s="80"/>
      <c r="E192" s="80"/>
      <c r="F192" s="80" t="s">
        <v>172</v>
      </c>
      <c r="G192" s="84" t="s">
        <v>183</v>
      </c>
      <c r="H192" s="81"/>
      <c r="I192" s="81"/>
      <c r="J192" s="5"/>
      <c r="K192" s="108"/>
      <c r="L192" s="1"/>
      <c r="S192" s="122" t="s">
        <v>351</v>
      </c>
      <c r="T192" s="17" t="s">
        <v>82</v>
      </c>
      <c r="U192" s="17">
        <v>0</v>
      </c>
      <c r="V192" s="17">
        <v>1</v>
      </c>
      <c r="W192" s="17"/>
      <c r="X192" s="17">
        <f t="shared" si="16"/>
        <v>2</v>
      </c>
      <c r="Y192" s="123">
        <f t="shared" si="17"/>
        <v>3</v>
      </c>
    </row>
    <row r="193" spans="1:25" x14ac:dyDescent="0.3">
      <c r="A193" s="156"/>
      <c r="B193" s="387"/>
      <c r="C193" s="82">
        <v>37423</v>
      </c>
      <c r="D193" s="43" t="s">
        <v>35</v>
      </c>
      <c r="E193" s="43" t="s">
        <v>290</v>
      </c>
      <c r="F193" s="43">
        <v>3</v>
      </c>
      <c r="G193" s="48">
        <v>2</v>
      </c>
      <c r="H193" s="51" t="s">
        <v>214</v>
      </c>
      <c r="I193" s="51" t="s">
        <v>361</v>
      </c>
      <c r="J193" s="5"/>
      <c r="K193" s="108"/>
      <c r="L193" s="1"/>
      <c r="S193" s="117" t="s">
        <v>90</v>
      </c>
      <c r="T193" s="257" t="s">
        <v>37</v>
      </c>
      <c r="U193" s="257">
        <v>2</v>
      </c>
      <c r="V193" s="257">
        <v>1</v>
      </c>
      <c r="W193" s="257" t="s">
        <v>354</v>
      </c>
      <c r="X193" s="126">
        <f t="shared" si="16"/>
        <v>3</v>
      </c>
      <c r="Y193" s="125">
        <f t="shared" si="17"/>
        <v>2</v>
      </c>
    </row>
    <row r="194" spans="1:25" x14ac:dyDescent="0.3">
      <c r="A194" s="156"/>
      <c r="B194" s="387"/>
      <c r="C194" s="82"/>
      <c r="D194" s="43"/>
      <c r="E194" s="43"/>
      <c r="F194" s="43">
        <v>1</v>
      </c>
      <c r="G194" s="48">
        <v>1</v>
      </c>
      <c r="H194" s="51" t="s">
        <v>30</v>
      </c>
      <c r="I194" s="51"/>
      <c r="J194" s="5"/>
      <c r="K194" s="108"/>
      <c r="L194" s="285"/>
      <c r="S194" s="117"/>
      <c r="T194" s="284"/>
      <c r="U194" s="284"/>
      <c r="V194" s="284"/>
      <c r="W194" s="284"/>
      <c r="X194" s="126"/>
      <c r="Y194" s="125"/>
    </row>
    <row r="195" spans="1:25" x14ac:dyDescent="0.3">
      <c r="A195" s="156"/>
      <c r="B195" s="387"/>
      <c r="C195" s="82"/>
      <c r="D195" s="43"/>
      <c r="E195" s="43"/>
      <c r="F195" s="43">
        <v>1</v>
      </c>
      <c r="G195" s="48">
        <v>1</v>
      </c>
      <c r="H195" s="51"/>
      <c r="I195" s="51"/>
      <c r="J195" s="5"/>
      <c r="K195" s="108"/>
      <c r="L195" s="285"/>
      <c r="S195" s="117"/>
      <c r="T195" s="284"/>
      <c r="U195" s="284"/>
      <c r="V195" s="284"/>
      <c r="W195" s="284"/>
      <c r="X195" s="126"/>
      <c r="Y195" s="125"/>
    </row>
    <row r="196" spans="1:25" s="13" customFormat="1" ht="15" thickBot="1" x14ac:dyDescent="0.35">
      <c r="A196" s="156"/>
      <c r="B196" s="387"/>
      <c r="C196" s="83"/>
      <c r="D196" s="80"/>
      <c r="E196" s="80"/>
      <c r="F196" s="80" t="s">
        <v>172</v>
      </c>
      <c r="G196" s="84" t="s">
        <v>171</v>
      </c>
      <c r="H196" s="81"/>
      <c r="I196" s="81"/>
      <c r="J196" s="5"/>
      <c r="K196" s="108"/>
      <c r="L196" s="10"/>
      <c r="S196" s="122"/>
      <c r="T196" s="17"/>
      <c r="U196" s="17"/>
      <c r="V196" s="17"/>
      <c r="W196" s="17"/>
      <c r="X196" s="126"/>
      <c r="Y196" s="125"/>
    </row>
    <row r="197" spans="1:25" s="13" customFormat="1" x14ac:dyDescent="0.3">
      <c r="A197" s="156"/>
      <c r="B197" s="387"/>
      <c r="C197" s="82">
        <v>37424</v>
      </c>
      <c r="D197" s="43" t="s">
        <v>4</v>
      </c>
      <c r="E197" s="43" t="s">
        <v>20</v>
      </c>
      <c r="F197" s="43">
        <v>0</v>
      </c>
      <c r="G197" s="48">
        <v>2</v>
      </c>
      <c r="H197" s="51"/>
      <c r="I197" s="51" t="s">
        <v>364</v>
      </c>
      <c r="J197" s="5"/>
      <c r="K197" s="108"/>
      <c r="L197" s="10"/>
      <c r="S197" s="117"/>
      <c r="T197" s="257"/>
      <c r="U197" s="257"/>
      <c r="V197" s="257"/>
      <c r="W197" s="257"/>
      <c r="X197" s="257"/>
      <c r="Y197" s="118"/>
    </row>
    <row r="198" spans="1:25" s="13" customFormat="1" ht="15" thickBot="1" x14ac:dyDescent="0.35">
      <c r="A198" s="156"/>
      <c r="B198" s="387"/>
      <c r="C198" s="83"/>
      <c r="D198" s="80"/>
      <c r="E198" s="80"/>
      <c r="F198" s="80" t="s">
        <v>170</v>
      </c>
      <c r="G198" s="84" t="s">
        <v>183</v>
      </c>
      <c r="H198" s="81"/>
      <c r="I198" s="81"/>
      <c r="J198" s="5"/>
      <c r="K198" s="108"/>
      <c r="S198" s="117"/>
      <c r="T198" s="257"/>
      <c r="U198" s="257"/>
      <c r="V198" s="257"/>
      <c r="W198" s="257"/>
      <c r="X198" s="126"/>
      <c r="Y198" s="125"/>
    </row>
    <row r="199" spans="1:25" s="13" customFormat="1" x14ac:dyDescent="0.3">
      <c r="A199" s="156"/>
      <c r="B199" s="387"/>
      <c r="C199" s="82">
        <v>37424</v>
      </c>
      <c r="D199" s="43" t="s">
        <v>9</v>
      </c>
      <c r="E199" s="43" t="s">
        <v>21</v>
      </c>
      <c r="F199" s="43">
        <v>2</v>
      </c>
      <c r="G199" s="48">
        <v>0</v>
      </c>
      <c r="H199" s="51"/>
      <c r="I199" s="51" t="s">
        <v>374</v>
      </c>
      <c r="J199" s="5"/>
      <c r="K199" s="108"/>
      <c r="S199" s="117"/>
      <c r="T199" s="257"/>
      <c r="U199" s="257"/>
      <c r="V199" s="257"/>
      <c r="W199" s="257"/>
      <c r="X199" s="126"/>
      <c r="Y199" s="125"/>
    </row>
    <row r="200" spans="1:25" ht="15" thickBot="1" x14ac:dyDescent="0.35">
      <c r="A200" s="156"/>
      <c r="B200" s="387"/>
      <c r="C200" s="83"/>
      <c r="D200" s="80"/>
      <c r="E200" s="80"/>
      <c r="F200" s="80" t="s">
        <v>170</v>
      </c>
      <c r="G200" s="84" t="s">
        <v>171</v>
      </c>
      <c r="H200" s="81"/>
      <c r="I200" s="81"/>
      <c r="J200" s="5"/>
      <c r="K200" s="108"/>
      <c r="L200" s="1"/>
      <c r="S200" s="122"/>
      <c r="T200" s="17"/>
      <c r="U200" s="17"/>
      <c r="V200" s="17"/>
      <c r="W200" s="17"/>
      <c r="X200" s="17"/>
      <c r="Y200" s="123"/>
    </row>
    <row r="201" spans="1:25" x14ac:dyDescent="0.3">
      <c r="A201" s="156"/>
      <c r="B201" s="387"/>
      <c r="C201" s="82">
        <v>37425</v>
      </c>
      <c r="D201" s="43" t="s">
        <v>351</v>
      </c>
      <c r="E201" s="43" t="s">
        <v>82</v>
      </c>
      <c r="F201" s="43">
        <v>0</v>
      </c>
      <c r="G201" s="48">
        <v>1</v>
      </c>
      <c r="H201" s="51"/>
      <c r="I201" s="51" t="s">
        <v>379</v>
      </c>
      <c r="J201" s="5"/>
      <c r="K201" s="108"/>
      <c r="L201" s="1"/>
      <c r="S201" s="117"/>
      <c r="T201" s="257"/>
      <c r="U201" s="257"/>
      <c r="V201" s="257"/>
      <c r="W201" s="257"/>
      <c r="X201" s="257"/>
      <c r="Y201" s="118"/>
    </row>
    <row r="202" spans="1:25" s="13" customFormat="1" ht="15" thickBot="1" x14ac:dyDescent="0.35">
      <c r="A202" s="156"/>
      <c r="B202" s="387"/>
      <c r="C202" s="83"/>
      <c r="D202" s="80"/>
      <c r="E202" s="80"/>
      <c r="F202" s="80" t="s">
        <v>170</v>
      </c>
      <c r="G202" s="84" t="s">
        <v>183</v>
      </c>
      <c r="H202" s="81"/>
      <c r="I202" s="81"/>
      <c r="J202" s="5"/>
      <c r="K202" s="108"/>
      <c r="L202" s="10"/>
      <c r="S202" s="117"/>
      <c r="T202" s="257"/>
      <c r="U202" s="257"/>
      <c r="V202" s="257"/>
      <c r="W202" s="257"/>
      <c r="X202" s="257"/>
      <c r="Y202" s="118"/>
    </row>
    <row r="203" spans="1:25" s="13" customFormat="1" x14ac:dyDescent="0.3">
      <c r="A203" s="156"/>
      <c r="B203" s="387"/>
      <c r="C203" s="82">
        <v>37425</v>
      </c>
      <c r="D203" s="43" t="s">
        <v>90</v>
      </c>
      <c r="E203" s="43" t="s">
        <v>37</v>
      </c>
      <c r="F203" s="43">
        <v>2</v>
      </c>
      <c r="G203" s="48">
        <v>1</v>
      </c>
      <c r="H203" s="51" t="s">
        <v>354</v>
      </c>
      <c r="I203" s="51" t="s">
        <v>365</v>
      </c>
      <c r="J203" s="5"/>
      <c r="K203" s="108"/>
      <c r="L203" s="10"/>
      <c r="S203" s="117"/>
      <c r="T203" s="257"/>
      <c r="U203" s="257"/>
      <c r="V203" s="257"/>
      <c r="W203" s="257"/>
      <c r="X203" s="257"/>
      <c r="Y203" s="118"/>
    </row>
    <row r="204" spans="1:25" s="13" customFormat="1" x14ac:dyDescent="0.3">
      <c r="A204" s="156"/>
      <c r="B204" s="387"/>
      <c r="C204" s="49"/>
      <c r="D204" s="49"/>
      <c r="E204" s="49"/>
      <c r="F204" s="33">
        <v>1</v>
      </c>
      <c r="G204" s="309">
        <v>1</v>
      </c>
      <c r="H204" s="51"/>
      <c r="I204" s="51"/>
      <c r="J204" s="5"/>
      <c r="K204" s="108"/>
      <c r="L204" s="10"/>
      <c r="S204" s="117"/>
      <c r="T204" s="257"/>
      <c r="U204" s="257"/>
      <c r="V204" s="257"/>
      <c r="W204" s="257"/>
      <c r="X204" s="126"/>
      <c r="Y204" s="125"/>
    </row>
    <row r="205" spans="1:25" s="13" customFormat="1" x14ac:dyDescent="0.3">
      <c r="A205" s="156"/>
      <c r="B205" s="387"/>
      <c r="C205" s="49"/>
      <c r="D205" s="49"/>
      <c r="E205" s="49"/>
      <c r="F205" s="49" t="s">
        <v>170</v>
      </c>
      <c r="G205" s="51" t="s">
        <v>183</v>
      </c>
      <c r="H205" s="51"/>
      <c r="I205" s="51"/>
      <c r="J205" s="5"/>
      <c r="K205" s="108"/>
      <c r="L205" s="10"/>
      <c r="S205" s="117"/>
      <c r="T205" s="257"/>
      <c r="U205" s="257"/>
      <c r="V205" s="257"/>
      <c r="W205" s="257"/>
      <c r="X205" s="257"/>
      <c r="Y205" s="118"/>
    </row>
    <row r="206" spans="1:25" s="13" customFormat="1" x14ac:dyDescent="0.3">
      <c r="A206" s="156"/>
      <c r="B206" s="387"/>
      <c r="C206" s="387"/>
      <c r="D206" s="387"/>
      <c r="E206" s="387"/>
      <c r="F206" s="387"/>
      <c r="G206" s="5"/>
      <c r="H206" s="5"/>
      <c r="I206" s="5"/>
      <c r="J206" s="5"/>
      <c r="K206" s="108"/>
      <c r="S206" s="117"/>
      <c r="T206" s="257"/>
      <c r="U206" s="257"/>
      <c r="V206" s="257"/>
      <c r="W206" s="257"/>
      <c r="X206" s="257"/>
      <c r="Y206" s="118"/>
    </row>
    <row r="207" spans="1:25" s="13" customFormat="1" x14ac:dyDescent="0.3">
      <c r="A207" s="156"/>
      <c r="B207" s="387"/>
      <c r="C207" s="387"/>
      <c r="D207" s="387"/>
      <c r="E207" s="387"/>
      <c r="F207" s="387"/>
      <c r="G207" s="5"/>
      <c r="H207" s="5"/>
      <c r="I207" s="5"/>
      <c r="J207" s="5"/>
      <c r="K207" s="108"/>
      <c r="L207" s="10"/>
      <c r="S207" s="117"/>
      <c r="T207" s="257"/>
      <c r="U207" s="257"/>
      <c r="V207" s="257"/>
      <c r="W207" s="257"/>
      <c r="X207" s="257"/>
      <c r="Y207" s="118"/>
    </row>
    <row r="208" spans="1:25" s="13" customFormat="1" ht="21" x14ac:dyDescent="0.4">
      <c r="A208" s="156"/>
      <c r="B208" s="387"/>
      <c r="C208" s="387"/>
      <c r="D208" s="387"/>
      <c r="E208" s="387"/>
      <c r="F208" s="386" t="s">
        <v>456</v>
      </c>
      <c r="G208" s="5"/>
      <c r="H208" s="5"/>
      <c r="I208" s="5"/>
      <c r="J208" s="5"/>
      <c r="K208" s="108"/>
      <c r="S208" s="117"/>
      <c r="T208" s="257"/>
      <c r="U208" s="257"/>
      <c r="V208" s="257"/>
      <c r="W208" s="257"/>
      <c r="X208" s="257"/>
      <c r="Y208" s="118"/>
    </row>
    <row r="209" spans="1:25" s="13" customFormat="1" x14ac:dyDescent="0.3">
      <c r="A209" s="156"/>
      <c r="B209" s="387"/>
      <c r="C209" s="387"/>
      <c r="D209" s="49"/>
      <c r="E209" s="49"/>
      <c r="F209" s="49"/>
      <c r="G209" s="51"/>
      <c r="H209" s="51"/>
      <c r="I209" s="5"/>
      <c r="J209" s="5"/>
      <c r="K209" s="108"/>
      <c r="L209" s="10"/>
      <c r="S209" s="117"/>
      <c r="T209" s="257"/>
      <c r="U209" s="257"/>
      <c r="V209" s="257"/>
      <c r="W209" s="257"/>
      <c r="X209" s="257"/>
      <c r="Y209" s="118"/>
    </row>
    <row r="210" spans="1:25" s="13" customFormat="1" x14ac:dyDescent="0.3">
      <c r="A210" s="156"/>
      <c r="B210" s="387"/>
      <c r="C210" s="40">
        <v>37428</v>
      </c>
      <c r="D210" s="49" t="s">
        <v>74</v>
      </c>
      <c r="E210" s="43" t="s">
        <v>9</v>
      </c>
      <c r="F210" s="43">
        <v>1</v>
      </c>
      <c r="G210" s="48">
        <v>2</v>
      </c>
      <c r="H210" s="48"/>
      <c r="I210" s="5" t="s">
        <v>372</v>
      </c>
      <c r="J210" s="5"/>
      <c r="K210" s="108"/>
      <c r="L210" s="10"/>
      <c r="S210" s="117" t="s">
        <v>74</v>
      </c>
      <c r="T210" s="257" t="s">
        <v>9</v>
      </c>
      <c r="U210" s="257">
        <v>1</v>
      </c>
      <c r="V210" s="257">
        <v>2</v>
      </c>
      <c r="W210" s="257"/>
      <c r="X210" s="126">
        <f t="shared" ref="X210:X213" si="18">(IF(U210&gt;V210,3,IF(U210=V210,1,2)))</f>
        <v>2</v>
      </c>
      <c r="Y210" s="125">
        <f t="shared" ref="Y210:Y213" si="19">(IF(V210&gt;U210,3,IF(U210=V210,1,2)))</f>
        <v>3</v>
      </c>
    </row>
    <row r="211" spans="1:25" s="13" customFormat="1" ht="15" thickBot="1" x14ac:dyDescent="0.35">
      <c r="A211" s="156"/>
      <c r="B211" s="387"/>
      <c r="C211" s="58"/>
      <c r="D211" s="80"/>
      <c r="E211" s="80"/>
      <c r="F211" s="80" t="s">
        <v>172</v>
      </c>
      <c r="G211" s="84" t="s">
        <v>183</v>
      </c>
      <c r="H211" s="84"/>
      <c r="I211" s="8"/>
      <c r="J211" s="5"/>
      <c r="K211" s="108"/>
      <c r="L211" s="10"/>
      <c r="S211" s="117" t="s">
        <v>88</v>
      </c>
      <c r="T211" s="257" t="s">
        <v>20</v>
      </c>
      <c r="U211" s="257">
        <v>1</v>
      </c>
      <c r="V211" s="257">
        <v>0</v>
      </c>
      <c r="W211" s="257"/>
      <c r="X211" s="126">
        <f t="shared" si="18"/>
        <v>3</v>
      </c>
      <c r="Y211" s="125">
        <f t="shared" si="19"/>
        <v>2</v>
      </c>
    </row>
    <row r="212" spans="1:25" s="13" customFormat="1" x14ac:dyDescent="0.3">
      <c r="A212" s="156"/>
      <c r="B212" s="387"/>
      <c r="C212" s="40">
        <v>37428</v>
      </c>
      <c r="D212" s="43" t="s">
        <v>88</v>
      </c>
      <c r="E212" s="43" t="s">
        <v>20</v>
      </c>
      <c r="F212" s="43">
        <v>1</v>
      </c>
      <c r="G212" s="48">
        <v>0</v>
      </c>
      <c r="H212" s="48"/>
      <c r="I212" s="5" t="s">
        <v>357</v>
      </c>
      <c r="J212" s="5"/>
      <c r="K212" s="108"/>
      <c r="S212" s="117" t="s">
        <v>35</v>
      </c>
      <c r="T212" s="257" t="s">
        <v>90</v>
      </c>
      <c r="U212" s="257">
        <v>3</v>
      </c>
      <c r="V212" s="257">
        <v>5</v>
      </c>
      <c r="W212" s="257" t="s">
        <v>214</v>
      </c>
      <c r="X212" s="126">
        <f t="shared" si="18"/>
        <v>2</v>
      </c>
      <c r="Y212" s="125">
        <f t="shared" si="19"/>
        <v>3</v>
      </c>
    </row>
    <row r="213" spans="1:25" s="13" customFormat="1" ht="15" thickBot="1" x14ac:dyDescent="0.35">
      <c r="A213" s="156"/>
      <c r="B213" s="387"/>
      <c r="C213" s="58"/>
      <c r="D213" s="80"/>
      <c r="E213" s="80"/>
      <c r="F213" s="80" t="s">
        <v>172</v>
      </c>
      <c r="G213" s="84" t="s">
        <v>171</v>
      </c>
      <c r="H213" s="84"/>
      <c r="I213" s="8"/>
      <c r="J213" s="5"/>
      <c r="K213" s="108"/>
      <c r="L213" s="10"/>
      <c r="S213" s="117" t="s">
        <v>355</v>
      </c>
      <c r="T213" s="257" t="s">
        <v>82</v>
      </c>
      <c r="U213" s="257">
        <v>0</v>
      </c>
      <c r="V213" s="257">
        <v>1</v>
      </c>
      <c r="W213" s="257" t="s">
        <v>354</v>
      </c>
      <c r="X213" s="126">
        <f t="shared" si="18"/>
        <v>2</v>
      </c>
      <c r="Y213" s="125">
        <f t="shared" si="19"/>
        <v>3</v>
      </c>
    </row>
    <row r="214" spans="1:25" s="13" customFormat="1" x14ac:dyDescent="0.3">
      <c r="A214" s="156"/>
      <c r="B214" s="387"/>
      <c r="C214" s="40">
        <v>37429</v>
      </c>
      <c r="D214" s="43" t="s">
        <v>35</v>
      </c>
      <c r="E214" s="43" t="s">
        <v>90</v>
      </c>
      <c r="F214" s="43">
        <v>3</v>
      </c>
      <c r="G214" s="48">
        <v>5</v>
      </c>
      <c r="H214" s="48" t="s">
        <v>214</v>
      </c>
      <c r="I214" s="5" t="s">
        <v>363</v>
      </c>
      <c r="J214" s="5"/>
      <c r="K214" s="108"/>
      <c r="S214" s="117"/>
      <c r="T214" s="257"/>
      <c r="U214" s="257"/>
      <c r="V214" s="257"/>
      <c r="W214" s="257"/>
      <c r="X214" s="126"/>
      <c r="Y214" s="125"/>
    </row>
    <row r="215" spans="1:25" s="13" customFormat="1" x14ac:dyDescent="0.3">
      <c r="A215" s="156"/>
      <c r="B215" s="387"/>
      <c r="C215" s="40"/>
      <c r="D215" s="43"/>
      <c r="E215" s="43"/>
      <c r="F215" s="43">
        <v>0</v>
      </c>
      <c r="G215" s="48">
        <v>0</v>
      </c>
      <c r="H215" s="48" t="s">
        <v>30</v>
      </c>
      <c r="I215" s="5"/>
      <c r="J215" s="5"/>
      <c r="K215" s="108"/>
      <c r="S215" s="117"/>
      <c r="T215" s="284"/>
      <c r="U215" s="284"/>
      <c r="V215" s="284"/>
      <c r="W215" s="284"/>
      <c r="X215" s="126"/>
      <c r="Y215" s="125"/>
    </row>
    <row r="216" spans="1:25" s="13" customFormat="1" x14ac:dyDescent="0.3">
      <c r="A216" s="156"/>
      <c r="B216" s="387"/>
      <c r="C216" s="40"/>
      <c r="D216" s="43"/>
      <c r="E216" s="43"/>
      <c r="F216" s="43">
        <v>0</v>
      </c>
      <c r="G216" s="48">
        <v>0</v>
      </c>
      <c r="H216" s="48"/>
      <c r="I216" s="5"/>
      <c r="J216" s="5"/>
      <c r="K216" s="108"/>
      <c r="S216" s="117"/>
      <c r="T216" s="284"/>
      <c r="U216" s="284"/>
      <c r="V216" s="284"/>
      <c r="W216" s="284"/>
      <c r="X216" s="126"/>
      <c r="Y216" s="125"/>
    </row>
    <row r="217" spans="1:25" s="13" customFormat="1" ht="15" thickBot="1" x14ac:dyDescent="0.35">
      <c r="A217" s="156"/>
      <c r="B217" s="387"/>
      <c r="C217" s="58"/>
      <c r="D217" s="80"/>
      <c r="E217" s="80"/>
      <c r="F217" s="80" t="s">
        <v>170</v>
      </c>
      <c r="G217" s="84" t="s">
        <v>171</v>
      </c>
      <c r="H217" s="84"/>
      <c r="I217" s="8"/>
      <c r="J217" s="5"/>
      <c r="K217" s="108"/>
      <c r="S217" s="117"/>
      <c r="T217" s="257"/>
      <c r="U217" s="257"/>
      <c r="V217" s="257"/>
      <c r="W217" s="257"/>
      <c r="X217" s="126"/>
      <c r="Y217" s="125"/>
    </row>
    <row r="218" spans="1:25" s="13" customFormat="1" x14ac:dyDescent="0.3">
      <c r="A218" s="156"/>
      <c r="B218" s="387"/>
      <c r="C218" s="40">
        <v>37429</v>
      </c>
      <c r="D218" s="43" t="s">
        <v>355</v>
      </c>
      <c r="E218" s="43" t="s">
        <v>82</v>
      </c>
      <c r="F218" s="43">
        <v>0</v>
      </c>
      <c r="G218" s="48">
        <v>1</v>
      </c>
      <c r="H218" s="48" t="s">
        <v>354</v>
      </c>
      <c r="I218" s="5" t="s">
        <v>376</v>
      </c>
      <c r="J218" s="5"/>
      <c r="K218" s="108"/>
      <c r="L218" s="10"/>
      <c r="S218" s="117"/>
      <c r="T218" s="257"/>
      <c r="U218" s="257"/>
      <c r="V218" s="257"/>
      <c r="W218" s="257"/>
      <c r="X218" s="257"/>
      <c r="Y218" s="118"/>
    </row>
    <row r="219" spans="1:25" s="13" customFormat="1" x14ac:dyDescent="0.3">
      <c r="A219" s="156"/>
      <c r="B219" s="387"/>
      <c r="C219" s="387"/>
      <c r="D219" s="43"/>
      <c r="E219" s="43"/>
      <c r="F219" s="43">
        <v>0</v>
      </c>
      <c r="G219" s="48">
        <v>0</v>
      </c>
      <c r="H219" s="48"/>
      <c r="I219" s="5"/>
      <c r="J219" s="5"/>
      <c r="K219" s="108"/>
      <c r="L219" s="10"/>
      <c r="S219" s="117"/>
      <c r="T219" s="257"/>
      <c r="U219" s="257"/>
      <c r="V219" s="257"/>
      <c r="W219" s="257"/>
      <c r="X219" s="257"/>
      <c r="Y219" s="118"/>
    </row>
    <row r="220" spans="1:25" s="13" customFormat="1" x14ac:dyDescent="0.3">
      <c r="A220" s="156"/>
      <c r="B220" s="387"/>
      <c r="C220" s="387"/>
      <c r="D220" s="43"/>
      <c r="E220" s="43"/>
      <c r="F220" s="43" t="s">
        <v>170</v>
      </c>
      <c r="G220" s="48" t="s">
        <v>171</v>
      </c>
      <c r="H220" s="48"/>
      <c r="I220" s="5"/>
      <c r="J220" s="5"/>
      <c r="K220" s="108"/>
      <c r="L220" s="10"/>
      <c r="S220" s="117"/>
      <c r="T220" s="257"/>
      <c r="U220" s="257"/>
      <c r="V220" s="257"/>
      <c r="W220" s="257"/>
      <c r="X220" s="257"/>
      <c r="Y220" s="118"/>
    </row>
    <row r="221" spans="1:25" s="13" customFormat="1" x14ac:dyDescent="0.3">
      <c r="A221" s="156"/>
      <c r="B221" s="387"/>
      <c r="C221" s="387"/>
      <c r="D221" s="17"/>
      <c r="E221" s="17"/>
      <c r="F221" s="66"/>
      <c r="G221" s="94"/>
      <c r="H221" s="18"/>
      <c r="I221" s="5"/>
      <c r="J221" s="5"/>
      <c r="K221" s="108"/>
      <c r="L221" s="10"/>
      <c r="S221" s="117"/>
      <c r="T221" s="257"/>
      <c r="U221" s="257"/>
      <c r="V221" s="257"/>
      <c r="W221" s="257"/>
      <c r="X221" s="257"/>
      <c r="Y221" s="118"/>
    </row>
    <row r="222" spans="1:25" s="13" customFormat="1" x14ac:dyDescent="0.3">
      <c r="A222" s="24"/>
      <c r="B222" s="17"/>
      <c r="C222" s="17"/>
      <c r="D222" s="17"/>
      <c r="E222" s="17"/>
      <c r="F222" s="66"/>
      <c r="G222" s="94"/>
      <c r="H222" s="18"/>
      <c r="I222" s="18"/>
      <c r="J222" s="18"/>
      <c r="K222" s="108"/>
      <c r="L222" s="10"/>
      <c r="S222" s="117"/>
      <c r="T222" s="259"/>
      <c r="U222" s="259"/>
      <c r="V222" s="259"/>
      <c r="W222" s="259"/>
      <c r="X222" s="259"/>
      <c r="Y222" s="118"/>
    </row>
    <row r="223" spans="1:25" s="13" customFormat="1" ht="21" x14ac:dyDescent="0.4">
      <c r="A223" s="24"/>
      <c r="B223" s="17"/>
      <c r="C223" s="17"/>
      <c r="D223" s="17"/>
      <c r="E223" s="17"/>
      <c r="F223" s="70" t="s">
        <v>458</v>
      </c>
      <c r="G223" s="18"/>
      <c r="H223" s="18"/>
      <c r="I223" s="18"/>
      <c r="J223" s="18"/>
      <c r="K223" s="108"/>
      <c r="S223" s="117"/>
      <c r="T223" s="259"/>
      <c r="U223" s="259"/>
      <c r="V223" s="259"/>
      <c r="W223" s="259"/>
      <c r="X223" s="259"/>
      <c r="Y223" s="118"/>
    </row>
    <row r="224" spans="1:25" s="13" customFormat="1" x14ac:dyDescent="0.3">
      <c r="A224" s="156"/>
      <c r="B224" s="28"/>
      <c r="C224" s="387"/>
      <c r="D224" s="49"/>
      <c r="E224" s="49"/>
      <c r="F224" s="49"/>
      <c r="G224" s="51"/>
      <c r="H224" s="5"/>
      <c r="I224" s="5"/>
      <c r="J224" s="5"/>
      <c r="K224" s="108"/>
      <c r="L224" s="10"/>
      <c r="S224" s="117"/>
      <c r="T224" s="259"/>
      <c r="U224" s="259"/>
      <c r="V224" s="259"/>
      <c r="W224" s="259"/>
      <c r="X224" s="259"/>
      <c r="Y224" s="118"/>
    </row>
    <row r="225" spans="1:25" x14ac:dyDescent="0.3">
      <c r="A225" s="186"/>
      <c r="B225" s="95"/>
      <c r="C225" s="165">
        <v>37432</v>
      </c>
      <c r="D225" s="43" t="s">
        <v>88</v>
      </c>
      <c r="E225" s="43" t="s">
        <v>90</v>
      </c>
      <c r="F225" s="43">
        <v>1</v>
      </c>
      <c r="G225" s="43">
        <v>0</v>
      </c>
      <c r="H225" s="17"/>
      <c r="I225" s="18" t="s">
        <v>356</v>
      </c>
      <c r="J225" s="18"/>
      <c r="K225" s="109"/>
      <c r="S225" s="117" t="s">
        <v>88</v>
      </c>
      <c r="T225" s="259" t="s">
        <v>90</v>
      </c>
      <c r="U225" s="259">
        <v>1</v>
      </c>
      <c r="V225" s="259">
        <v>0</v>
      </c>
      <c r="X225" s="126">
        <f t="shared" ref="X225:X226" si="20">(IF(U225&gt;V225,3,IF(U225=V225,1,2)))</f>
        <v>3</v>
      </c>
      <c r="Y225" s="125">
        <f t="shared" ref="Y225:Y226" si="21">(IF(V225&gt;U225,3,IF(U225=V225,1,2)))</f>
        <v>2</v>
      </c>
    </row>
    <row r="226" spans="1:25" ht="15" thickBot="1" x14ac:dyDescent="0.35">
      <c r="A226" s="186"/>
      <c r="B226" s="95"/>
      <c r="C226" s="62"/>
      <c r="D226" s="80"/>
      <c r="E226" s="80"/>
      <c r="F226" s="80" t="s">
        <v>170</v>
      </c>
      <c r="G226" s="80" t="s">
        <v>171</v>
      </c>
      <c r="H226" s="30"/>
      <c r="I226" s="31"/>
      <c r="J226" s="18"/>
      <c r="K226" s="109"/>
      <c r="S226" s="117" t="s">
        <v>9</v>
      </c>
      <c r="T226" s="259" t="s">
        <v>82</v>
      </c>
      <c r="U226" s="259">
        <v>1</v>
      </c>
      <c r="V226" s="259">
        <v>0</v>
      </c>
      <c r="X226" s="126">
        <f t="shared" si="20"/>
        <v>3</v>
      </c>
      <c r="Y226" s="125">
        <f t="shared" si="21"/>
        <v>2</v>
      </c>
    </row>
    <row r="227" spans="1:25" x14ac:dyDescent="0.3">
      <c r="A227" s="186"/>
      <c r="B227" s="95"/>
      <c r="C227" s="165">
        <v>37433</v>
      </c>
      <c r="D227" s="43" t="s">
        <v>9</v>
      </c>
      <c r="E227" s="43" t="s">
        <v>82</v>
      </c>
      <c r="F227" s="43">
        <v>1</v>
      </c>
      <c r="G227" s="43">
        <v>0</v>
      </c>
      <c r="H227" s="17"/>
      <c r="I227" s="18" t="s">
        <v>371</v>
      </c>
      <c r="J227" s="18"/>
      <c r="K227" s="109"/>
      <c r="S227" s="117"/>
      <c r="Y227" s="118"/>
    </row>
    <row r="228" spans="1:25" x14ac:dyDescent="0.3">
      <c r="A228" s="156"/>
      <c r="B228" s="387"/>
      <c r="C228" s="387"/>
      <c r="D228" s="49"/>
      <c r="E228" s="49"/>
      <c r="F228" s="49" t="s">
        <v>170</v>
      </c>
      <c r="G228" s="51" t="s">
        <v>171</v>
      </c>
      <c r="H228" s="5"/>
      <c r="I228" s="5"/>
      <c r="J228" s="5"/>
      <c r="K228" s="108"/>
      <c r="S228" s="117"/>
      <c r="Y228" s="118"/>
    </row>
    <row r="229" spans="1:25" x14ac:dyDescent="0.3">
      <c r="A229" s="156"/>
      <c r="B229" s="387"/>
      <c r="C229" s="387"/>
      <c r="D229" s="387"/>
      <c r="E229" s="387"/>
      <c r="F229" s="387"/>
      <c r="G229" s="5"/>
      <c r="H229" s="5"/>
      <c r="I229" s="5"/>
      <c r="J229" s="5"/>
      <c r="K229" s="108"/>
      <c r="S229" s="117"/>
      <c r="Y229" s="118"/>
    </row>
    <row r="230" spans="1:25" ht="15" thickBot="1" x14ac:dyDescent="0.35">
      <c r="A230" s="156"/>
      <c r="B230" s="387"/>
      <c r="C230" s="387"/>
      <c r="D230" s="387"/>
      <c r="E230" s="387"/>
      <c r="F230" s="387"/>
      <c r="G230" s="5"/>
      <c r="H230" s="5"/>
      <c r="I230" s="5"/>
      <c r="J230" s="5"/>
      <c r="K230" s="108"/>
      <c r="S230" s="117"/>
      <c r="Y230" s="118"/>
    </row>
    <row r="231" spans="1:25" ht="21" x14ac:dyDescent="0.4">
      <c r="A231" s="156"/>
      <c r="B231" s="387"/>
      <c r="C231" s="420" t="s">
        <v>462</v>
      </c>
      <c r="D231" s="444"/>
      <c r="E231" s="444"/>
      <c r="F231" s="444"/>
      <c r="G231" s="444"/>
      <c r="H231" s="444"/>
      <c r="I231" s="445"/>
      <c r="J231" s="5"/>
      <c r="K231" s="391"/>
      <c r="S231" s="117"/>
      <c r="Y231" s="118"/>
    </row>
    <row r="232" spans="1:25" ht="14.4" customHeight="1" x14ac:dyDescent="0.4">
      <c r="A232" s="156"/>
      <c r="B232" s="387"/>
      <c r="C232" s="364"/>
      <c r="D232" s="388"/>
      <c r="E232" s="388"/>
      <c r="F232" s="388"/>
      <c r="G232" s="388"/>
      <c r="H232" s="388"/>
      <c r="I232" s="384"/>
      <c r="J232" s="5"/>
      <c r="K232" s="391"/>
      <c r="S232" s="117"/>
      <c r="T232" s="357"/>
      <c r="U232" s="357"/>
      <c r="V232" s="357"/>
      <c r="W232" s="357"/>
      <c r="X232" s="357"/>
      <c r="Y232" s="118"/>
    </row>
    <row r="233" spans="1:25" x14ac:dyDescent="0.3">
      <c r="A233" s="194"/>
      <c r="B233" s="17"/>
      <c r="C233" s="21"/>
      <c r="D233" s="43" t="s">
        <v>90</v>
      </c>
      <c r="E233" s="85" t="s">
        <v>82</v>
      </c>
      <c r="F233" s="17">
        <v>2</v>
      </c>
      <c r="G233" s="18">
        <v>3</v>
      </c>
      <c r="H233" s="5"/>
      <c r="I233" s="22"/>
      <c r="J233" s="18"/>
      <c r="K233" s="35"/>
      <c r="S233" s="117" t="s">
        <v>90</v>
      </c>
      <c r="T233" s="259" t="s">
        <v>82</v>
      </c>
      <c r="U233" s="259">
        <v>2</v>
      </c>
      <c r="V233" s="259">
        <v>3</v>
      </c>
      <c r="X233" s="126">
        <f t="shared" ref="X233" si="22">(IF(U233&gt;V233,3,IF(U233=V233,1,2)))</f>
        <v>2</v>
      </c>
      <c r="Y233" s="125">
        <f t="shared" ref="Y233" si="23">(IF(V233&gt;U233,3,IF(U233=V233,1,2)))</f>
        <v>3</v>
      </c>
    </row>
    <row r="234" spans="1:25" x14ac:dyDescent="0.3">
      <c r="A234" s="156"/>
      <c r="B234" s="387"/>
      <c r="C234" s="3"/>
      <c r="D234" s="49"/>
      <c r="E234" s="49"/>
      <c r="F234" s="387" t="s">
        <v>172</v>
      </c>
      <c r="G234" s="5" t="s">
        <v>274</v>
      </c>
      <c r="H234" s="5"/>
      <c r="I234" s="6"/>
      <c r="J234" s="5"/>
      <c r="K234" s="391"/>
      <c r="S234" s="117"/>
      <c r="Y234" s="118"/>
    </row>
    <row r="235" spans="1:25" ht="15" thickBot="1" x14ac:dyDescent="0.35">
      <c r="A235" s="156"/>
      <c r="B235" s="387"/>
      <c r="C235" s="7"/>
      <c r="D235" s="393"/>
      <c r="E235" s="393"/>
      <c r="F235" s="393"/>
      <c r="G235" s="393"/>
      <c r="H235" s="8"/>
      <c r="I235" s="9"/>
      <c r="J235" s="5"/>
      <c r="K235" s="391"/>
      <c r="S235" s="117"/>
      <c r="Y235" s="118"/>
    </row>
    <row r="236" spans="1:25" x14ac:dyDescent="0.3">
      <c r="A236" s="156"/>
      <c r="B236" s="387"/>
      <c r="C236" s="387"/>
      <c r="D236" s="387"/>
      <c r="E236" s="387"/>
      <c r="F236" s="387"/>
      <c r="G236" s="387"/>
      <c r="H236" s="5"/>
      <c r="I236" s="5"/>
      <c r="J236" s="5"/>
      <c r="K236" s="391"/>
      <c r="S236" s="117"/>
      <c r="Y236" s="118"/>
    </row>
    <row r="237" spans="1:25" x14ac:dyDescent="0.3">
      <c r="A237" s="156"/>
      <c r="B237" s="387"/>
      <c r="C237" s="387"/>
      <c r="D237" s="387"/>
      <c r="E237" s="387"/>
      <c r="F237" s="387"/>
      <c r="G237" s="387"/>
      <c r="H237" s="5"/>
      <c r="I237" s="5"/>
      <c r="J237" s="5"/>
      <c r="K237" s="391"/>
      <c r="S237" s="117"/>
      <c r="Y237" s="118"/>
    </row>
    <row r="238" spans="1:25" x14ac:dyDescent="0.3">
      <c r="A238" s="156"/>
      <c r="B238" s="387"/>
      <c r="C238" s="387"/>
      <c r="D238" s="387"/>
      <c r="E238" s="387"/>
      <c r="F238" s="387"/>
      <c r="G238" s="387"/>
      <c r="H238" s="5"/>
      <c r="I238" s="5"/>
      <c r="J238" s="5"/>
      <c r="K238" s="391"/>
      <c r="S238" s="117"/>
      <c r="Y238" s="118"/>
    </row>
    <row r="239" spans="1:25" ht="15" thickBot="1" x14ac:dyDescent="0.35">
      <c r="A239" s="156"/>
      <c r="B239" s="387"/>
      <c r="C239" s="387"/>
      <c r="D239" s="387"/>
      <c r="E239" s="387"/>
      <c r="F239" s="387"/>
      <c r="G239" s="387"/>
      <c r="H239" s="5"/>
      <c r="I239" s="5"/>
      <c r="J239" s="5"/>
      <c r="K239" s="391"/>
      <c r="S239" s="117"/>
      <c r="Y239" s="118"/>
    </row>
    <row r="240" spans="1:25" ht="21" x14ac:dyDescent="0.4">
      <c r="A240" s="156"/>
      <c r="B240" s="387"/>
      <c r="C240" s="443" t="s">
        <v>380</v>
      </c>
      <c r="D240" s="453"/>
      <c r="E240" s="453"/>
      <c r="F240" s="453"/>
      <c r="G240" s="453"/>
      <c r="H240" s="453"/>
      <c r="I240" s="454"/>
      <c r="J240" s="5"/>
      <c r="K240" s="391"/>
      <c r="S240" s="117"/>
      <c r="Y240" s="118"/>
    </row>
    <row r="241" spans="1:26" ht="14.4" customHeight="1" x14ac:dyDescent="0.4">
      <c r="A241" s="156"/>
      <c r="B241" s="387"/>
      <c r="C241" s="383"/>
      <c r="D241" s="387"/>
      <c r="E241" s="387"/>
      <c r="F241" s="387"/>
      <c r="G241" s="5"/>
      <c r="H241" s="382"/>
      <c r="I241" s="403"/>
      <c r="J241" s="5"/>
      <c r="K241" s="391"/>
      <c r="S241" s="117"/>
      <c r="T241" s="357"/>
      <c r="U241" s="357"/>
      <c r="V241" s="357"/>
      <c r="W241" s="357"/>
      <c r="X241" s="357"/>
      <c r="Y241" s="118"/>
    </row>
    <row r="242" spans="1:26" x14ac:dyDescent="0.3">
      <c r="A242" s="194"/>
      <c r="B242" s="17"/>
      <c r="C242" s="21"/>
      <c r="D242" s="43" t="s">
        <v>88</v>
      </c>
      <c r="E242" s="64" t="s">
        <v>9</v>
      </c>
      <c r="F242" s="48">
        <v>0</v>
      </c>
      <c r="G242" s="18">
        <v>2</v>
      </c>
      <c r="H242" s="5"/>
      <c r="I242" s="22"/>
      <c r="J242" s="18"/>
      <c r="K242" s="35"/>
      <c r="S242" s="117" t="s">
        <v>88</v>
      </c>
      <c r="T242" s="259" t="s">
        <v>9</v>
      </c>
      <c r="U242" s="259">
        <v>0</v>
      </c>
      <c r="V242" s="259">
        <v>2</v>
      </c>
      <c r="X242" s="126">
        <f t="shared" ref="X242" si="24">(IF(U242&gt;V242,3,IF(U242=V242,1,2)))</f>
        <v>2</v>
      </c>
      <c r="Y242" s="125">
        <f t="shared" ref="Y242" si="25">(IF(V242&gt;U242,3,IF(U242=V242,1,2)))</f>
        <v>3</v>
      </c>
    </row>
    <row r="243" spans="1:26" x14ac:dyDescent="0.3">
      <c r="A243" s="194"/>
      <c r="B243" s="17"/>
      <c r="C243" s="21"/>
      <c r="D243" s="43"/>
      <c r="E243" s="64"/>
      <c r="F243" s="48" t="s">
        <v>170</v>
      </c>
      <c r="G243" s="18" t="s">
        <v>171</v>
      </c>
      <c r="H243" s="5"/>
      <c r="I243" s="22"/>
      <c r="J243" s="18"/>
      <c r="K243" s="35"/>
      <c r="S243" s="117"/>
      <c r="T243" s="284"/>
      <c r="U243" s="284"/>
      <c r="V243" s="284"/>
      <c r="W243" s="284"/>
      <c r="X243" s="284"/>
      <c r="Y243" s="118"/>
    </row>
    <row r="244" spans="1:26" ht="15" thickBot="1" x14ac:dyDescent="0.35">
      <c r="A244" s="156"/>
      <c r="B244" s="387"/>
      <c r="C244" s="29"/>
      <c r="D244" s="30"/>
      <c r="E244" s="30"/>
      <c r="F244" s="30"/>
      <c r="G244" s="31"/>
      <c r="H244" s="31"/>
      <c r="I244" s="32"/>
      <c r="J244" s="5"/>
      <c r="K244" s="391"/>
      <c r="S244" s="119"/>
      <c r="T244" s="120"/>
      <c r="U244" s="120"/>
      <c r="V244" s="120"/>
      <c r="W244" s="120"/>
      <c r="X244" s="120"/>
      <c r="Y244" s="121"/>
    </row>
    <row r="245" spans="1:26" x14ac:dyDescent="0.3">
      <c r="A245" s="156"/>
      <c r="B245" s="387"/>
      <c r="C245" s="387"/>
      <c r="D245" s="387"/>
      <c r="E245" s="387"/>
      <c r="F245" s="387"/>
      <c r="G245" s="5"/>
      <c r="H245" s="5"/>
      <c r="I245" s="5"/>
      <c r="J245" s="5"/>
      <c r="K245" s="391"/>
    </row>
    <row r="246" spans="1:26" x14ac:dyDescent="0.3">
      <c r="A246" s="194"/>
      <c r="B246" s="17"/>
      <c r="C246" s="17"/>
      <c r="D246" s="17"/>
      <c r="E246" s="17"/>
      <c r="F246" s="17"/>
      <c r="G246" s="18"/>
      <c r="H246" s="18"/>
      <c r="I246" s="18"/>
      <c r="J246" s="18"/>
      <c r="K246" s="35"/>
    </row>
    <row r="247" spans="1:26" x14ac:dyDescent="0.3">
      <c r="A247" s="24"/>
      <c r="B247" s="17"/>
      <c r="C247" s="17"/>
      <c r="D247" s="17"/>
      <c r="E247" s="17"/>
      <c r="F247" s="17"/>
      <c r="G247" s="18"/>
      <c r="H247" s="18"/>
      <c r="I247" s="18"/>
      <c r="J247" s="18"/>
      <c r="K247" s="109"/>
      <c r="S247" s="387"/>
      <c r="T247" s="387"/>
      <c r="U247" s="387"/>
      <c r="V247" s="387"/>
      <c r="W247" s="387"/>
      <c r="X247" s="387"/>
      <c r="Y247" s="387"/>
      <c r="Z247" s="39"/>
    </row>
    <row r="248" spans="1:26" x14ac:dyDescent="0.3">
      <c r="A248" s="24"/>
      <c r="B248" s="17"/>
      <c r="C248" s="17"/>
      <c r="D248" s="17"/>
      <c r="E248" s="17"/>
      <c r="F248" s="17"/>
      <c r="G248" s="18"/>
      <c r="H248" s="18"/>
      <c r="I248" s="18"/>
      <c r="J248" s="18"/>
      <c r="K248" s="109"/>
      <c r="S248" s="387"/>
      <c r="T248" s="387"/>
      <c r="U248" s="387"/>
      <c r="V248" s="387"/>
      <c r="W248" s="387"/>
      <c r="X248" s="126"/>
      <c r="Y248" s="126"/>
      <c r="Z248" s="39"/>
    </row>
    <row r="249" spans="1:26" ht="15" thickBot="1" x14ac:dyDescent="0.35">
      <c r="A249" s="389"/>
      <c r="B249" s="387" t="s">
        <v>298</v>
      </c>
      <c r="C249" s="387" t="s">
        <v>12</v>
      </c>
      <c r="D249" s="387" t="s">
        <v>13</v>
      </c>
      <c r="E249" s="387" t="s">
        <v>14</v>
      </c>
      <c r="F249" s="387" t="s">
        <v>15</v>
      </c>
      <c r="G249" s="5" t="s">
        <v>24</v>
      </c>
      <c r="H249" s="5" t="s">
        <v>25</v>
      </c>
      <c r="I249" s="5" t="s">
        <v>301</v>
      </c>
      <c r="J249" s="5"/>
      <c r="K249" s="391"/>
      <c r="S249" s="387"/>
      <c r="T249" s="387"/>
      <c r="U249" s="387"/>
      <c r="V249" s="387"/>
      <c r="W249" s="387"/>
      <c r="X249" s="126"/>
      <c r="Y249" s="126"/>
      <c r="Z249" s="39"/>
    </row>
    <row r="250" spans="1:26" x14ac:dyDescent="0.3">
      <c r="A250" s="24"/>
      <c r="B250" s="14" t="s">
        <v>9</v>
      </c>
      <c r="C250" s="394">
        <f>COUNTIF($S$12:$T$242,"Brasilien")</f>
        <v>7</v>
      </c>
      <c r="D250" s="124">
        <f t="shared" ref="D250:D281" si="26">SUMPRODUCT(($S$12:$T$242=B250)*($X$12:$Y$242=3))</f>
        <v>7</v>
      </c>
      <c r="E250" s="124">
        <f t="shared" ref="E250:E281" si="27">SUMPRODUCT(($S$12:$T$242=B250)*($X$12:$Y$242=1))</f>
        <v>0</v>
      </c>
      <c r="F250" s="124">
        <f t="shared" ref="F250:F281" si="28">SUMPRODUCT(($S$12:$T$242=B250)*($X$12:$Y$242=2))</f>
        <v>0</v>
      </c>
      <c r="G250" s="124">
        <f t="shared" ref="G250:G281" si="29">SUMPRODUCT(($S$12:$S$242=B250)*($U$12:$U$242))+SUMPRODUCT(($T$12:$T$242=B250)*($V$12:$V$242))</f>
        <v>18</v>
      </c>
      <c r="H250" s="124">
        <f t="shared" ref="H250:H281" si="30">SUMPRODUCT(($S$12:$S$242=B250)*($V$12:$V$242))+SUMPRODUCT(($T$12:$T$242=B250)*($U$12:$U$242))</f>
        <v>4</v>
      </c>
      <c r="I250" s="16">
        <f t="shared" ref="I250:I281" si="31">(D250*3)+E250</f>
        <v>21</v>
      </c>
      <c r="J250" s="18"/>
      <c r="K250" s="109"/>
      <c r="M250" s="346"/>
      <c r="N250" s="346"/>
      <c r="S250" s="387"/>
      <c r="T250" s="387"/>
      <c r="U250" s="387"/>
      <c r="V250" s="387"/>
      <c r="W250" s="387"/>
      <c r="X250" s="126"/>
      <c r="Y250" s="126"/>
      <c r="Z250" s="39"/>
    </row>
    <row r="251" spans="1:26" x14ac:dyDescent="0.3">
      <c r="A251" s="24"/>
      <c r="B251" s="21" t="s">
        <v>88</v>
      </c>
      <c r="C251" s="17">
        <f>COUNTIF($S$12:$T$242,"BRD")</f>
        <v>7</v>
      </c>
      <c r="D251" s="43">
        <f t="shared" si="26"/>
        <v>5</v>
      </c>
      <c r="E251" s="43">
        <f t="shared" si="27"/>
        <v>1</v>
      </c>
      <c r="F251" s="43">
        <f t="shared" si="28"/>
        <v>1</v>
      </c>
      <c r="G251" s="43">
        <f t="shared" si="29"/>
        <v>14</v>
      </c>
      <c r="H251" s="43">
        <f t="shared" si="30"/>
        <v>3</v>
      </c>
      <c r="I251" s="22">
        <f t="shared" si="31"/>
        <v>16</v>
      </c>
      <c r="J251" s="18"/>
      <c r="K251" s="109"/>
      <c r="S251" s="387"/>
      <c r="T251" s="387"/>
      <c r="U251" s="387"/>
      <c r="V251" s="387"/>
      <c r="W251" s="387"/>
      <c r="X251" s="126"/>
      <c r="Y251" s="126"/>
      <c r="Z251" s="39"/>
    </row>
    <row r="252" spans="1:26" x14ac:dyDescent="0.3">
      <c r="A252" s="24"/>
      <c r="B252" s="21" t="s">
        <v>90</v>
      </c>
      <c r="C252" s="17">
        <f>COUNTIF($S$12:$T$242,"Südkorea")</f>
        <v>7</v>
      </c>
      <c r="D252" s="43">
        <f t="shared" si="26"/>
        <v>4</v>
      </c>
      <c r="E252" s="43">
        <f t="shared" si="27"/>
        <v>1</v>
      </c>
      <c r="F252" s="43">
        <f t="shared" si="28"/>
        <v>2</v>
      </c>
      <c r="G252" s="43">
        <f t="shared" si="29"/>
        <v>13</v>
      </c>
      <c r="H252" s="43">
        <f t="shared" si="30"/>
        <v>9</v>
      </c>
      <c r="I252" s="22">
        <f t="shared" si="31"/>
        <v>13</v>
      </c>
      <c r="J252" s="18"/>
      <c r="K252" s="109"/>
      <c r="S252" s="387"/>
      <c r="T252" s="387"/>
      <c r="U252" s="387"/>
      <c r="V252" s="387"/>
      <c r="W252" s="387"/>
      <c r="X252" s="387"/>
      <c r="Y252" s="387"/>
      <c r="Z252" s="39"/>
    </row>
    <row r="253" spans="1:26" x14ac:dyDescent="0.3">
      <c r="A253" s="24"/>
      <c r="B253" s="21" t="s">
        <v>82</v>
      </c>
      <c r="C253" s="17">
        <f>COUNTIF($S$12:$T$242,"Türkei")</f>
        <v>7</v>
      </c>
      <c r="D253" s="43">
        <f t="shared" si="26"/>
        <v>4</v>
      </c>
      <c r="E253" s="43">
        <f t="shared" si="27"/>
        <v>1</v>
      </c>
      <c r="F253" s="43">
        <f t="shared" si="28"/>
        <v>2</v>
      </c>
      <c r="G253" s="43">
        <f t="shared" si="29"/>
        <v>10</v>
      </c>
      <c r="H253" s="43">
        <f t="shared" si="30"/>
        <v>6</v>
      </c>
      <c r="I253" s="22">
        <f t="shared" si="31"/>
        <v>13</v>
      </c>
      <c r="J253" s="18"/>
      <c r="K253" s="109"/>
      <c r="S253" s="387"/>
      <c r="T253" s="387"/>
      <c r="U253" s="387"/>
      <c r="V253" s="387"/>
      <c r="W253" s="387"/>
      <c r="X253" s="387"/>
      <c r="Y253" s="387"/>
      <c r="Z253" s="39"/>
    </row>
    <row r="254" spans="1:26" x14ac:dyDescent="0.3">
      <c r="A254" s="24"/>
      <c r="B254" s="21" t="s">
        <v>35</v>
      </c>
      <c r="C254" s="17">
        <f>COUNTIF($S$12:$T$242,"Spanien")</f>
        <v>5</v>
      </c>
      <c r="D254" s="43">
        <f t="shared" si="26"/>
        <v>4</v>
      </c>
      <c r="E254" s="43">
        <f t="shared" si="27"/>
        <v>0</v>
      </c>
      <c r="F254" s="43">
        <f t="shared" si="28"/>
        <v>1</v>
      </c>
      <c r="G254" s="43">
        <f t="shared" si="29"/>
        <v>16</v>
      </c>
      <c r="H254" s="43">
        <f t="shared" si="30"/>
        <v>12</v>
      </c>
      <c r="I254" s="22">
        <f t="shared" si="31"/>
        <v>12</v>
      </c>
      <c r="J254" s="18"/>
      <c r="K254" s="109"/>
    </row>
    <row r="255" spans="1:26" x14ac:dyDescent="0.3">
      <c r="A255" s="24"/>
      <c r="B255" s="21" t="s">
        <v>355</v>
      </c>
      <c r="C255" s="17">
        <f>COUNTIF($S$12:$T$242,"Senegal")</f>
        <v>5</v>
      </c>
      <c r="D255" s="43">
        <f t="shared" si="26"/>
        <v>2</v>
      </c>
      <c r="E255" s="43">
        <f t="shared" si="27"/>
        <v>2</v>
      </c>
      <c r="F255" s="43">
        <f t="shared" si="28"/>
        <v>1</v>
      </c>
      <c r="G255" s="43">
        <f t="shared" si="29"/>
        <v>7</v>
      </c>
      <c r="H255" s="43">
        <f t="shared" si="30"/>
        <v>6</v>
      </c>
      <c r="I255" s="22">
        <f t="shared" si="31"/>
        <v>8</v>
      </c>
      <c r="J255" s="18"/>
      <c r="K255" s="109"/>
    </row>
    <row r="256" spans="1:26" x14ac:dyDescent="0.3">
      <c r="A256" s="24"/>
      <c r="B256" s="21" t="s">
        <v>74</v>
      </c>
      <c r="C256" s="17">
        <f>COUNTIF($S$12:$T$242,"England")</f>
        <v>5</v>
      </c>
      <c r="D256" s="43">
        <f t="shared" si="26"/>
        <v>2</v>
      </c>
      <c r="E256" s="43">
        <f t="shared" si="27"/>
        <v>2</v>
      </c>
      <c r="F256" s="43">
        <f t="shared" si="28"/>
        <v>1</v>
      </c>
      <c r="G256" s="43">
        <f t="shared" si="29"/>
        <v>6</v>
      </c>
      <c r="H256" s="43">
        <f t="shared" si="30"/>
        <v>3</v>
      </c>
      <c r="I256" s="22">
        <f t="shared" si="31"/>
        <v>8</v>
      </c>
      <c r="J256" s="18"/>
      <c r="K256" s="109"/>
    </row>
    <row r="257" spans="1:11" x14ac:dyDescent="0.3">
      <c r="A257" s="24"/>
      <c r="B257" s="21" t="s">
        <v>20</v>
      </c>
      <c r="C257" s="17">
        <f>COUNTIF($S$12:$T$242,"USA")</f>
        <v>5</v>
      </c>
      <c r="D257" s="43">
        <f t="shared" si="26"/>
        <v>2</v>
      </c>
      <c r="E257" s="43">
        <f t="shared" si="27"/>
        <v>1</v>
      </c>
      <c r="F257" s="43">
        <f t="shared" si="28"/>
        <v>2</v>
      </c>
      <c r="G257" s="43">
        <f t="shared" si="29"/>
        <v>7</v>
      </c>
      <c r="H257" s="43">
        <f t="shared" si="30"/>
        <v>7</v>
      </c>
      <c r="I257" s="22">
        <f t="shared" si="31"/>
        <v>7</v>
      </c>
      <c r="J257" s="18"/>
      <c r="K257" s="109"/>
    </row>
    <row r="258" spans="1:11" x14ac:dyDescent="0.3">
      <c r="A258" s="24"/>
      <c r="B258" s="3" t="s">
        <v>351</v>
      </c>
      <c r="C258" s="17">
        <f>COUNTIF($S$12:$T$242,"Japan")</f>
        <v>4</v>
      </c>
      <c r="D258" s="43">
        <f t="shared" si="26"/>
        <v>2</v>
      </c>
      <c r="E258" s="43">
        <f t="shared" si="27"/>
        <v>1</v>
      </c>
      <c r="F258" s="43">
        <f t="shared" si="28"/>
        <v>1</v>
      </c>
      <c r="G258" s="43">
        <f t="shared" si="29"/>
        <v>5</v>
      </c>
      <c r="H258" s="43">
        <f t="shared" si="30"/>
        <v>3</v>
      </c>
      <c r="I258" s="22">
        <f t="shared" si="31"/>
        <v>7</v>
      </c>
      <c r="J258" s="5"/>
      <c r="K258" s="108"/>
    </row>
    <row r="259" spans="1:11" x14ac:dyDescent="0.3">
      <c r="A259" s="24"/>
      <c r="B259" s="21" t="s">
        <v>258</v>
      </c>
      <c r="C259" s="17">
        <f>COUNTIF($S$12:$T$242,"Dänemark")</f>
        <v>4</v>
      </c>
      <c r="D259" s="43">
        <f t="shared" si="26"/>
        <v>2</v>
      </c>
      <c r="E259" s="43">
        <f t="shared" si="27"/>
        <v>1</v>
      </c>
      <c r="F259" s="43">
        <f t="shared" si="28"/>
        <v>1</v>
      </c>
      <c r="G259" s="43">
        <f t="shared" si="29"/>
        <v>5</v>
      </c>
      <c r="H259" s="43">
        <f t="shared" si="30"/>
        <v>5</v>
      </c>
      <c r="I259" s="22">
        <f t="shared" si="31"/>
        <v>7</v>
      </c>
      <c r="J259" s="18"/>
      <c r="K259" s="109"/>
    </row>
    <row r="260" spans="1:11" x14ac:dyDescent="0.3">
      <c r="A260" s="24"/>
      <c r="B260" s="3" t="s">
        <v>4</v>
      </c>
      <c r="C260" s="17">
        <f>COUNTIF($S$12:$T$242,"Mexiko")</f>
        <v>4</v>
      </c>
      <c r="D260" s="43">
        <f t="shared" si="26"/>
        <v>2</v>
      </c>
      <c r="E260" s="43">
        <f t="shared" si="27"/>
        <v>1</v>
      </c>
      <c r="F260" s="43">
        <f t="shared" si="28"/>
        <v>1</v>
      </c>
      <c r="G260" s="43">
        <f t="shared" si="29"/>
        <v>4</v>
      </c>
      <c r="H260" s="43">
        <f t="shared" si="30"/>
        <v>4</v>
      </c>
      <c r="I260" s="22">
        <f t="shared" si="31"/>
        <v>7</v>
      </c>
      <c r="J260" s="5"/>
      <c r="K260" s="108"/>
    </row>
    <row r="261" spans="1:11" x14ac:dyDescent="0.3">
      <c r="A261" s="24"/>
      <c r="B261" s="21" t="s">
        <v>290</v>
      </c>
      <c r="C261" s="17">
        <f>COUNTIF($S$12:$T$242,"Irland")</f>
        <v>4</v>
      </c>
      <c r="D261" s="43">
        <f t="shared" si="26"/>
        <v>1</v>
      </c>
      <c r="E261" s="43">
        <f t="shared" si="27"/>
        <v>2</v>
      </c>
      <c r="F261" s="43">
        <f t="shared" si="28"/>
        <v>1</v>
      </c>
      <c r="G261" s="43">
        <f t="shared" si="29"/>
        <v>8</v>
      </c>
      <c r="H261" s="43">
        <f t="shared" si="30"/>
        <v>6</v>
      </c>
      <c r="I261" s="22">
        <f t="shared" si="31"/>
        <v>5</v>
      </c>
      <c r="J261" s="18"/>
      <c r="K261" s="109"/>
    </row>
    <row r="262" spans="1:11" x14ac:dyDescent="0.3">
      <c r="A262" s="24"/>
      <c r="B262" s="3" t="s">
        <v>21</v>
      </c>
      <c r="C262" s="17">
        <f>COUNTIF($S$12:$T$242,"Belgien")</f>
        <v>4</v>
      </c>
      <c r="D262" s="43">
        <f t="shared" si="26"/>
        <v>1</v>
      </c>
      <c r="E262" s="43">
        <f t="shared" si="27"/>
        <v>2</v>
      </c>
      <c r="F262" s="43">
        <f t="shared" si="28"/>
        <v>1</v>
      </c>
      <c r="G262" s="43">
        <f t="shared" si="29"/>
        <v>6</v>
      </c>
      <c r="H262" s="43">
        <f t="shared" si="30"/>
        <v>7</v>
      </c>
      <c r="I262" s="22">
        <f t="shared" si="31"/>
        <v>5</v>
      </c>
      <c r="J262" s="5"/>
      <c r="K262" s="108"/>
    </row>
    <row r="263" spans="1:11" x14ac:dyDescent="0.3">
      <c r="A263" s="24"/>
      <c r="B263" s="21" t="s">
        <v>41</v>
      </c>
      <c r="C263" s="17">
        <f>COUNTIF($S$12:$T$242,"Schweden")</f>
        <v>4</v>
      </c>
      <c r="D263" s="43">
        <f t="shared" si="26"/>
        <v>1</v>
      </c>
      <c r="E263" s="43">
        <f t="shared" si="27"/>
        <v>2</v>
      </c>
      <c r="F263" s="43">
        <f t="shared" si="28"/>
        <v>1</v>
      </c>
      <c r="G263" s="43">
        <f t="shared" si="29"/>
        <v>5</v>
      </c>
      <c r="H263" s="43">
        <f t="shared" si="30"/>
        <v>5</v>
      </c>
      <c r="I263" s="22">
        <f t="shared" si="31"/>
        <v>5</v>
      </c>
      <c r="J263" s="18"/>
      <c r="K263" s="109"/>
    </row>
    <row r="264" spans="1:11" x14ac:dyDescent="0.3">
      <c r="A264" s="24"/>
      <c r="B264" s="21" t="s">
        <v>22</v>
      </c>
      <c r="C264" s="17">
        <f>COUNTIF($S$12:$T$242,"Paraguay")</f>
        <v>4</v>
      </c>
      <c r="D264" s="43">
        <f t="shared" si="26"/>
        <v>1</v>
      </c>
      <c r="E264" s="43">
        <f t="shared" si="27"/>
        <v>1</v>
      </c>
      <c r="F264" s="43">
        <f t="shared" si="28"/>
        <v>2</v>
      </c>
      <c r="G264" s="43">
        <f t="shared" si="29"/>
        <v>6</v>
      </c>
      <c r="H264" s="43">
        <f t="shared" si="30"/>
        <v>7</v>
      </c>
      <c r="I264" s="22">
        <f t="shared" si="31"/>
        <v>4</v>
      </c>
      <c r="J264" s="18"/>
      <c r="K264" s="109"/>
    </row>
    <row r="265" spans="1:11" x14ac:dyDescent="0.3">
      <c r="A265" s="24"/>
      <c r="B265" s="21" t="s">
        <v>348</v>
      </c>
      <c r="C265" s="17">
        <f>COUNTIF($S$12:$T$242,"Südafrika")</f>
        <v>3</v>
      </c>
      <c r="D265" s="43">
        <f t="shared" si="26"/>
        <v>1</v>
      </c>
      <c r="E265" s="43">
        <f t="shared" si="27"/>
        <v>1</v>
      </c>
      <c r="F265" s="43">
        <f t="shared" si="28"/>
        <v>1</v>
      </c>
      <c r="G265" s="43">
        <f t="shared" si="29"/>
        <v>5</v>
      </c>
      <c r="H265" s="43">
        <f t="shared" si="30"/>
        <v>5</v>
      </c>
      <c r="I265" s="22">
        <f t="shared" si="31"/>
        <v>4</v>
      </c>
      <c r="J265" s="18"/>
      <c r="K265" s="35"/>
    </row>
    <row r="266" spans="1:11" x14ac:dyDescent="0.3">
      <c r="A266" s="24"/>
      <c r="B266" s="3" t="s">
        <v>37</v>
      </c>
      <c r="C266" s="17">
        <f>COUNTIF($S$12:$T$242,"Italien")</f>
        <v>4</v>
      </c>
      <c r="D266" s="43">
        <f t="shared" si="26"/>
        <v>1</v>
      </c>
      <c r="E266" s="43">
        <f t="shared" si="27"/>
        <v>1</v>
      </c>
      <c r="F266" s="43">
        <f t="shared" si="28"/>
        <v>2</v>
      </c>
      <c r="G266" s="43">
        <f t="shared" si="29"/>
        <v>5</v>
      </c>
      <c r="H266" s="43">
        <f t="shared" si="30"/>
        <v>5</v>
      </c>
      <c r="I266" s="22">
        <f t="shared" si="31"/>
        <v>4</v>
      </c>
      <c r="J266" s="5"/>
      <c r="K266" s="108"/>
    </row>
    <row r="267" spans="1:11" x14ac:dyDescent="0.3">
      <c r="A267" s="24"/>
      <c r="B267" s="21" t="s">
        <v>286</v>
      </c>
      <c r="C267" s="17">
        <f>COUNTIF($S$12:$T$242,"Costa Rica")</f>
        <v>3</v>
      </c>
      <c r="D267" s="43">
        <f t="shared" si="26"/>
        <v>1</v>
      </c>
      <c r="E267" s="43">
        <f t="shared" si="27"/>
        <v>1</v>
      </c>
      <c r="F267" s="43">
        <f t="shared" si="28"/>
        <v>1</v>
      </c>
      <c r="G267" s="43">
        <f t="shared" si="29"/>
        <v>5</v>
      </c>
      <c r="H267" s="43">
        <f t="shared" si="30"/>
        <v>6</v>
      </c>
      <c r="I267" s="22">
        <f t="shared" si="31"/>
        <v>4</v>
      </c>
      <c r="J267" s="18"/>
      <c r="K267" s="109"/>
    </row>
    <row r="268" spans="1:11" x14ac:dyDescent="0.3">
      <c r="A268" s="24"/>
      <c r="B268" s="21" t="s">
        <v>5</v>
      </c>
      <c r="C268" s="17">
        <f>COUNTIF($S$12:$T$242,"Argentinien")</f>
        <v>3</v>
      </c>
      <c r="D268" s="43">
        <f t="shared" si="26"/>
        <v>1</v>
      </c>
      <c r="E268" s="43">
        <f t="shared" si="27"/>
        <v>1</v>
      </c>
      <c r="F268" s="43">
        <f t="shared" si="28"/>
        <v>1</v>
      </c>
      <c r="G268" s="43">
        <f t="shared" si="29"/>
        <v>2</v>
      </c>
      <c r="H268" s="43">
        <f t="shared" si="30"/>
        <v>2</v>
      </c>
      <c r="I268" s="22">
        <f t="shared" si="31"/>
        <v>4</v>
      </c>
      <c r="J268" s="18"/>
      <c r="K268" s="109"/>
    </row>
    <row r="269" spans="1:11" x14ac:dyDescent="0.3">
      <c r="A269" s="24"/>
      <c r="B269" s="21" t="s">
        <v>190</v>
      </c>
      <c r="C269" s="17">
        <f>COUNTIF($S$12:$T$242,"Kamerun")</f>
        <v>3</v>
      </c>
      <c r="D269" s="43">
        <f t="shared" si="26"/>
        <v>1</v>
      </c>
      <c r="E269" s="43">
        <f t="shared" si="27"/>
        <v>1</v>
      </c>
      <c r="F269" s="43">
        <f t="shared" si="28"/>
        <v>1</v>
      </c>
      <c r="G269" s="43">
        <f t="shared" si="29"/>
        <v>2</v>
      </c>
      <c r="H269" s="43">
        <f t="shared" si="30"/>
        <v>3</v>
      </c>
      <c r="I269" s="22">
        <f t="shared" si="31"/>
        <v>4</v>
      </c>
      <c r="J269" s="18"/>
      <c r="K269" s="109"/>
    </row>
    <row r="270" spans="1:11" x14ac:dyDescent="0.3">
      <c r="A270" s="24"/>
      <c r="B270" s="21" t="s">
        <v>133</v>
      </c>
      <c r="C270" s="17">
        <f>COUNTIF($S$12:$T$242,"Portugal")</f>
        <v>3</v>
      </c>
      <c r="D270" s="43">
        <f t="shared" si="26"/>
        <v>1</v>
      </c>
      <c r="E270" s="43">
        <f t="shared" si="27"/>
        <v>0</v>
      </c>
      <c r="F270" s="43">
        <f t="shared" si="28"/>
        <v>2</v>
      </c>
      <c r="G270" s="43">
        <f t="shared" si="29"/>
        <v>6</v>
      </c>
      <c r="H270" s="43">
        <f t="shared" si="30"/>
        <v>4</v>
      </c>
      <c r="I270" s="22">
        <f t="shared" si="31"/>
        <v>3</v>
      </c>
      <c r="J270" s="18"/>
      <c r="K270" s="109"/>
    </row>
    <row r="271" spans="1:11" x14ac:dyDescent="0.3">
      <c r="A271" s="24"/>
      <c r="B271" s="3" t="s">
        <v>302</v>
      </c>
      <c r="C271" s="17">
        <f>COUNTIF($S$12:$T$242,"Russland")</f>
        <v>3</v>
      </c>
      <c r="D271" s="43">
        <f t="shared" si="26"/>
        <v>1</v>
      </c>
      <c r="E271" s="43">
        <f t="shared" si="27"/>
        <v>0</v>
      </c>
      <c r="F271" s="43">
        <f t="shared" si="28"/>
        <v>2</v>
      </c>
      <c r="G271" s="43">
        <f t="shared" si="29"/>
        <v>4</v>
      </c>
      <c r="H271" s="43">
        <f t="shared" si="30"/>
        <v>4</v>
      </c>
      <c r="I271" s="22">
        <f t="shared" si="31"/>
        <v>3</v>
      </c>
      <c r="J271" s="5"/>
      <c r="K271" s="108"/>
    </row>
    <row r="272" spans="1:11" x14ac:dyDescent="0.3">
      <c r="A272" s="24"/>
      <c r="B272" s="21" t="s">
        <v>61</v>
      </c>
      <c r="C272" s="17">
        <f>COUNTIF($S$12:$T$242,"Polen")</f>
        <v>3</v>
      </c>
      <c r="D272" s="43">
        <f t="shared" si="26"/>
        <v>1</v>
      </c>
      <c r="E272" s="43">
        <f t="shared" si="27"/>
        <v>0</v>
      </c>
      <c r="F272" s="43">
        <f t="shared" si="28"/>
        <v>2</v>
      </c>
      <c r="G272" s="43">
        <f t="shared" si="29"/>
        <v>3</v>
      </c>
      <c r="H272" s="43">
        <f t="shared" si="30"/>
        <v>7</v>
      </c>
      <c r="I272" s="22">
        <f t="shared" si="31"/>
        <v>3</v>
      </c>
      <c r="J272" s="18"/>
      <c r="K272" s="109"/>
    </row>
    <row r="273" spans="1:11" x14ac:dyDescent="0.3">
      <c r="A273" s="24"/>
      <c r="B273" s="3" t="s">
        <v>353</v>
      </c>
      <c r="C273" s="17">
        <f>COUNTIF($S$12:$T$242,"Kroatien")</f>
        <v>3</v>
      </c>
      <c r="D273" s="43">
        <f t="shared" si="26"/>
        <v>1</v>
      </c>
      <c r="E273" s="43">
        <f t="shared" si="27"/>
        <v>0</v>
      </c>
      <c r="F273" s="43">
        <f t="shared" si="28"/>
        <v>2</v>
      </c>
      <c r="G273" s="43">
        <f t="shared" si="29"/>
        <v>2</v>
      </c>
      <c r="H273" s="43">
        <f t="shared" si="30"/>
        <v>3</v>
      </c>
      <c r="I273" s="22">
        <f t="shared" si="31"/>
        <v>3</v>
      </c>
      <c r="J273" s="5"/>
      <c r="K273" s="108"/>
    </row>
    <row r="274" spans="1:11" x14ac:dyDescent="0.3">
      <c r="A274" s="24"/>
      <c r="B274" s="3" t="s">
        <v>377</v>
      </c>
      <c r="C274" s="17">
        <f>COUNTIF($S$12:$T$242,"Ecuador")</f>
        <v>3</v>
      </c>
      <c r="D274" s="43">
        <f t="shared" si="26"/>
        <v>1</v>
      </c>
      <c r="E274" s="43">
        <f t="shared" si="27"/>
        <v>0</v>
      </c>
      <c r="F274" s="43">
        <f t="shared" si="28"/>
        <v>2</v>
      </c>
      <c r="G274" s="43">
        <f t="shared" si="29"/>
        <v>2</v>
      </c>
      <c r="H274" s="43">
        <f t="shared" si="30"/>
        <v>4</v>
      </c>
      <c r="I274" s="22">
        <f t="shared" si="31"/>
        <v>3</v>
      </c>
      <c r="J274" s="5"/>
      <c r="K274" s="108"/>
    </row>
    <row r="275" spans="1:11" x14ac:dyDescent="0.3">
      <c r="A275" s="24"/>
      <c r="B275" s="21" t="s">
        <v>18</v>
      </c>
      <c r="C275" s="17">
        <f>COUNTIF($S$12:$T$242,"Uruguay")</f>
        <v>3</v>
      </c>
      <c r="D275" s="43">
        <f t="shared" si="26"/>
        <v>0</v>
      </c>
      <c r="E275" s="43">
        <f t="shared" si="27"/>
        <v>2</v>
      </c>
      <c r="F275" s="43">
        <f t="shared" si="28"/>
        <v>1</v>
      </c>
      <c r="G275" s="43">
        <f t="shared" si="29"/>
        <v>4</v>
      </c>
      <c r="H275" s="43">
        <f t="shared" si="30"/>
        <v>5</v>
      </c>
      <c r="I275" s="22">
        <f t="shared" si="31"/>
        <v>2</v>
      </c>
      <c r="J275" s="18"/>
      <c r="K275" s="109"/>
    </row>
    <row r="276" spans="1:11" x14ac:dyDescent="0.3">
      <c r="A276" s="24"/>
      <c r="B276" s="21" t="s">
        <v>307</v>
      </c>
      <c r="C276" s="17">
        <f>COUNTIF($S$12:$T$242,"Nigeria")</f>
        <v>3</v>
      </c>
      <c r="D276" s="43">
        <f t="shared" si="26"/>
        <v>0</v>
      </c>
      <c r="E276" s="43">
        <f t="shared" si="27"/>
        <v>1</v>
      </c>
      <c r="F276" s="43">
        <f t="shared" si="28"/>
        <v>2</v>
      </c>
      <c r="G276" s="43">
        <f t="shared" si="29"/>
        <v>1</v>
      </c>
      <c r="H276" s="43">
        <f t="shared" si="30"/>
        <v>3</v>
      </c>
      <c r="I276" s="22">
        <f t="shared" si="31"/>
        <v>1</v>
      </c>
      <c r="J276" s="18"/>
      <c r="K276" s="109"/>
    </row>
    <row r="277" spans="1:11" x14ac:dyDescent="0.3">
      <c r="A277" s="24"/>
      <c r="B277" s="3" t="s">
        <v>176</v>
      </c>
      <c r="C277" s="17">
        <f>COUNTIF($S$12:$T$242,"Tunesien")</f>
        <v>3</v>
      </c>
      <c r="D277" s="43">
        <f t="shared" si="26"/>
        <v>0</v>
      </c>
      <c r="E277" s="43">
        <f t="shared" si="27"/>
        <v>1</v>
      </c>
      <c r="F277" s="43">
        <f t="shared" si="28"/>
        <v>2</v>
      </c>
      <c r="G277" s="43">
        <f t="shared" si="29"/>
        <v>1</v>
      </c>
      <c r="H277" s="43">
        <f t="shared" si="30"/>
        <v>5</v>
      </c>
      <c r="I277" s="22">
        <f t="shared" si="31"/>
        <v>1</v>
      </c>
      <c r="J277" s="5"/>
      <c r="K277" s="108"/>
    </row>
    <row r="278" spans="1:11" x14ac:dyDescent="0.3">
      <c r="A278" s="24"/>
      <c r="B278" s="21" t="s">
        <v>3</v>
      </c>
      <c r="C278" s="17">
        <f>COUNTIF($S$12:$T$242,"Frankreich")</f>
        <v>3</v>
      </c>
      <c r="D278" s="43">
        <f t="shared" si="26"/>
        <v>0</v>
      </c>
      <c r="E278" s="43">
        <f t="shared" si="27"/>
        <v>1</v>
      </c>
      <c r="F278" s="43">
        <f t="shared" si="28"/>
        <v>2</v>
      </c>
      <c r="G278" s="43">
        <f t="shared" si="29"/>
        <v>0</v>
      </c>
      <c r="H278" s="43">
        <f t="shared" si="30"/>
        <v>3</v>
      </c>
      <c r="I278" s="22">
        <f t="shared" si="31"/>
        <v>1</v>
      </c>
      <c r="J278" s="18"/>
      <c r="K278" s="109"/>
    </row>
    <row r="279" spans="1:11" x14ac:dyDescent="0.3">
      <c r="A279" s="24"/>
      <c r="B279" s="21" t="s">
        <v>362</v>
      </c>
      <c r="C279" s="17">
        <f>COUNTIF($S$12:$T$242,"Slowenien")</f>
        <v>3</v>
      </c>
      <c r="D279" s="43">
        <f t="shared" si="26"/>
        <v>0</v>
      </c>
      <c r="E279" s="43">
        <f t="shared" si="27"/>
        <v>0</v>
      </c>
      <c r="F279" s="43">
        <f t="shared" si="28"/>
        <v>3</v>
      </c>
      <c r="G279" s="43">
        <f t="shared" si="29"/>
        <v>2</v>
      </c>
      <c r="H279" s="43">
        <f t="shared" si="30"/>
        <v>7</v>
      </c>
      <c r="I279" s="22">
        <f t="shared" si="31"/>
        <v>0</v>
      </c>
      <c r="J279" s="18"/>
      <c r="K279" s="109"/>
    </row>
    <row r="280" spans="1:11" x14ac:dyDescent="0.3">
      <c r="A280" s="24"/>
      <c r="B280" s="21" t="s">
        <v>367</v>
      </c>
      <c r="C280" s="17">
        <f>COUNTIF($S$12:$T$242,"China")</f>
        <v>3</v>
      </c>
      <c r="D280" s="43">
        <f t="shared" si="26"/>
        <v>0</v>
      </c>
      <c r="E280" s="43">
        <f t="shared" si="27"/>
        <v>0</v>
      </c>
      <c r="F280" s="43">
        <f t="shared" si="28"/>
        <v>3</v>
      </c>
      <c r="G280" s="43">
        <f t="shared" si="29"/>
        <v>0</v>
      </c>
      <c r="H280" s="43">
        <f t="shared" si="30"/>
        <v>9</v>
      </c>
      <c r="I280" s="22">
        <f t="shared" si="31"/>
        <v>0</v>
      </c>
      <c r="J280" s="18"/>
      <c r="K280" s="109"/>
    </row>
    <row r="281" spans="1:11" ht="15" thickBot="1" x14ac:dyDescent="0.35">
      <c r="A281" s="24"/>
      <c r="B281" s="29" t="s">
        <v>313</v>
      </c>
      <c r="C281" s="30">
        <f>COUNTIF($S$12:$T$242,"Saudi-Arabien")</f>
        <v>3</v>
      </c>
      <c r="D281" s="80">
        <f t="shared" si="26"/>
        <v>0</v>
      </c>
      <c r="E281" s="80">
        <f t="shared" si="27"/>
        <v>0</v>
      </c>
      <c r="F281" s="80">
        <f t="shared" si="28"/>
        <v>3</v>
      </c>
      <c r="G281" s="80">
        <f t="shared" si="29"/>
        <v>0</v>
      </c>
      <c r="H281" s="80">
        <f t="shared" si="30"/>
        <v>12</v>
      </c>
      <c r="I281" s="32">
        <f t="shared" si="31"/>
        <v>0</v>
      </c>
      <c r="J281" s="18"/>
      <c r="K281" s="109"/>
    </row>
    <row r="282" spans="1:11" x14ac:dyDescent="0.3">
      <c r="A282" s="389"/>
      <c r="B282" s="387"/>
      <c r="C282" s="387"/>
      <c r="D282" s="387"/>
      <c r="E282" s="387"/>
      <c r="F282" s="387"/>
      <c r="G282" s="5"/>
      <c r="H282" s="5"/>
      <c r="I282" s="5"/>
      <c r="J282" s="5"/>
      <c r="K282" s="108"/>
    </row>
    <row r="283" spans="1:11" ht="15" thickBot="1" x14ac:dyDescent="0.35">
      <c r="A283" s="110"/>
      <c r="B283" s="36"/>
      <c r="C283" s="36"/>
      <c r="D283" s="36"/>
      <c r="E283" s="36"/>
      <c r="F283" s="36"/>
      <c r="G283" s="37"/>
      <c r="H283" s="37"/>
      <c r="I283" s="37"/>
      <c r="J283" s="37"/>
      <c r="K283" s="193"/>
    </row>
    <row r="284" spans="1:11" ht="15" thickTop="1" x14ac:dyDescent="0.3">
      <c r="A284" s="387"/>
      <c r="B284" s="17"/>
      <c r="C284" s="17"/>
      <c r="D284" s="17"/>
      <c r="E284" s="43"/>
      <c r="F284" s="43"/>
      <c r="G284" s="5"/>
    </row>
    <row r="285" spans="1:11" x14ac:dyDescent="0.3">
      <c r="A285" s="387"/>
      <c r="B285" s="387"/>
      <c r="C285" s="17"/>
      <c r="D285" s="43"/>
      <c r="E285" s="43"/>
      <c r="F285" s="43"/>
      <c r="G285" s="5"/>
    </row>
    <row r="286" spans="1:11" x14ac:dyDescent="0.3">
      <c r="A286" s="387"/>
      <c r="B286" s="387"/>
      <c r="C286" s="17"/>
      <c r="D286" s="43"/>
      <c r="E286" s="43"/>
      <c r="F286" s="43"/>
      <c r="G286" s="5"/>
    </row>
    <row r="287" spans="1:11" x14ac:dyDescent="0.3">
      <c r="A287" s="387"/>
      <c r="B287" s="387"/>
      <c r="C287" s="17"/>
      <c r="D287" s="43"/>
      <c r="E287" s="43"/>
      <c r="F287" s="43"/>
      <c r="G287" s="5"/>
    </row>
    <row r="288" spans="1:11" x14ac:dyDescent="0.3">
      <c r="A288" s="387"/>
      <c r="B288" s="387"/>
      <c r="C288" s="17"/>
      <c r="D288" s="43"/>
      <c r="E288" s="43"/>
      <c r="F288" s="43"/>
      <c r="G288" s="5"/>
    </row>
    <row r="289" spans="1:7" x14ac:dyDescent="0.3">
      <c r="A289" s="387"/>
      <c r="B289" s="387"/>
      <c r="C289" s="17"/>
      <c r="D289" s="43"/>
      <c r="E289" s="43"/>
      <c r="F289" s="43"/>
      <c r="G289" s="5"/>
    </row>
    <row r="290" spans="1:7" x14ac:dyDescent="0.3">
      <c r="A290" s="387"/>
      <c r="B290" s="387"/>
      <c r="C290" s="17"/>
      <c r="D290" s="387"/>
      <c r="E290" s="387"/>
      <c r="F290" s="387"/>
      <c r="G290" s="5"/>
    </row>
    <row r="291" spans="1:7" x14ac:dyDescent="0.3">
      <c r="A291" s="387"/>
      <c r="B291" s="387"/>
      <c r="C291" s="17"/>
      <c r="D291" s="387"/>
      <c r="E291" s="387"/>
      <c r="F291" s="387"/>
      <c r="G291" s="5"/>
    </row>
    <row r="292" spans="1:7" x14ac:dyDescent="0.3">
      <c r="A292" s="387"/>
      <c r="B292" s="387"/>
      <c r="C292" s="387"/>
      <c r="D292" s="387"/>
      <c r="E292" s="387"/>
      <c r="F292" s="387"/>
      <c r="G292" s="5"/>
    </row>
    <row r="293" spans="1:7" x14ac:dyDescent="0.3">
      <c r="A293" s="387"/>
      <c r="B293" s="387"/>
      <c r="C293" s="387"/>
      <c r="D293" s="387"/>
      <c r="E293" s="387"/>
      <c r="F293" s="387"/>
      <c r="G293" s="5"/>
    </row>
    <row r="294" spans="1:7" x14ac:dyDescent="0.3">
      <c r="A294" s="387"/>
      <c r="B294" s="387"/>
      <c r="C294" s="387"/>
      <c r="D294" s="387"/>
      <c r="E294" s="387"/>
      <c r="F294" s="387"/>
      <c r="G294" s="5"/>
    </row>
  </sheetData>
  <sortState ref="A25:I28">
    <sortCondition descending="1" ref="I25:I28"/>
    <sortCondition descending="1" ref="G25:G28"/>
    <sortCondition ref="H25:H28"/>
  </sortState>
  <mergeCells count="5">
    <mergeCell ref="C231:I231"/>
    <mergeCell ref="C240:I240"/>
    <mergeCell ref="A2:J2"/>
    <mergeCell ref="A4:J4"/>
    <mergeCell ref="A5:J5"/>
  </mergeCells>
  <pageMargins left="0.7" right="0.7" top="0.78740157499999996" bottom="0.78740157499999996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A283"/>
  <sheetViews>
    <sheetView topLeftCell="A247" workbookViewId="0">
      <selection activeCell="M267" sqref="M267"/>
    </sheetView>
  </sheetViews>
  <sheetFormatPr baseColWidth="10" defaultRowHeight="14.4" x14ac:dyDescent="0.3"/>
  <cols>
    <col min="1" max="1" width="10.77734375" style="1" customWidth="1"/>
    <col min="2" max="2" width="12.77734375" style="1" customWidth="1"/>
    <col min="3" max="3" width="11.77734375" style="1" customWidth="1"/>
    <col min="4" max="5" width="12.77734375" style="1" customWidth="1"/>
    <col min="6" max="6" width="11.77734375" style="1" customWidth="1"/>
    <col min="7" max="8" width="11.77734375" style="2" customWidth="1"/>
    <col min="9" max="9" width="12.77734375" style="2" customWidth="1"/>
    <col min="10" max="10" width="10.77734375" style="2" customWidth="1"/>
    <col min="11" max="11" width="10.77734375" customWidth="1"/>
    <col min="12" max="18" width="11.77734375" customWidth="1"/>
    <col min="19" max="25" width="11.77734375" style="283" customWidth="1"/>
    <col min="26" max="27" width="11.77734375" customWidth="1"/>
  </cols>
  <sheetData>
    <row r="1" spans="1:27" ht="15" thickTop="1" x14ac:dyDescent="0.3">
      <c r="A1" s="106"/>
      <c r="B1" s="311">
        <v>12</v>
      </c>
      <c r="C1" s="25"/>
      <c r="D1" s="311">
        <v>12</v>
      </c>
      <c r="E1" s="311">
        <v>12</v>
      </c>
      <c r="F1" s="25"/>
      <c r="G1" s="26"/>
      <c r="H1" s="26"/>
      <c r="I1" s="310">
        <v>12</v>
      </c>
      <c r="J1" s="26"/>
      <c r="K1" s="107"/>
      <c r="S1" s="114"/>
      <c r="T1" s="115"/>
      <c r="U1" s="115"/>
      <c r="V1" s="115"/>
      <c r="W1" s="115"/>
      <c r="X1" s="115"/>
      <c r="Y1" s="116"/>
    </row>
    <row r="2" spans="1:27" ht="46.2" x14ac:dyDescent="0.85">
      <c r="A2" s="425" t="s">
        <v>233</v>
      </c>
      <c r="B2" s="426"/>
      <c r="C2" s="426"/>
      <c r="D2" s="426"/>
      <c r="E2" s="426"/>
      <c r="F2" s="426"/>
      <c r="G2" s="426"/>
      <c r="H2" s="426"/>
      <c r="I2" s="426"/>
      <c r="J2" s="426"/>
      <c r="K2" s="108"/>
      <c r="S2" s="117"/>
      <c r="T2" s="282"/>
      <c r="U2" s="282"/>
      <c r="V2" s="282"/>
      <c r="W2" s="282"/>
      <c r="X2" s="282"/>
      <c r="Y2" s="118"/>
    </row>
    <row r="3" spans="1:27" x14ac:dyDescent="0.3">
      <c r="A3" s="302"/>
      <c r="B3" s="301"/>
      <c r="C3" s="301"/>
      <c r="D3" s="301"/>
      <c r="E3" s="301"/>
      <c r="F3" s="301"/>
      <c r="G3" s="5"/>
      <c r="H3" s="5"/>
      <c r="I3" s="5"/>
      <c r="J3" s="5"/>
      <c r="K3" s="108"/>
      <c r="S3" s="117"/>
      <c r="T3" s="282"/>
      <c r="U3" s="282"/>
      <c r="V3" s="282"/>
      <c r="W3" s="282"/>
      <c r="X3" s="282"/>
      <c r="Y3" s="118"/>
    </row>
    <row r="4" spans="1:27" ht="28.8" x14ac:dyDescent="0.55000000000000004">
      <c r="A4" s="428" t="s">
        <v>232</v>
      </c>
      <c r="B4" s="429"/>
      <c r="C4" s="429"/>
      <c r="D4" s="429"/>
      <c r="E4" s="429"/>
      <c r="F4" s="429"/>
      <c r="G4" s="429"/>
      <c r="H4" s="429"/>
      <c r="I4" s="429"/>
      <c r="J4" s="429"/>
      <c r="K4" s="108"/>
      <c r="S4" s="117"/>
      <c r="T4" s="282"/>
      <c r="U4" s="282"/>
      <c r="V4" s="282"/>
      <c r="W4" s="282"/>
      <c r="X4" s="282"/>
      <c r="Y4" s="118"/>
    </row>
    <row r="5" spans="1:27" ht="21" x14ac:dyDescent="0.4">
      <c r="A5" s="430" t="s">
        <v>224</v>
      </c>
      <c r="B5" s="431"/>
      <c r="C5" s="431"/>
      <c r="D5" s="431"/>
      <c r="E5" s="431"/>
      <c r="F5" s="431"/>
      <c r="G5" s="431"/>
      <c r="H5" s="431"/>
      <c r="I5" s="431"/>
      <c r="J5" s="431"/>
      <c r="K5" s="108"/>
      <c r="S5" s="117"/>
      <c r="T5" s="282"/>
      <c r="U5" s="282"/>
      <c r="V5" s="282"/>
      <c r="W5" s="282"/>
      <c r="X5" s="282"/>
      <c r="Y5" s="118"/>
    </row>
    <row r="6" spans="1:27" x14ac:dyDescent="0.3">
      <c r="A6" s="302"/>
      <c r="B6" s="301"/>
      <c r="C6" s="301"/>
      <c r="D6" s="301"/>
      <c r="E6" s="301"/>
      <c r="F6" s="301"/>
      <c r="G6" s="5"/>
      <c r="H6" s="5"/>
      <c r="I6" s="5"/>
      <c r="J6" s="5"/>
      <c r="K6" s="108"/>
      <c r="S6" s="117"/>
      <c r="T6" s="282"/>
      <c r="U6" s="282"/>
      <c r="V6" s="282"/>
      <c r="W6" s="282"/>
      <c r="X6" s="282"/>
      <c r="Y6" s="118"/>
    </row>
    <row r="7" spans="1:27" x14ac:dyDescent="0.3">
      <c r="A7" s="302"/>
      <c r="B7" s="301"/>
      <c r="C7" s="301"/>
      <c r="D7" s="301"/>
      <c r="E7" s="301"/>
      <c r="F7" s="301"/>
      <c r="G7" s="5"/>
      <c r="H7" s="5"/>
      <c r="I7" s="5"/>
      <c r="J7" s="5"/>
      <c r="K7" s="108"/>
      <c r="S7" s="117"/>
      <c r="T7" s="282"/>
      <c r="U7" s="282"/>
      <c r="V7" s="282"/>
      <c r="W7" s="282"/>
      <c r="X7" s="282"/>
      <c r="Y7" s="118"/>
    </row>
    <row r="8" spans="1:27" x14ac:dyDescent="0.3">
      <c r="A8" s="302"/>
      <c r="B8" s="28"/>
      <c r="C8" s="301"/>
      <c r="D8" s="301"/>
      <c r="E8" s="301"/>
      <c r="F8" s="301"/>
      <c r="G8" s="5"/>
      <c r="H8" s="5"/>
      <c r="I8" s="5"/>
      <c r="J8" s="5"/>
      <c r="K8" s="108"/>
      <c r="S8" s="117"/>
      <c r="T8" s="282"/>
      <c r="U8" s="282"/>
      <c r="V8" s="282"/>
      <c r="W8" s="282"/>
      <c r="X8" s="282"/>
      <c r="Y8" s="118"/>
    </row>
    <row r="9" spans="1:27" x14ac:dyDescent="0.3">
      <c r="A9" s="156"/>
      <c r="B9" s="301"/>
      <c r="C9" s="301"/>
      <c r="D9" s="301"/>
      <c r="E9" s="301"/>
      <c r="F9" s="301"/>
      <c r="G9" s="301"/>
      <c r="H9" s="5"/>
      <c r="I9" s="5"/>
      <c r="J9" s="5"/>
      <c r="K9" s="108"/>
      <c r="S9" s="117"/>
      <c r="T9" s="282"/>
      <c r="U9" s="282"/>
      <c r="V9" s="282"/>
      <c r="W9" s="282"/>
      <c r="X9" s="282"/>
      <c r="Y9" s="118"/>
    </row>
    <row r="10" spans="1:27" ht="21" x14ac:dyDescent="0.4">
      <c r="A10" s="302"/>
      <c r="B10" s="301"/>
      <c r="C10" s="301"/>
      <c r="D10" s="301"/>
      <c r="E10" s="301"/>
      <c r="F10" s="300" t="s">
        <v>119</v>
      </c>
      <c r="G10" s="5"/>
      <c r="H10" s="5"/>
      <c r="I10" s="5"/>
      <c r="J10" s="5"/>
      <c r="K10" s="108"/>
      <c r="S10" s="117"/>
      <c r="T10" s="282"/>
      <c r="U10" s="282"/>
      <c r="V10" s="282"/>
      <c r="W10" s="282"/>
      <c r="X10" s="282"/>
      <c r="Y10" s="118"/>
    </row>
    <row r="11" spans="1:27" x14ac:dyDescent="0.3">
      <c r="A11" s="302"/>
      <c r="B11" s="301"/>
      <c r="C11" s="301"/>
      <c r="D11" s="301"/>
      <c r="E11" s="301"/>
      <c r="F11" s="28"/>
      <c r="G11" s="5"/>
      <c r="H11" s="5"/>
      <c r="I11" s="5"/>
      <c r="J11" s="5"/>
      <c r="K11" s="108"/>
      <c r="S11" s="117"/>
      <c r="T11" s="282"/>
      <c r="U11" s="282"/>
      <c r="V11" s="282"/>
      <c r="W11" s="282"/>
      <c r="X11" s="282"/>
      <c r="Y11" s="118"/>
    </row>
    <row r="12" spans="1:27" x14ac:dyDescent="0.3">
      <c r="A12" s="302"/>
      <c r="B12" s="301"/>
      <c r="C12" s="40">
        <v>38877</v>
      </c>
      <c r="D12" s="49" t="s">
        <v>88</v>
      </c>
      <c r="E12" s="49" t="s">
        <v>286</v>
      </c>
      <c r="F12" s="49">
        <v>4</v>
      </c>
      <c r="G12" s="49">
        <v>2</v>
      </c>
      <c r="H12" s="301"/>
      <c r="I12" s="301" t="s">
        <v>161</v>
      </c>
      <c r="J12" s="5"/>
      <c r="K12" s="108"/>
      <c r="S12" s="117" t="s">
        <v>88</v>
      </c>
      <c r="T12" s="282" t="s">
        <v>286</v>
      </c>
      <c r="U12" s="282">
        <v>4</v>
      </c>
      <c r="V12" s="282">
        <v>2</v>
      </c>
      <c r="W12" s="282"/>
      <c r="X12" s="126">
        <f t="shared" ref="X12:X17" si="0">(IF(U12&gt;V12,3,IF(U12=V12,1,2)))</f>
        <v>3</v>
      </c>
      <c r="Y12" s="125">
        <f t="shared" ref="Y12:Y17" si="1">(IF(V12&gt;U12,3,IF(U12=V12,1,2)))</f>
        <v>2</v>
      </c>
      <c r="AA12" t="s">
        <v>37</v>
      </c>
    </row>
    <row r="13" spans="1:27" ht="15" thickBot="1" x14ac:dyDescent="0.35">
      <c r="A13" s="302"/>
      <c r="B13" s="301"/>
      <c r="C13" s="58"/>
      <c r="D13" s="79"/>
      <c r="E13" s="79"/>
      <c r="F13" s="79" t="s">
        <v>215</v>
      </c>
      <c r="G13" s="79" t="s">
        <v>183</v>
      </c>
      <c r="H13" s="304"/>
      <c r="I13" s="304"/>
      <c r="J13" s="5"/>
      <c r="K13" s="108"/>
      <c r="S13" s="117" t="s">
        <v>61</v>
      </c>
      <c r="T13" s="250" t="s">
        <v>377</v>
      </c>
      <c r="U13" s="291">
        <v>0</v>
      </c>
      <c r="V13" s="291">
        <v>2</v>
      </c>
      <c r="W13" s="282"/>
      <c r="X13" s="126">
        <f>(IF(U13&gt;V13,3,IF(U13=V13,1,2)))</f>
        <v>2</v>
      </c>
      <c r="Y13" s="125">
        <f>(IF(V13&gt;U13,3,IF(U13=V13,1,2)))</f>
        <v>3</v>
      </c>
      <c r="AA13" t="s">
        <v>88</v>
      </c>
    </row>
    <row r="14" spans="1:27" x14ac:dyDescent="0.3">
      <c r="A14" s="302"/>
      <c r="B14" s="301"/>
      <c r="C14" s="40">
        <v>38877</v>
      </c>
      <c r="D14" s="49" t="s">
        <v>61</v>
      </c>
      <c r="E14" s="49" t="s">
        <v>377</v>
      </c>
      <c r="F14" s="49">
        <v>0</v>
      </c>
      <c r="G14" s="49">
        <v>2</v>
      </c>
      <c r="H14" s="301"/>
      <c r="I14" s="5" t="s">
        <v>157</v>
      </c>
      <c r="J14" s="5"/>
      <c r="K14" s="108"/>
      <c r="S14" s="117" t="s">
        <v>88</v>
      </c>
      <c r="T14" s="250" t="s">
        <v>61</v>
      </c>
      <c r="U14" s="291">
        <v>1</v>
      </c>
      <c r="V14" s="291">
        <v>0</v>
      </c>
      <c r="W14" s="282"/>
      <c r="X14" s="126">
        <f>(IF(U14&gt;V14,3,IF(U14=V14,1,2)))</f>
        <v>3</v>
      </c>
      <c r="Y14" s="125">
        <f>(IF(V14&gt;U14,3,IF(U14=V14,1,2)))</f>
        <v>2</v>
      </c>
      <c r="AA14" t="s">
        <v>133</v>
      </c>
    </row>
    <row r="15" spans="1:27" ht="15" thickBot="1" x14ac:dyDescent="0.35">
      <c r="A15" s="302"/>
      <c r="B15" s="301"/>
      <c r="C15" s="58"/>
      <c r="D15" s="79"/>
      <c r="E15" s="79"/>
      <c r="F15" s="79" t="s">
        <v>170</v>
      </c>
      <c r="G15" s="79" t="s">
        <v>183</v>
      </c>
      <c r="H15" s="304"/>
      <c r="I15" s="8"/>
      <c r="J15" s="5"/>
      <c r="K15" s="108"/>
      <c r="S15" s="117" t="s">
        <v>377</v>
      </c>
      <c r="T15" s="291" t="s">
        <v>286</v>
      </c>
      <c r="U15" s="291">
        <v>3</v>
      </c>
      <c r="V15" s="291">
        <v>0</v>
      </c>
      <c r="W15" s="282"/>
      <c r="X15" s="126">
        <f t="shared" si="0"/>
        <v>3</v>
      </c>
      <c r="Y15" s="125">
        <f t="shared" si="1"/>
        <v>2</v>
      </c>
      <c r="AA15" t="s">
        <v>3</v>
      </c>
    </row>
    <row r="16" spans="1:27" x14ac:dyDescent="0.3">
      <c r="A16" s="302"/>
      <c r="B16" s="301"/>
      <c r="C16" s="40">
        <v>38882</v>
      </c>
      <c r="D16" s="49" t="s">
        <v>88</v>
      </c>
      <c r="E16" s="49" t="s">
        <v>61</v>
      </c>
      <c r="F16" s="49">
        <v>1</v>
      </c>
      <c r="G16" s="49">
        <v>0</v>
      </c>
      <c r="H16" s="301"/>
      <c r="I16" s="5" t="s">
        <v>156</v>
      </c>
      <c r="J16" s="5"/>
      <c r="K16" s="108"/>
      <c r="S16" s="117" t="s">
        <v>377</v>
      </c>
      <c r="T16" s="291" t="s">
        <v>88</v>
      </c>
      <c r="U16" s="291">
        <v>0</v>
      </c>
      <c r="V16" s="291">
        <v>3</v>
      </c>
      <c r="W16" s="282"/>
      <c r="X16" s="126">
        <f t="shared" si="0"/>
        <v>2</v>
      </c>
      <c r="Y16" s="125">
        <f t="shared" si="1"/>
        <v>3</v>
      </c>
      <c r="AA16" t="s">
        <v>9</v>
      </c>
    </row>
    <row r="17" spans="1:27" ht="15" thickBot="1" x14ac:dyDescent="0.35">
      <c r="A17" s="302"/>
      <c r="B17" s="301"/>
      <c r="C17" s="58"/>
      <c r="D17" s="79"/>
      <c r="E17" s="79"/>
      <c r="F17" s="79" t="s">
        <v>170</v>
      </c>
      <c r="G17" s="79" t="s">
        <v>171</v>
      </c>
      <c r="H17" s="304"/>
      <c r="I17" s="8"/>
      <c r="J17" s="5"/>
      <c r="K17" s="108"/>
      <c r="S17" s="117" t="s">
        <v>286</v>
      </c>
      <c r="T17" s="291" t="s">
        <v>61</v>
      </c>
      <c r="U17" s="291">
        <v>1</v>
      </c>
      <c r="V17" s="291">
        <v>2</v>
      </c>
      <c r="W17" s="282"/>
      <c r="X17" s="126">
        <f t="shared" si="0"/>
        <v>2</v>
      </c>
      <c r="Y17" s="125">
        <f t="shared" si="1"/>
        <v>3</v>
      </c>
      <c r="AA17" t="s">
        <v>5</v>
      </c>
    </row>
    <row r="18" spans="1:27" x14ac:dyDescent="0.3">
      <c r="A18" s="302"/>
      <c r="B18" s="301"/>
      <c r="C18" s="40">
        <v>38883</v>
      </c>
      <c r="D18" s="49" t="s">
        <v>377</v>
      </c>
      <c r="E18" s="49" t="s">
        <v>286</v>
      </c>
      <c r="F18" s="49">
        <v>3</v>
      </c>
      <c r="G18" s="49">
        <v>0</v>
      </c>
      <c r="H18" s="301"/>
      <c r="I18" s="5" t="s">
        <v>153</v>
      </c>
      <c r="J18" s="5"/>
      <c r="K18" s="108"/>
      <c r="S18" s="117"/>
      <c r="T18" s="291"/>
      <c r="U18" s="291"/>
      <c r="V18" s="291"/>
      <c r="W18" s="282"/>
      <c r="X18" s="126"/>
      <c r="Y18" s="125"/>
      <c r="AA18" t="s">
        <v>74</v>
      </c>
    </row>
    <row r="19" spans="1:27" ht="15" thickBot="1" x14ac:dyDescent="0.35">
      <c r="A19" s="302"/>
      <c r="B19" s="301"/>
      <c r="C19" s="58"/>
      <c r="D19" s="79"/>
      <c r="E19" s="79"/>
      <c r="F19" s="79" t="s">
        <v>172</v>
      </c>
      <c r="G19" s="79" t="s">
        <v>171</v>
      </c>
      <c r="H19" s="304"/>
      <c r="I19" s="8"/>
      <c r="J19" s="5"/>
      <c r="K19" s="108"/>
      <c r="S19" s="117"/>
      <c r="T19" s="291"/>
      <c r="U19" s="291"/>
      <c r="V19" s="291"/>
      <c r="W19" s="282"/>
      <c r="X19" s="126"/>
      <c r="Y19" s="125"/>
      <c r="AA19" t="s">
        <v>35</v>
      </c>
    </row>
    <row r="20" spans="1:27" x14ac:dyDescent="0.3">
      <c r="A20" s="302"/>
      <c r="B20" s="301"/>
      <c r="C20" s="40">
        <v>38888</v>
      </c>
      <c r="D20" s="49" t="s">
        <v>377</v>
      </c>
      <c r="E20" s="49" t="s">
        <v>88</v>
      </c>
      <c r="F20" s="49">
        <v>0</v>
      </c>
      <c r="G20" s="49">
        <v>3</v>
      </c>
      <c r="H20" s="301"/>
      <c r="I20" s="5" t="s">
        <v>149</v>
      </c>
      <c r="J20" s="5"/>
      <c r="K20" s="108"/>
      <c r="S20" s="117"/>
      <c r="T20" s="291"/>
      <c r="U20" s="291"/>
      <c r="V20" s="291"/>
      <c r="W20" s="282"/>
      <c r="X20" s="282"/>
      <c r="Y20" s="118"/>
      <c r="AA20" t="s">
        <v>392</v>
      </c>
    </row>
    <row r="21" spans="1:27" ht="15" thickBot="1" x14ac:dyDescent="0.35">
      <c r="A21" s="302"/>
      <c r="B21" s="301"/>
      <c r="C21" s="58"/>
      <c r="D21" s="79"/>
      <c r="E21" s="79"/>
      <c r="F21" s="79" t="s">
        <v>170</v>
      </c>
      <c r="G21" s="79" t="s">
        <v>173</v>
      </c>
      <c r="H21" s="304"/>
      <c r="I21" s="8"/>
      <c r="J21" s="5"/>
      <c r="K21" s="108"/>
      <c r="S21" s="117"/>
      <c r="T21" s="291"/>
      <c r="U21" s="291"/>
      <c r="V21" s="291"/>
      <c r="W21" s="282"/>
      <c r="X21" s="282"/>
      <c r="Y21" s="118"/>
      <c r="AA21" t="s">
        <v>43</v>
      </c>
    </row>
    <row r="22" spans="1:27" x14ac:dyDescent="0.3">
      <c r="A22" s="302"/>
      <c r="B22" s="301"/>
      <c r="C22" s="40">
        <v>38888</v>
      </c>
      <c r="D22" s="49" t="s">
        <v>286</v>
      </c>
      <c r="E22" s="49" t="s">
        <v>61</v>
      </c>
      <c r="F22" s="49">
        <v>1</v>
      </c>
      <c r="G22" s="49">
        <v>2</v>
      </c>
      <c r="H22" s="301"/>
      <c r="I22" s="5" t="s">
        <v>159</v>
      </c>
      <c r="J22" s="5"/>
      <c r="K22" s="108"/>
      <c r="S22" s="117"/>
      <c r="T22" s="282"/>
      <c r="U22" s="282"/>
      <c r="V22" s="282"/>
      <c r="W22" s="282"/>
      <c r="X22" s="282"/>
      <c r="Y22" s="118"/>
      <c r="AA22" t="s">
        <v>63</v>
      </c>
    </row>
    <row r="23" spans="1:27" x14ac:dyDescent="0.3">
      <c r="A23" s="302"/>
      <c r="B23" s="301"/>
      <c r="C23" s="40"/>
      <c r="D23" s="49"/>
      <c r="E23" s="49"/>
      <c r="F23" s="49" t="s">
        <v>172</v>
      </c>
      <c r="G23" s="49" t="s">
        <v>183</v>
      </c>
      <c r="H23" s="301"/>
      <c r="I23" s="5"/>
      <c r="J23" s="5"/>
      <c r="K23" s="108"/>
      <c r="S23" s="117"/>
      <c r="T23" s="282"/>
      <c r="U23" s="282"/>
      <c r="V23" s="282"/>
      <c r="W23" s="282"/>
      <c r="X23" s="282"/>
      <c r="Y23" s="118"/>
      <c r="AA23" t="s">
        <v>377</v>
      </c>
    </row>
    <row r="24" spans="1:27" x14ac:dyDescent="0.3">
      <c r="A24" s="302"/>
      <c r="B24" s="301"/>
      <c r="C24" s="40"/>
      <c r="D24" s="301"/>
      <c r="E24" s="301"/>
      <c r="F24" s="301"/>
      <c r="G24" s="301"/>
      <c r="H24" s="301"/>
      <c r="I24" s="5"/>
      <c r="J24" s="5"/>
      <c r="K24" s="108"/>
      <c r="S24" s="117"/>
      <c r="T24" s="282"/>
      <c r="U24" s="282"/>
      <c r="V24" s="282"/>
      <c r="W24" s="282"/>
      <c r="X24" s="282"/>
      <c r="Y24" s="118"/>
      <c r="AA24" t="s">
        <v>390</v>
      </c>
    </row>
    <row r="25" spans="1:27" ht="15" thickBot="1" x14ac:dyDescent="0.35">
      <c r="A25" s="302"/>
      <c r="B25" s="301" t="s">
        <v>298</v>
      </c>
      <c r="C25" s="301" t="s">
        <v>12</v>
      </c>
      <c r="D25" s="301" t="s">
        <v>13</v>
      </c>
      <c r="E25" s="301" t="s">
        <v>14</v>
      </c>
      <c r="F25" s="301" t="s">
        <v>15</v>
      </c>
      <c r="G25" s="5" t="s">
        <v>24</v>
      </c>
      <c r="H25" s="5" t="s">
        <v>25</v>
      </c>
      <c r="I25" s="5" t="s">
        <v>301</v>
      </c>
      <c r="J25" s="5"/>
      <c r="K25" s="108"/>
      <c r="S25" s="117"/>
      <c r="T25" s="282"/>
      <c r="U25" s="282"/>
      <c r="V25" s="282"/>
      <c r="W25" s="282"/>
      <c r="X25" s="126"/>
      <c r="Y25" s="125"/>
      <c r="AA25" t="s">
        <v>41</v>
      </c>
    </row>
    <row r="26" spans="1:27" x14ac:dyDescent="0.3">
      <c r="A26" s="302" t="s">
        <v>113</v>
      </c>
      <c r="B26" s="14" t="s">
        <v>88</v>
      </c>
      <c r="C26" s="303">
        <f>COUNTIF($S$12:$T$17,"Rumänien")</f>
        <v>0</v>
      </c>
      <c r="D26" s="124">
        <f t="shared" ref="D26" si="2">SUMPRODUCT(($S$12:$T$17=B26)*($X$12:$Y$17=3))</f>
        <v>3</v>
      </c>
      <c r="E26" s="124">
        <f t="shared" ref="E26" si="3">SUMPRODUCT(($S$12:$T$17=B26)*($X$12:$Y$17=1))</f>
        <v>0</v>
      </c>
      <c r="F26" s="124">
        <f t="shared" ref="F26" si="4">SUMPRODUCT(($S$12:$T$17=B26)*($X$12:$Y$17=2))</f>
        <v>0</v>
      </c>
      <c r="G26" s="124">
        <f t="shared" ref="G26" si="5">SUMPRODUCT(($S$12:$S$17=B26)*($U$12:$U$17))+SUMPRODUCT(($T$12:$T$17=B26)*($V$12:$V$17))</f>
        <v>8</v>
      </c>
      <c r="H26" s="124">
        <f t="shared" ref="H26" si="6">SUMPRODUCT(($S$12:$S$17=B26)*($V$12:$V$17))+SUMPRODUCT(($T$12:$T$17=B26)*($U$12:$U$17))</f>
        <v>2</v>
      </c>
      <c r="I26" s="16">
        <f>(D26*3)+E26</f>
        <v>9</v>
      </c>
      <c r="J26" s="18"/>
      <c r="K26" s="108"/>
      <c r="S26" s="117"/>
      <c r="T26" s="282"/>
      <c r="U26" s="282"/>
      <c r="V26" s="282"/>
      <c r="W26" s="282"/>
      <c r="X26" s="282"/>
      <c r="Y26" s="118"/>
      <c r="AA26" t="s">
        <v>4</v>
      </c>
    </row>
    <row r="27" spans="1:27" x14ac:dyDescent="0.3">
      <c r="A27" s="302"/>
      <c r="B27" s="21" t="s">
        <v>286</v>
      </c>
      <c r="C27" s="301"/>
      <c r="D27" s="43"/>
      <c r="E27" s="43"/>
      <c r="F27" s="43"/>
      <c r="G27" s="43"/>
      <c r="H27" s="43"/>
      <c r="I27" s="22"/>
      <c r="J27" s="18"/>
      <c r="K27" s="108"/>
      <c r="S27" s="117"/>
      <c r="T27" s="282"/>
      <c r="U27" s="282"/>
      <c r="V27" s="282"/>
      <c r="W27" s="282"/>
      <c r="X27" s="282"/>
      <c r="Y27" s="118"/>
      <c r="AA27" t="s">
        <v>152</v>
      </c>
    </row>
    <row r="28" spans="1:27" x14ac:dyDescent="0.3">
      <c r="A28" s="302"/>
      <c r="B28" s="3" t="s">
        <v>61</v>
      </c>
      <c r="C28" s="301"/>
      <c r="D28" s="43"/>
      <c r="E28" s="43"/>
      <c r="F28" s="43"/>
      <c r="G28" s="43"/>
      <c r="H28" s="43"/>
      <c r="I28" s="22"/>
      <c r="J28" s="5"/>
      <c r="K28" s="108"/>
      <c r="S28" s="117"/>
      <c r="T28" s="282"/>
      <c r="U28" s="282"/>
      <c r="V28" s="282"/>
      <c r="W28" s="282"/>
      <c r="X28" s="126"/>
      <c r="Y28" s="125"/>
      <c r="AA28" t="s">
        <v>90</v>
      </c>
    </row>
    <row r="29" spans="1:27" ht="15" thickBot="1" x14ac:dyDescent="0.35">
      <c r="A29" s="302"/>
      <c r="B29" s="7" t="s">
        <v>377</v>
      </c>
      <c r="C29" s="304"/>
      <c r="D29" s="80"/>
      <c r="E29" s="80"/>
      <c r="F29" s="80"/>
      <c r="G29" s="80"/>
      <c r="H29" s="80"/>
      <c r="I29" s="32"/>
      <c r="J29" s="5"/>
      <c r="K29" s="108"/>
      <c r="S29" s="117"/>
      <c r="T29" s="282"/>
      <c r="U29" s="282"/>
      <c r="V29" s="282"/>
      <c r="W29" s="282"/>
      <c r="X29" s="126"/>
      <c r="Y29" s="125"/>
      <c r="AA29" t="s">
        <v>385</v>
      </c>
    </row>
    <row r="30" spans="1:27" ht="15" thickBot="1" x14ac:dyDescent="0.35">
      <c r="A30" s="302"/>
      <c r="B30" s="301"/>
      <c r="C30" s="301"/>
      <c r="D30" s="301"/>
      <c r="E30" s="301"/>
      <c r="F30" s="301"/>
      <c r="G30" s="5"/>
      <c r="H30" s="5"/>
      <c r="I30" s="5"/>
      <c r="J30" s="5"/>
      <c r="K30" s="193"/>
      <c r="S30" s="117"/>
      <c r="T30" s="282"/>
      <c r="U30" s="282"/>
      <c r="V30" s="282"/>
      <c r="W30" s="282"/>
      <c r="X30" s="126"/>
      <c r="Y30" s="125"/>
      <c r="AA30" t="s">
        <v>389</v>
      </c>
    </row>
    <row r="31" spans="1:27" ht="15" thickTop="1" x14ac:dyDescent="0.3">
      <c r="A31" s="106"/>
      <c r="B31" s="25"/>
      <c r="C31" s="25"/>
      <c r="D31" s="25"/>
      <c r="E31" s="25"/>
      <c r="F31" s="25"/>
      <c r="G31" s="26"/>
      <c r="H31" s="26"/>
      <c r="I31" s="26"/>
      <c r="J31" s="26"/>
      <c r="K31" s="108"/>
      <c r="S31" s="122"/>
      <c r="T31" s="17"/>
      <c r="U31" s="17"/>
      <c r="V31" s="17"/>
      <c r="X31" s="126"/>
      <c r="Y31" s="125"/>
      <c r="AA31" t="s">
        <v>22</v>
      </c>
    </row>
    <row r="32" spans="1:27" ht="21" x14ac:dyDescent="0.4">
      <c r="A32" s="302"/>
      <c r="B32" s="301"/>
      <c r="C32" s="301"/>
      <c r="D32" s="301"/>
      <c r="E32" s="301"/>
      <c r="F32" s="300" t="s">
        <v>120</v>
      </c>
      <c r="G32" s="5"/>
      <c r="H32" s="5"/>
      <c r="I32" s="5"/>
      <c r="J32" s="5"/>
      <c r="K32" s="108"/>
      <c r="S32" s="117"/>
      <c r="T32" s="282"/>
      <c r="U32" s="282"/>
      <c r="V32" s="282"/>
      <c r="X32" s="126"/>
      <c r="Y32" s="125"/>
      <c r="AA32" t="s">
        <v>61</v>
      </c>
    </row>
    <row r="33" spans="1:27" x14ac:dyDescent="0.3">
      <c r="A33" s="302"/>
      <c r="B33" s="301"/>
      <c r="C33" s="301"/>
      <c r="D33" s="301"/>
      <c r="E33" s="301"/>
      <c r="F33" s="28"/>
      <c r="G33" s="5"/>
      <c r="H33" s="5"/>
      <c r="I33" s="5"/>
      <c r="J33" s="5"/>
      <c r="K33" s="108"/>
      <c r="S33" s="117"/>
      <c r="T33" s="282"/>
      <c r="U33" s="282"/>
      <c r="V33" s="282"/>
      <c r="X33" s="126"/>
      <c r="Y33" s="125"/>
      <c r="AA33" t="s">
        <v>353</v>
      </c>
    </row>
    <row r="34" spans="1:27" x14ac:dyDescent="0.3">
      <c r="A34" s="302"/>
      <c r="B34" s="301"/>
      <c r="C34" s="40">
        <v>38878</v>
      </c>
      <c r="D34" s="49" t="s">
        <v>74</v>
      </c>
      <c r="E34" s="49" t="s">
        <v>22</v>
      </c>
      <c r="F34" s="49">
        <v>1</v>
      </c>
      <c r="G34" s="49">
        <v>0</v>
      </c>
      <c r="H34" s="301"/>
      <c r="I34" s="5" t="s">
        <v>154</v>
      </c>
      <c r="J34" s="5"/>
      <c r="K34" s="108"/>
      <c r="S34" s="117" t="s">
        <v>74</v>
      </c>
      <c r="T34" s="282" t="s">
        <v>22</v>
      </c>
      <c r="U34" s="282">
        <v>1</v>
      </c>
      <c r="V34" s="282">
        <v>0</v>
      </c>
      <c r="X34" s="126">
        <f t="shared" ref="X34:X37" si="7">(IF(U34&gt;V34,3,IF(U34=V34,1,2)))</f>
        <v>3</v>
      </c>
      <c r="Y34" s="125">
        <f t="shared" ref="Y34:Y37" si="8">(IF(V34&gt;U34,3,IF(U34=V34,1,2)))</f>
        <v>2</v>
      </c>
      <c r="AA34" t="s">
        <v>388</v>
      </c>
    </row>
    <row r="35" spans="1:27" ht="15" thickBot="1" x14ac:dyDescent="0.35">
      <c r="A35" s="302"/>
      <c r="B35" s="301"/>
      <c r="C35" s="58"/>
      <c r="D35" s="79"/>
      <c r="E35" s="79"/>
      <c r="F35" s="79" t="s">
        <v>172</v>
      </c>
      <c r="G35" s="79" t="s">
        <v>171</v>
      </c>
      <c r="H35" s="304"/>
      <c r="I35" s="8"/>
      <c r="J35" s="5"/>
      <c r="K35" s="108"/>
      <c r="S35" s="117" t="s">
        <v>381</v>
      </c>
      <c r="T35" s="291" t="s">
        <v>41</v>
      </c>
      <c r="U35" s="291">
        <v>0</v>
      </c>
      <c r="V35" s="291">
        <v>0</v>
      </c>
      <c r="X35" s="126">
        <f t="shared" si="7"/>
        <v>1</v>
      </c>
      <c r="Y35" s="125">
        <f t="shared" si="8"/>
        <v>1</v>
      </c>
      <c r="AA35" t="s">
        <v>176</v>
      </c>
    </row>
    <row r="36" spans="1:27" ht="15" thickBot="1" x14ac:dyDescent="0.35">
      <c r="A36" s="302"/>
      <c r="B36" s="301"/>
      <c r="C36" s="88">
        <v>38878</v>
      </c>
      <c r="D36" s="89" t="s">
        <v>381</v>
      </c>
      <c r="E36" s="89" t="s">
        <v>41</v>
      </c>
      <c r="F36" s="89">
        <v>0</v>
      </c>
      <c r="G36" s="89">
        <v>0</v>
      </c>
      <c r="H36" s="286"/>
      <c r="I36" s="91" t="s">
        <v>156</v>
      </c>
      <c r="J36" s="5"/>
      <c r="K36" s="108"/>
      <c r="S36" s="117" t="s">
        <v>74</v>
      </c>
      <c r="T36" s="291" t="s">
        <v>381</v>
      </c>
      <c r="U36" s="291">
        <v>2</v>
      </c>
      <c r="V36" s="291">
        <v>0</v>
      </c>
      <c r="X36" s="126">
        <f t="shared" si="7"/>
        <v>3</v>
      </c>
      <c r="Y36" s="125">
        <f t="shared" si="8"/>
        <v>2</v>
      </c>
      <c r="AA36" t="s">
        <v>177</v>
      </c>
    </row>
    <row r="37" spans="1:27" x14ac:dyDescent="0.3">
      <c r="A37" s="302"/>
      <c r="B37" s="301"/>
      <c r="C37" s="40">
        <v>38883</v>
      </c>
      <c r="D37" s="49" t="s">
        <v>74</v>
      </c>
      <c r="E37" s="49" t="s">
        <v>381</v>
      </c>
      <c r="F37" s="49">
        <v>2</v>
      </c>
      <c r="G37" s="49">
        <v>0</v>
      </c>
      <c r="H37" s="301"/>
      <c r="I37" s="5" t="s">
        <v>382</v>
      </c>
      <c r="J37" s="5"/>
      <c r="K37" s="108"/>
      <c r="S37" s="117" t="s">
        <v>41</v>
      </c>
      <c r="T37" s="291" t="s">
        <v>22</v>
      </c>
      <c r="U37" s="291">
        <v>1</v>
      </c>
      <c r="V37" s="291">
        <v>0</v>
      </c>
      <c r="X37" s="126">
        <f t="shared" si="7"/>
        <v>3</v>
      </c>
      <c r="Y37" s="125">
        <f t="shared" si="8"/>
        <v>2</v>
      </c>
      <c r="AA37" t="s">
        <v>20</v>
      </c>
    </row>
    <row r="38" spans="1:27" ht="15" thickBot="1" x14ac:dyDescent="0.35">
      <c r="A38" s="302"/>
      <c r="B38" s="301"/>
      <c r="C38" s="58"/>
      <c r="D38" s="79"/>
      <c r="E38" s="79"/>
      <c r="F38" s="79" t="s">
        <v>170</v>
      </c>
      <c r="G38" s="79" t="s">
        <v>171</v>
      </c>
      <c r="H38" s="304"/>
      <c r="I38" s="8"/>
      <c r="J38" s="5"/>
      <c r="K38" s="108"/>
      <c r="S38" s="117" t="s">
        <v>41</v>
      </c>
      <c r="T38" s="291" t="s">
        <v>74</v>
      </c>
      <c r="U38" s="291">
        <v>2</v>
      </c>
      <c r="V38" s="291">
        <v>2</v>
      </c>
      <c r="X38" s="126">
        <f t="shared" ref="X38:X39" si="9">(IF(U38&gt;V38,3,IF(U38=V38,1,2)))</f>
        <v>1</v>
      </c>
      <c r="Y38" s="125">
        <f t="shared" ref="Y38:Y39" si="10">(IF(V38&gt;U38,3,IF(U38=V38,1,2)))</f>
        <v>1</v>
      </c>
      <c r="AA38" t="s">
        <v>351</v>
      </c>
    </row>
    <row r="39" spans="1:27" x14ac:dyDescent="0.3">
      <c r="A39" s="302"/>
      <c r="B39" s="301"/>
      <c r="C39" s="40">
        <v>38883</v>
      </c>
      <c r="D39" s="49" t="s">
        <v>41</v>
      </c>
      <c r="E39" s="49" t="s">
        <v>22</v>
      </c>
      <c r="F39" s="49">
        <v>1</v>
      </c>
      <c r="G39" s="49">
        <v>0</v>
      </c>
      <c r="H39" s="301"/>
      <c r="I39" s="5" t="s">
        <v>149</v>
      </c>
      <c r="J39" s="5"/>
      <c r="K39" s="108"/>
      <c r="S39" s="117" t="s">
        <v>22</v>
      </c>
      <c r="T39" s="291" t="s">
        <v>381</v>
      </c>
      <c r="U39" s="291">
        <v>2</v>
      </c>
      <c r="V39" s="291">
        <v>0</v>
      </c>
      <c r="X39" s="126">
        <f t="shared" si="9"/>
        <v>3</v>
      </c>
      <c r="Y39" s="125">
        <f t="shared" si="10"/>
        <v>2</v>
      </c>
      <c r="AA39" t="s">
        <v>313</v>
      </c>
    </row>
    <row r="40" spans="1:27" ht="15" thickBot="1" x14ac:dyDescent="0.35">
      <c r="A40" s="302"/>
      <c r="B40" s="301"/>
      <c r="C40" s="58"/>
      <c r="D40" s="79"/>
      <c r="E40" s="79"/>
      <c r="F40" s="79" t="s">
        <v>170</v>
      </c>
      <c r="G40" s="79" t="s">
        <v>171</v>
      </c>
      <c r="H40" s="304"/>
      <c r="I40" s="8"/>
      <c r="J40" s="5"/>
      <c r="K40" s="108"/>
      <c r="S40" s="117"/>
      <c r="T40" s="291"/>
      <c r="U40" s="291"/>
      <c r="V40" s="291"/>
      <c r="X40" s="126"/>
      <c r="Y40" s="125"/>
      <c r="AA40" t="s">
        <v>381</v>
      </c>
    </row>
    <row r="41" spans="1:27" x14ac:dyDescent="0.3">
      <c r="A41" s="302"/>
      <c r="B41" s="301"/>
      <c r="C41" s="40">
        <v>38888</v>
      </c>
      <c r="D41" s="43" t="s">
        <v>41</v>
      </c>
      <c r="E41" s="43" t="s">
        <v>74</v>
      </c>
      <c r="F41" s="43">
        <v>2</v>
      </c>
      <c r="G41" s="43">
        <v>2</v>
      </c>
      <c r="H41" s="17"/>
      <c r="I41" s="5" t="s">
        <v>383</v>
      </c>
      <c r="J41" s="5"/>
      <c r="K41" s="108"/>
      <c r="S41" s="117"/>
      <c r="T41" s="291"/>
      <c r="U41" s="291"/>
      <c r="V41" s="291"/>
      <c r="W41" s="282"/>
      <c r="X41" s="126"/>
      <c r="Y41" s="125"/>
      <c r="AA41" t="s">
        <v>286</v>
      </c>
    </row>
    <row r="42" spans="1:27" ht="15" thickBot="1" x14ac:dyDescent="0.35">
      <c r="A42" s="302"/>
      <c r="B42" s="301"/>
      <c r="C42" s="58"/>
      <c r="D42" s="80"/>
      <c r="E42" s="80"/>
      <c r="F42" s="80" t="s">
        <v>170</v>
      </c>
      <c r="G42" s="80" t="s">
        <v>183</v>
      </c>
      <c r="H42" s="30"/>
      <c r="I42" s="8"/>
      <c r="J42" s="5"/>
      <c r="K42" s="108"/>
      <c r="S42" s="117"/>
      <c r="T42" s="291"/>
      <c r="U42" s="291"/>
      <c r="V42" s="291"/>
      <c r="W42" s="282"/>
      <c r="X42" s="126"/>
      <c r="Y42" s="125"/>
      <c r="AA42" t="s">
        <v>386</v>
      </c>
    </row>
    <row r="43" spans="1:27" x14ac:dyDescent="0.3">
      <c r="A43" s="302"/>
      <c r="B43" s="301"/>
      <c r="C43" s="40">
        <v>38888</v>
      </c>
      <c r="D43" s="43" t="s">
        <v>22</v>
      </c>
      <c r="E43" s="43" t="s">
        <v>381</v>
      </c>
      <c r="F43" s="43">
        <v>2</v>
      </c>
      <c r="G43" s="43">
        <v>0</v>
      </c>
      <c r="H43" s="17"/>
      <c r="I43" s="5" t="s">
        <v>384</v>
      </c>
      <c r="J43" s="5"/>
      <c r="K43" s="108"/>
      <c r="S43" s="117"/>
      <c r="T43" s="282"/>
      <c r="U43" s="282"/>
      <c r="V43" s="282"/>
      <c r="W43" s="282"/>
      <c r="X43" s="126"/>
      <c r="Y43" s="125"/>
      <c r="AA43" t="s">
        <v>391</v>
      </c>
    </row>
    <row r="44" spans="1:27" x14ac:dyDescent="0.3">
      <c r="A44" s="302"/>
      <c r="B44" s="301"/>
      <c r="C44" s="40"/>
      <c r="D44" s="43"/>
      <c r="E44" s="43"/>
      <c r="F44" s="43" t="s">
        <v>172</v>
      </c>
      <c r="G44" s="43" t="s">
        <v>171</v>
      </c>
      <c r="H44" s="17"/>
      <c r="I44" s="5"/>
      <c r="J44" s="5"/>
      <c r="K44" s="108"/>
      <c r="S44" s="117"/>
      <c r="T44" s="282"/>
      <c r="U44" s="282"/>
      <c r="V44" s="282"/>
      <c r="W44" s="282"/>
      <c r="X44" s="126"/>
      <c r="Y44" s="125"/>
    </row>
    <row r="45" spans="1:27" x14ac:dyDescent="0.3">
      <c r="A45" s="156"/>
      <c r="B45" s="17"/>
      <c r="C45" s="17"/>
      <c r="D45" s="17"/>
      <c r="E45" s="17"/>
      <c r="F45" s="17"/>
      <c r="G45" s="18"/>
      <c r="H45" s="5"/>
      <c r="I45" s="5"/>
      <c r="J45" s="5"/>
      <c r="K45" s="108"/>
      <c r="S45" s="117"/>
      <c r="T45" s="282"/>
      <c r="U45" s="282"/>
      <c r="V45" s="282"/>
      <c r="W45" s="282"/>
      <c r="X45" s="126"/>
      <c r="Y45" s="125"/>
    </row>
    <row r="46" spans="1:27" ht="15" thickBot="1" x14ac:dyDescent="0.35">
      <c r="A46" s="302"/>
      <c r="B46" s="301" t="s">
        <v>298</v>
      </c>
      <c r="C46" s="301" t="s">
        <v>12</v>
      </c>
      <c r="D46" s="301" t="s">
        <v>13</v>
      </c>
      <c r="E46" s="301" t="s">
        <v>14</v>
      </c>
      <c r="F46" s="301" t="s">
        <v>15</v>
      </c>
      <c r="G46" s="5" t="s">
        <v>24</v>
      </c>
      <c r="H46" s="5" t="s">
        <v>25</v>
      </c>
      <c r="I46" s="5" t="s">
        <v>301</v>
      </c>
      <c r="J46" s="5"/>
      <c r="K46" s="108"/>
      <c r="S46" s="117"/>
      <c r="T46" s="282"/>
      <c r="U46" s="282"/>
      <c r="V46" s="282"/>
      <c r="W46" s="282"/>
      <c r="X46" s="126"/>
      <c r="Y46" s="125"/>
    </row>
    <row r="47" spans="1:27" x14ac:dyDescent="0.3">
      <c r="A47" s="302" t="s">
        <v>113</v>
      </c>
      <c r="B47" s="14" t="s">
        <v>74</v>
      </c>
      <c r="C47" s="305">
        <v>3</v>
      </c>
      <c r="D47" s="305">
        <v>2</v>
      </c>
      <c r="E47" s="305">
        <v>1</v>
      </c>
      <c r="F47" s="305">
        <v>0</v>
      </c>
      <c r="G47" s="15">
        <v>6</v>
      </c>
      <c r="H47" s="15">
        <v>1</v>
      </c>
      <c r="I47" s="15">
        <v>7</v>
      </c>
      <c r="J47" s="86"/>
      <c r="K47" s="108"/>
      <c r="S47" s="117"/>
      <c r="T47" s="282"/>
      <c r="U47" s="282"/>
      <c r="V47" s="282"/>
      <c r="W47" s="282"/>
      <c r="X47" s="126"/>
      <c r="Y47" s="125"/>
    </row>
    <row r="48" spans="1:27" x14ac:dyDescent="0.3">
      <c r="A48" s="302"/>
      <c r="B48" s="21" t="s">
        <v>22</v>
      </c>
      <c r="C48" s="17"/>
      <c r="D48" s="17"/>
      <c r="E48" s="17"/>
      <c r="F48" s="17"/>
      <c r="G48" s="18"/>
      <c r="H48" s="18"/>
      <c r="I48" s="18"/>
      <c r="J48" s="86"/>
      <c r="K48" s="108"/>
      <c r="S48" s="117"/>
      <c r="T48" s="282"/>
      <c r="U48" s="282"/>
      <c r="V48" s="282"/>
      <c r="W48" s="282"/>
      <c r="X48" s="126"/>
      <c r="Y48" s="125"/>
    </row>
    <row r="49" spans="1:25" x14ac:dyDescent="0.3">
      <c r="A49" s="302"/>
      <c r="B49" s="3" t="s">
        <v>381</v>
      </c>
      <c r="C49" s="301"/>
      <c r="D49" s="301"/>
      <c r="E49" s="301"/>
      <c r="F49" s="301"/>
      <c r="G49" s="5"/>
      <c r="H49" s="5"/>
      <c r="I49" s="5"/>
      <c r="J49" s="87"/>
      <c r="K49" s="108"/>
      <c r="S49" s="117"/>
      <c r="T49" s="282"/>
      <c r="U49" s="282"/>
      <c r="V49" s="282"/>
      <c r="W49" s="282"/>
      <c r="X49" s="126"/>
      <c r="Y49" s="125"/>
    </row>
    <row r="50" spans="1:25" ht="15" thickBot="1" x14ac:dyDescent="0.35">
      <c r="A50" s="302"/>
      <c r="B50" s="7" t="s">
        <v>41</v>
      </c>
      <c r="C50" s="304"/>
      <c r="D50" s="304"/>
      <c r="E50" s="304"/>
      <c r="F50" s="304"/>
      <c r="G50" s="8"/>
      <c r="H50" s="8"/>
      <c r="I50" s="8"/>
      <c r="J50" s="87"/>
      <c r="K50" s="108"/>
      <c r="S50" s="117"/>
      <c r="T50" s="282"/>
      <c r="U50" s="282"/>
      <c r="V50" s="282"/>
      <c r="W50" s="282"/>
      <c r="X50" s="126"/>
      <c r="Y50" s="125"/>
    </row>
    <row r="51" spans="1:25" ht="15" thickBot="1" x14ac:dyDescent="0.35">
      <c r="A51" s="302"/>
      <c r="B51" s="301"/>
      <c r="C51" s="301"/>
      <c r="D51" s="301"/>
      <c r="E51" s="301"/>
      <c r="F51" s="301"/>
      <c r="G51" s="5"/>
      <c r="H51" s="5"/>
      <c r="I51" s="5"/>
      <c r="J51" s="5"/>
      <c r="K51" s="193"/>
      <c r="S51" s="117"/>
      <c r="T51" s="282"/>
      <c r="U51" s="282"/>
      <c r="V51" s="282"/>
      <c r="W51" s="282"/>
      <c r="X51" s="126"/>
      <c r="Y51" s="125"/>
    </row>
    <row r="52" spans="1:25" ht="15" thickTop="1" x14ac:dyDescent="0.3">
      <c r="A52" s="106"/>
      <c r="B52" s="25"/>
      <c r="C52" s="25"/>
      <c r="D52" s="25"/>
      <c r="E52" s="25"/>
      <c r="F52" s="25"/>
      <c r="G52" s="26"/>
      <c r="H52" s="26"/>
      <c r="I52" s="26"/>
      <c r="J52" s="26"/>
      <c r="K52" s="108"/>
      <c r="S52" s="117"/>
      <c r="T52" s="282"/>
      <c r="U52" s="282"/>
      <c r="V52" s="282"/>
      <c r="W52" s="282"/>
      <c r="X52" s="126"/>
      <c r="Y52" s="125"/>
    </row>
    <row r="53" spans="1:25" ht="21" x14ac:dyDescent="0.4">
      <c r="A53" s="302"/>
      <c r="B53" s="301"/>
      <c r="C53" s="301"/>
      <c r="D53" s="301"/>
      <c r="E53" s="301"/>
      <c r="F53" s="300" t="s">
        <v>121</v>
      </c>
      <c r="G53" s="5"/>
      <c r="H53" s="5"/>
      <c r="I53" s="5"/>
      <c r="J53" s="5"/>
      <c r="K53" s="108"/>
      <c r="S53" s="122"/>
      <c r="T53" s="17"/>
      <c r="U53" s="17"/>
      <c r="V53" s="17"/>
      <c r="W53" s="17"/>
      <c r="X53" s="126"/>
      <c r="Y53" s="125"/>
    </row>
    <row r="54" spans="1:25" x14ac:dyDescent="0.3">
      <c r="A54" s="302"/>
      <c r="B54" s="301"/>
      <c r="C54" s="301"/>
      <c r="D54" s="301"/>
      <c r="E54" s="301"/>
      <c r="F54" s="28"/>
      <c r="G54" s="5"/>
      <c r="H54" s="5"/>
      <c r="I54" s="5"/>
      <c r="J54" s="5"/>
      <c r="K54" s="108"/>
      <c r="S54" s="122"/>
      <c r="T54" s="17"/>
      <c r="U54" s="17"/>
      <c r="V54" s="17"/>
      <c r="W54" s="17"/>
      <c r="X54" s="126"/>
      <c r="Y54" s="125"/>
    </row>
    <row r="55" spans="1:25" x14ac:dyDescent="0.3">
      <c r="A55" s="302"/>
      <c r="B55" s="301"/>
      <c r="C55" s="40">
        <v>38878</v>
      </c>
      <c r="D55" s="49" t="s">
        <v>5</v>
      </c>
      <c r="E55" s="49" t="s">
        <v>385</v>
      </c>
      <c r="F55" s="49">
        <v>2</v>
      </c>
      <c r="G55" s="51">
        <v>1</v>
      </c>
      <c r="H55" s="5"/>
      <c r="I55" s="5" t="s">
        <v>153</v>
      </c>
      <c r="J55" s="5"/>
      <c r="K55" s="108"/>
      <c r="S55" s="122" t="s">
        <v>5</v>
      </c>
      <c r="T55" s="17" t="s">
        <v>385</v>
      </c>
      <c r="U55" s="17">
        <v>2</v>
      </c>
      <c r="V55" s="17">
        <v>1</v>
      </c>
      <c r="W55" s="17"/>
      <c r="X55" s="126">
        <f t="shared" ref="X55:X59" si="11">(IF(U55&gt;V55,3,IF(U55=V55,1,2)))</f>
        <v>3</v>
      </c>
      <c r="Y55" s="125">
        <f t="shared" ref="Y55:Y59" si="12">(IF(V55&gt;U55,3,IF(U55=V55,1,2)))</f>
        <v>2</v>
      </c>
    </row>
    <row r="56" spans="1:25" ht="15" thickBot="1" x14ac:dyDescent="0.35">
      <c r="A56" s="302"/>
      <c r="B56" s="301"/>
      <c r="C56" s="58"/>
      <c r="D56" s="79"/>
      <c r="E56" s="79"/>
      <c r="F56" s="79" t="s">
        <v>215</v>
      </c>
      <c r="G56" s="81" t="s">
        <v>171</v>
      </c>
      <c r="H56" s="8"/>
      <c r="I56" s="8"/>
      <c r="J56" s="5"/>
      <c r="K56" s="108"/>
      <c r="S56" s="122" t="s">
        <v>386</v>
      </c>
      <c r="T56" s="17" t="s">
        <v>63</v>
      </c>
      <c r="U56" s="17">
        <v>0</v>
      </c>
      <c r="V56" s="17">
        <v>1</v>
      </c>
      <c r="W56" s="17"/>
      <c r="X56" s="126">
        <f t="shared" si="11"/>
        <v>2</v>
      </c>
      <c r="Y56" s="125">
        <f t="shared" si="12"/>
        <v>3</v>
      </c>
    </row>
    <row r="57" spans="1:25" x14ac:dyDescent="0.3">
      <c r="A57" s="302"/>
      <c r="B57" s="301"/>
      <c r="C57" s="40">
        <v>38879</v>
      </c>
      <c r="D57" s="49" t="s">
        <v>386</v>
      </c>
      <c r="E57" s="49" t="s">
        <v>63</v>
      </c>
      <c r="F57" s="49">
        <v>0</v>
      </c>
      <c r="G57" s="51">
        <v>1</v>
      </c>
      <c r="H57" s="5"/>
      <c r="I57" s="5" t="s">
        <v>387</v>
      </c>
      <c r="J57" s="5"/>
      <c r="K57" s="108"/>
      <c r="S57" s="122" t="s">
        <v>5</v>
      </c>
      <c r="T57" s="17" t="s">
        <v>386</v>
      </c>
      <c r="U57" s="17">
        <v>6</v>
      </c>
      <c r="V57" s="17">
        <v>0</v>
      </c>
      <c r="W57" s="17"/>
      <c r="X57" s="126">
        <f t="shared" si="11"/>
        <v>3</v>
      </c>
      <c r="Y57" s="125">
        <f t="shared" si="12"/>
        <v>2</v>
      </c>
    </row>
    <row r="58" spans="1:25" ht="15" thickBot="1" x14ac:dyDescent="0.35">
      <c r="A58" s="302"/>
      <c r="B58" s="301"/>
      <c r="C58" s="58"/>
      <c r="D58" s="79"/>
      <c r="E58" s="79"/>
      <c r="F58" s="79" t="s">
        <v>170</v>
      </c>
      <c r="G58" s="81" t="s">
        <v>183</v>
      </c>
      <c r="H58" s="8"/>
      <c r="I58" s="8"/>
      <c r="J58" s="5"/>
      <c r="K58" s="108"/>
      <c r="S58" s="122" t="s">
        <v>63</v>
      </c>
      <c r="T58" s="17" t="s">
        <v>385</v>
      </c>
      <c r="U58" s="17">
        <v>2</v>
      </c>
      <c r="V58" s="17">
        <v>1</v>
      </c>
      <c r="W58" s="17"/>
      <c r="X58" s="126">
        <f t="shared" si="11"/>
        <v>3</v>
      </c>
      <c r="Y58" s="125">
        <f t="shared" si="12"/>
        <v>2</v>
      </c>
    </row>
    <row r="59" spans="1:25" x14ac:dyDescent="0.3">
      <c r="A59" s="302"/>
      <c r="B59" s="301"/>
      <c r="C59" s="40">
        <v>38884</v>
      </c>
      <c r="D59" s="49" t="s">
        <v>5</v>
      </c>
      <c r="E59" s="49" t="s">
        <v>386</v>
      </c>
      <c r="F59" s="49">
        <v>6</v>
      </c>
      <c r="G59" s="51">
        <v>0</v>
      </c>
      <c r="H59" s="5"/>
      <c r="I59" s="5" t="s">
        <v>157</v>
      </c>
      <c r="J59" s="5"/>
      <c r="K59" s="108"/>
      <c r="S59" s="122" t="s">
        <v>63</v>
      </c>
      <c r="T59" s="17" t="s">
        <v>5</v>
      </c>
      <c r="U59" s="17">
        <v>0</v>
      </c>
      <c r="V59" s="17">
        <v>0</v>
      </c>
      <c r="W59" s="17"/>
      <c r="X59" s="126">
        <f t="shared" si="11"/>
        <v>1</v>
      </c>
      <c r="Y59" s="125">
        <f t="shared" si="12"/>
        <v>1</v>
      </c>
    </row>
    <row r="60" spans="1:25" ht="15" thickBot="1" x14ac:dyDescent="0.35">
      <c r="A60" s="302"/>
      <c r="B60" s="301"/>
      <c r="C60" s="58"/>
      <c r="D60" s="79"/>
      <c r="E60" s="79"/>
      <c r="F60" s="79" t="s">
        <v>264</v>
      </c>
      <c r="G60" s="81" t="s">
        <v>171</v>
      </c>
      <c r="H60" s="8"/>
      <c r="I60" s="8"/>
      <c r="J60" s="5"/>
      <c r="K60" s="108"/>
      <c r="S60" s="117" t="s">
        <v>385</v>
      </c>
      <c r="T60" s="292" t="s">
        <v>386</v>
      </c>
      <c r="U60" s="292">
        <v>3</v>
      </c>
      <c r="V60" s="292">
        <v>2</v>
      </c>
      <c r="W60" s="17"/>
      <c r="X60" s="126">
        <f t="shared" ref="X60" si="13">(IF(U60&gt;V60,3,IF(U60=V60,1,2)))</f>
        <v>3</v>
      </c>
      <c r="Y60" s="125">
        <f t="shared" ref="Y60" si="14">(IF(V60&gt;U60,3,IF(U60=V60,1,2)))</f>
        <v>2</v>
      </c>
    </row>
    <row r="61" spans="1:25" x14ac:dyDescent="0.3">
      <c r="A61" s="302"/>
      <c r="B61" s="301"/>
      <c r="C61" s="269">
        <v>38884</v>
      </c>
      <c r="D61" s="270" t="s">
        <v>63</v>
      </c>
      <c r="E61" s="270" t="s">
        <v>385</v>
      </c>
      <c r="F61" s="270">
        <v>2</v>
      </c>
      <c r="G61" s="271">
        <v>1</v>
      </c>
      <c r="H61" s="20"/>
      <c r="I61" s="20" t="s">
        <v>162</v>
      </c>
      <c r="J61" s="5"/>
      <c r="K61" s="108"/>
      <c r="S61" s="117"/>
      <c r="T61" s="292"/>
      <c r="U61" s="292"/>
      <c r="V61" s="292"/>
      <c r="W61" s="17"/>
      <c r="X61" s="126"/>
      <c r="Y61" s="125"/>
    </row>
    <row r="62" spans="1:25" ht="15" thickBot="1" x14ac:dyDescent="0.35">
      <c r="A62" s="302"/>
      <c r="B62" s="301"/>
      <c r="C62" s="58"/>
      <c r="D62" s="79"/>
      <c r="E62" s="79"/>
      <c r="F62" s="79" t="s">
        <v>215</v>
      </c>
      <c r="G62" s="81" t="s">
        <v>183</v>
      </c>
      <c r="H62" s="8"/>
      <c r="I62" s="8"/>
      <c r="J62" s="5"/>
      <c r="K62" s="108"/>
      <c r="S62" s="117"/>
      <c r="T62" s="292"/>
      <c r="U62" s="292"/>
      <c r="V62" s="292"/>
      <c r="W62" s="17"/>
      <c r="X62" s="126"/>
      <c r="Y62" s="125"/>
    </row>
    <row r="63" spans="1:25" ht="15" thickBot="1" x14ac:dyDescent="0.35">
      <c r="A63" s="302"/>
      <c r="B63" s="301"/>
      <c r="C63" s="88">
        <v>38889</v>
      </c>
      <c r="D63" s="89" t="s">
        <v>63</v>
      </c>
      <c r="E63" s="89" t="s">
        <v>5</v>
      </c>
      <c r="F63" s="89">
        <v>0</v>
      </c>
      <c r="G63" s="90">
        <v>0</v>
      </c>
      <c r="H63" s="91"/>
      <c r="I63" s="91" t="s">
        <v>154</v>
      </c>
      <c r="J63" s="5"/>
      <c r="K63" s="108"/>
      <c r="S63" s="117"/>
      <c r="T63" s="292"/>
      <c r="U63" s="292"/>
      <c r="V63" s="292"/>
      <c r="W63" s="17"/>
      <c r="X63" s="126"/>
      <c r="Y63" s="125"/>
    </row>
    <row r="64" spans="1:25" x14ac:dyDescent="0.3">
      <c r="A64" s="302"/>
      <c r="B64" s="301"/>
      <c r="C64" s="40">
        <v>38889</v>
      </c>
      <c r="D64" s="49" t="s">
        <v>385</v>
      </c>
      <c r="E64" s="49" t="s">
        <v>386</v>
      </c>
      <c r="F64" s="49">
        <v>3</v>
      </c>
      <c r="G64" s="51">
        <v>2</v>
      </c>
      <c r="H64" s="5"/>
      <c r="I64" s="5" t="s">
        <v>161</v>
      </c>
      <c r="J64" s="5"/>
      <c r="K64" s="108"/>
      <c r="S64" s="117"/>
      <c r="T64" s="282"/>
      <c r="U64" s="282"/>
      <c r="V64" s="282"/>
      <c r="W64" s="282"/>
      <c r="X64" s="126"/>
      <c r="Y64" s="125"/>
    </row>
    <row r="65" spans="1:25" x14ac:dyDescent="0.3">
      <c r="A65" s="156"/>
      <c r="B65" s="301"/>
      <c r="C65" s="301"/>
      <c r="D65" s="49"/>
      <c r="E65" s="49"/>
      <c r="F65" s="49" t="s">
        <v>172</v>
      </c>
      <c r="G65" s="51" t="s">
        <v>173</v>
      </c>
      <c r="H65" s="5"/>
      <c r="I65" s="5"/>
      <c r="J65" s="5"/>
      <c r="K65" s="108"/>
      <c r="S65" s="117"/>
      <c r="T65" s="282"/>
      <c r="U65" s="282"/>
      <c r="V65" s="282"/>
      <c r="W65" s="282"/>
      <c r="X65" s="126"/>
      <c r="Y65" s="125"/>
    </row>
    <row r="66" spans="1:25" x14ac:dyDescent="0.3">
      <c r="A66" s="156"/>
      <c r="B66" s="301"/>
      <c r="C66" s="301"/>
      <c r="D66" s="301"/>
      <c r="E66" s="301"/>
      <c r="F66" s="301"/>
      <c r="G66" s="5"/>
      <c r="H66" s="5"/>
      <c r="I66" s="5"/>
      <c r="J66" s="5"/>
      <c r="K66" s="108"/>
      <c r="S66" s="117"/>
      <c r="T66" s="282"/>
      <c r="U66" s="282"/>
      <c r="V66" s="282"/>
      <c r="W66" s="282"/>
      <c r="X66" s="126"/>
      <c r="Y66" s="125"/>
    </row>
    <row r="67" spans="1:25" ht="15" thickBot="1" x14ac:dyDescent="0.35">
      <c r="A67" s="302"/>
      <c r="B67" s="301" t="s">
        <v>298</v>
      </c>
      <c r="C67" s="301" t="s">
        <v>12</v>
      </c>
      <c r="D67" s="301" t="s">
        <v>13</v>
      </c>
      <c r="E67" s="301" t="s">
        <v>14</v>
      </c>
      <c r="F67" s="301" t="s">
        <v>15</v>
      </c>
      <c r="G67" s="5" t="s">
        <v>24</v>
      </c>
      <c r="H67" s="5" t="s">
        <v>25</v>
      </c>
      <c r="I67" s="5" t="s">
        <v>301</v>
      </c>
      <c r="J67" s="5"/>
      <c r="K67" s="108"/>
      <c r="S67" s="117"/>
      <c r="T67" s="282"/>
      <c r="U67" s="282"/>
      <c r="V67" s="282"/>
      <c r="W67" s="282"/>
      <c r="X67" s="126"/>
      <c r="Y67" s="125"/>
    </row>
    <row r="68" spans="1:25" x14ac:dyDescent="0.3">
      <c r="A68" s="302" t="s">
        <v>113</v>
      </c>
      <c r="B68" s="14" t="s">
        <v>5</v>
      </c>
      <c r="C68" s="305">
        <v>3</v>
      </c>
      <c r="D68" s="305">
        <v>2</v>
      </c>
      <c r="E68" s="305">
        <v>1</v>
      </c>
      <c r="F68" s="305">
        <v>0</v>
      </c>
      <c r="G68" s="15">
        <v>5</v>
      </c>
      <c r="H68" s="15">
        <v>3</v>
      </c>
      <c r="I68" s="15">
        <v>7</v>
      </c>
      <c r="J68" s="86"/>
      <c r="K68" s="108"/>
      <c r="S68" s="117"/>
      <c r="T68" s="282"/>
      <c r="U68" s="282"/>
      <c r="V68" s="282"/>
      <c r="W68" s="282"/>
      <c r="X68" s="126"/>
      <c r="Y68" s="125"/>
    </row>
    <row r="69" spans="1:25" x14ac:dyDescent="0.3">
      <c r="A69" s="302"/>
      <c r="B69" s="21" t="s">
        <v>385</v>
      </c>
      <c r="C69" s="17"/>
      <c r="D69" s="17"/>
      <c r="E69" s="17"/>
      <c r="F69" s="17"/>
      <c r="G69" s="18"/>
      <c r="H69" s="18"/>
      <c r="I69" s="18"/>
      <c r="J69" s="86"/>
      <c r="K69" s="108"/>
      <c r="S69" s="117"/>
      <c r="T69" s="282"/>
      <c r="U69" s="282"/>
      <c r="V69" s="282"/>
      <c r="W69" s="282"/>
      <c r="X69" s="126"/>
      <c r="Y69" s="125"/>
    </row>
    <row r="70" spans="1:25" x14ac:dyDescent="0.3">
      <c r="A70" s="302"/>
      <c r="B70" s="3" t="s">
        <v>386</v>
      </c>
      <c r="C70" s="301"/>
      <c r="D70" s="301"/>
      <c r="E70" s="301"/>
      <c r="F70" s="301"/>
      <c r="G70" s="5"/>
      <c r="H70" s="5"/>
      <c r="I70" s="5"/>
      <c r="J70" s="87"/>
      <c r="K70" s="108"/>
      <c r="S70" s="117"/>
      <c r="T70" s="282"/>
      <c r="U70" s="282"/>
      <c r="V70" s="282"/>
      <c r="W70" s="282"/>
      <c r="X70" s="126"/>
      <c r="Y70" s="125"/>
    </row>
    <row r="71" spans="1:25" ht="15" thickBot="1" x14ac:dyDescent="0.35">
      <c r="A71" s="302"/>
      <c r="B71" s="7" t="s">
        <v>63</v>
      </c>
      <c r="C71" s="304"/>
      <c r="D71" s="304"/>
      <c r="E71" s="304"/>
      <c r="F71" s="304"/>
      <c r="G71" s="8"/>
      <c r="H71" s="8"/>
      <c r="I71" s="8"/>
      <c r="J71" s="87"/>
      <c r="K71" s="108"/>
      <c r="S71" s="117"/>
      <c r="T71" s="282"/>
      <c r="U71" s="282"/>
      <c r="V71" s="282"/>
      <c r="W71" s="282"/>
      <c r="X71" s="126"/>
      <c r="Y71" s="125"/>
    </row>
    <row r="72" spans="1:25" ht="15" thickBot="1" x14ac:dyDescent="0.35">
      <c r="A72" s="302"/>
      <c r="B72" s="301"/>
      <c r="C72" s="301"/>
      <c r="D72" s="301"/>
      <c r="E72" s="301"/>
      <c r="F72" s="301"/>
      <c r="G72" s="5"/>
      <c r="H72" s="5"/>
      <c r="I72" s="5"/>
      <c r="J72" s="5"/>
      <c r="K72" s="193"/>
      <c r="S72" s="117"/>
      <c r="T72" s="282"/>
      <c r="U72" s="282"/>
      <c r="V72" s="282"/>
      <c r="W72" s="282"/>
      <c r="X72" s="126"/>
      <c r="Y72" s="125"/>
    </row>
    <row r="73" spans="1:25" ht="15" thickTop="1" x14ac:dyDescent="0.3">
      <c r="A73" s="106"/>
      <c r="B73" s="25"/>
      <c r="C73" s="25"/>
      <c r="D73" s="25"/>
      <c r="E73" s="25"/>
      <c r="F73" s="25"/>
      <c r="G73" s="26"/>
      <c r="H73" s="26"/>
      <c r="I73" s="26"/>
      <c r="J73" s="26"/>
      <c r="K73" s="108"/>
      <c r="S73" s="117"/>
      <c r="T73" s="282"/>
      <c r="U73" s="282"/>
      <c r="V73" s="282"/>
      <c r="W73" s="282"/>
      <c r="X73" s="126"/>
      <c r="Y73" s="125"/>
    </row>
    <row r="74" spans="1:25" ht="21" x14ac:dyDescent="0.4">
      <c r="A74" s="302"/>
      <c r="B74" s="301"/>
      <c r="C74" s="301"/>
      <c r="D74" s="301"/>
      <c r="E74" s="301"/>
      <c r="F74" s="300" t="s">
        <v>122</v>
      </c>
      <c r="G74" s="5"/>
      <c r="H74" s="5"/>
      <c r="I74" s="5"/>
      <c r="J74" s="5"/>
      <c r="K74" s="108"/>
      <c r="S74" s="117"/>
      <c r="T74" s="282"/>
      <c r="U74" s="282"/>
      <c r="V74" s="282"/>
      <c r="W74" s="282"/>
      <c r="X74" s="126"/>
      <c r="Y74" s="125"/>
    </row>
    <row r="75" spans="1:25" x14ac:dyDescent="0.3">
      <c r="A75" s="302"/>
      <c r="B75" s="301"/>
      <c r="C75" s="301"/>
      <c r="D75" s="301"/>
      <c r="E75" s="301"/>
      <c r="F75" s="28"/>
      <c r="G75" s="5"/>
      <c r="H75" s="5"/>
      <c r="I75" s="5"/>
      <c r="J75" s="5"/>
      <c r="K75" s="108"/>
      <c r="S75" s="117"/>
      <c r="T75" s="282"/>
      <c r="U75" s="282"/>
      <c r="V75" s="282"/>
      <c r="W75" s="282"/>
      <c r="X75" s="126"/>
      <c r="Y75" s="125"/>
    </row>
    <row r="76" spans="1:25" x14ac:dyDescent="0.3">
      <c r="A76" s="302"/>
      <c r="B76" s="301"/>
      <c r="C76" s="40">
        <v>38879</v>
      </c>
      <c r="D76" s="49" t="s">
        <v>4</v>
      </c>
      <c r="E76" s="49" t="s">
        <v>177</v>
      </c>
      <c r="F76" s="49">
        <v>3</v>
      </c>
      <c r="G76" s="51">
        <v>1</v>
      </c>
      <c r="H76" s="5"/>
      <c r="I76" s="5" t="s">
        <v>382</v>
      </c>
      <c r="J76" s="5"/>
      <c r="K76" s="108"/>
      <c r="S76" s="117" t="s">
        <v>4</v>
      </c>
      <c r="T76" s="282" t="s">
        <v>177</v>
      </c>
      <c r="U76" s="282">
        <v>3</v>
      </c>
      <c r="V76" s="282">
        <v>1</v>
      </c>
      <c r="W76" s="282"/>
      <c r="X76" s="126">
        <f t="shared" ref="X76:X80" si="15">(IF(U76&gt;V76,3,IF(U76=V76,1,2)))</f>
        <v>3</v>
      </c>
      <c r="Y76" s="125">
        <f t="shared" ref="Y76:Y80" si="16">(IF(V76&gt;U76,3,IF(U76=V76,1,2)))</f>
        <v>2</v>
      </c>
    </row>
    <row r="77" spans="1:25" ht="15" thickBot="1" x14ac:dyDescent="0.35">
      <c r="A77" s="302"/>
      <c r="B77" s="301"/>
      <c r="C77" s="58"/>
      <c r="D77" s="79"/>
      <c r="E77" s="79"/>
      <c r="F77" s="79" t="s">
        <v>172</v>
      </c>
      <c r="G77" s="81" t="s">
        <v>183</v>
      </c>
      <c r="H77" s="8"/>
      <c r="I77" s="8"/>
      <c r="J77" s="5"/>
      <c r="K77" s="108"/>
      <c r="S77" s="117" t="s">
        <v>388</v>
      </c>
      <c r="T77" s="292" t="s">
        <v>133</v>
      </c>
      <c r="U77" s="292">
        <v>0</v>
      </c>
      <c r="V77" s="292">
        <v>1</v>
      </c>
      <c r="W77" s="282"/>
      <c r="X77" s="126">
        <f t="shared" si="15"/>
        <v>2</v>
      </c>
      <c r="Y77" s="125">
        <f t="shared" si="16"/>
        <v>3</v>
      </c>
    </row>
    <row r="78" spans="1:25" x14ac:dyDescent="0.3">
      <c r="A78" s="302"/>
      <c r="B78" s="301"/>
      <c r="C78" s="40">
        <v>38879</v>
      </c>
      <c r="D78" s="49" t="s">
        <v>388</v>
      </c>
      <c r="E78" s="49" t="s">
        <v>133</v>
      </c>
      <c r="F78" s="49">
        <v>0</v>
      </c>
      <c r="G78" s="51">
        <v>1</v>
      </c>
      <c r="H78" s="5"/>
      <c r="I78" s="5" t="s">
        <v>383</v>
      </c>
      <c r="J78" s="5"/>
      <c r="K78" s="108"/>
      <c r="S78" s="117" t="s">
        <v>4</v>
      </c>
      <c r="T78" s="292" t="s">
        <v>388</v>
      </c>
      <c r="U78" s="292">
        <v>0</v>
      </c>
      <c r="V78" s="292">
        <v>0</v>
      </c>
      <c r="W78" s="282"/>
      <c r="X78" s="126">
        <f t="shared" si="15"/>
        <v>1</v>
      </c>
      <c r="Y78" s="125">
        <f t="shared" si="16"/>
        <v>1</v>
      </c>
    </row>
    <row r="79" spans="1:25" ht="15" thickBot="1" x14ac:dyDescent="0.35">
      <c r="A79" s="302"/>
      <c r="B79" s="301"/>
      <c r="C79" s="58"/>
      <c r="D79" s="79"/>
      <c r="E79" s="79"/>
      <c r="F79" s="79" t="s">
        <v>170</v>
      </c>
      <c r="G79" s="81" t="s">
        <v>183</v>
      </c>
      <c r="H79" s="8"/>
      <c r="I79" s="8"/>
      <c r="J79" s="5"/>
      <c r="K79" s="108"/>
      <c r="S79" s="117" t="s">
        <v>133</v>
      </c>
      <c r="T79" s="292" t="s">
        <v>177</v>
      </c>
      <c r="U79" s="292">
        <v>2</v>
      </c>
      <c r="V79" s="292">
        <v>0</v>
      </c>
      <c r="W79" s="282"/>
      <c r="X79" s="126">
        <f t="shared" si="15"/>
        <v>3</v>
      </c>
      <c r="Y79" s="125">
        <f t="shared" si="16"/>
        <v>2</v>
      </c>
    </row>
    <row r="80" spans="1:25" ht="15" thickBot="1" x14ac:dyDescent="0.35">
      <c r="A80" s="302"/>
      <c r="B80" s="301"/>
      <c r="C80" s="88">
        <v>38884</v>
      </c>
      <c r="D80" s="89" t="s">
        <v>4</v>
      </c>
      <c r="E80" s="89" t="s">
        <v>388</v>
      </c>
      <c r="F80" s="89">
        <v>0</v>
      </c>
      <c r="G80" s="90">
        <v>0</v>
      </c>
      <c r="H80" s="91"/>
      <c r="I80" s="91" t="s">
        <v>159</v>
      </c>
      <c r="J80" s="5"/>
      <c r="K80" s="108"/>
      <c r="S80" s="117" t="s">
        <v>133</v>
      </c>
      <c r="T80" s="292" t="s">
        <v>4</v>
      </c>
      <c r="U80" s="292">
        <v>2</v>
      </c>
      <c r="V80" s="292">
        <v>1</v>
      </c>
      <c r="W80" s="282"/>
      <c r="X80" s="126">
        <f t="shared" si="15"/>
        <v>3</v>
      </c>
      <c r="Y80" s="125">
        <f t="shared" si="16"/>
        <v>2</v>
      </c>
    </row>
    <row r="81" spans="1:25" x14ac:dyDescent="0.3">
      <c r="A81" s="302"/>
      <c r="B81" s="301"/>
      <c r="C81" s="40">
        <v>38885</v>
      </c>
      <c r="D81" s="49" t="s">
        <v>133</v>
      </c>
      <c r="E81" s="49" t="s">
        <v>177</v>
      </c>
      <c r="F81" s="49">
        <v>2</v>
      </c>
      <c r="G81" s="51">
        <v>0</v>
      </c>
      <c r="H81" s="5"/>
      <c r="I81" s="5" t="s">
        <v>154</v>
      </c>
      <c r="J81" s="5"/>
      <c r="K81" s="108"/>
      <c r="S81" s="117" t="s">
        <v>177</v>
      </c>
      <c r="T81" s="292" t="s">
        <v>388</v>
      </c>
      <c r="U81" s="292">
        <v>1</v>
      </c>
      <c r="V81" s="292">
        <v>1</v>
      </c>
      <c r="W81" s="282"/>
      <c r="X81" s="126">
        <f t="shared" ref="X81" si="17">(IF(U81&gt;V81,3,IF(U81=V81,1,2)))</f>
        <v>1</v>
      </c>
      <c r="Y81" s="125">
        <f t="shared" ref="Y81" si="18">(IF(V81&gt;U81,3,IF(U81=V81,1,2)))</f>
        <v>1</v>
      </c>
    </row>
    <row r="82" spans="1:25" ht="15" thickBot="1" x14ac:dyDescent="0.35">
      <c r="A82" s="302"/>
      <c r="B82" s="301"/>
      <c r="C82" s="58"/>
      <c r="D82" s="79"/>
      <c r="E82" s="79"/>
      <c r="F82" s="79" t="s">
        <v>170</v>
      </c>
      <c r="G82" s="81" t="s">
        <v>171</v>
      </c>
      <c r="H82" s="8"/>
      <c r="I82" s="8"/>
      <c r="J82" s="5"/>
      <c r="K82" s="108"/>
      <c r="S82" s="117"/>
      <c r="T82" s="292"/>
      <c r="U82" s="292"/>
      <c r="V82" s="292"/>
      <c r="W82" s="282"/>
      <c r="X82" s="126"/>
      <c r="Y82" s="125"/>
    </row>
    <row r="83" spans="1:25" x14ac:dyDescent="0.3">
      <c r="A83" s="302"/>
      <c r="B83" s="301"/>
      <c r="C83" s="40">
        <v>38889</v>
      </c>
      <c r="D83" s="49" t="s">
        <v>133</v>
      </c>
      <c r="E83" s="49" t="s">
        <v>4</v>
      </c>
      <c r="F83" s="49">
        <v>2</v>
      </c>
      <c r="G83" s="51">
        <v>1</v>
      </c>
      <c r="H83" s="5"/>
      <c r="I83" s="5" t="s">
        <v>157</v>
      </c>
      <c r="J83" s="5"/>
      <c r="K83" s="108"/>
      <c r="S83" s="117"/>
      <c r="T83" s="292"/>
      <c r="U83" s="292"/>
      <c r="V83" s="292"/>
      <c r="W83" s="282"/>
      <c r="X83" s="126"/>
      <c r="Y83" s="125"/>
    </row>
    <row r="84" spans="1:25" ht="15" thickBot="1" x14ac:dyDescent="0.35">
      <c r="A84" s="302"/>
      <c r="B84" s="301"/>
      <c r="C84" s="58"/>
      <c r="D84" s="79"/>
      <c r="E84" s="79"/>
      <c r="F84" s="79" t="s">
        <v>215</v>
      </c>
      <c r="G84" s="81" t="s">
        <v>183</v>
      </c>
      <c r="H84" s="8"/>
      <c r="I84" s="8"/>
      <c r="J84" s="5"/>
      <c r="K84" s="108"/>
      <c r="S84" s="117"/>
      <c r="T84" s="292"/>
      <c r="U84" s="292"/>
      <c r="V84" s="292"/>
      <c r="W84" s="282"/>
      <c r="X84" s="126"/>
      <c r="Y84" s="125"/>
    </row>
    <row r="85" spans="1:25" x14ac:dyDescent="0.3">
      <c r="A85" s="302"/>
      <c r="B85" s="17"/>
      <c r="C85" s="40">
        <v>38889</v>
      </c>
      <c r="D85" s="43" t="s">
        <v>177</v>
      </c>
      <c r="E85" s="43" t="s">
        <v>388</v>
      </c>
      <c r="F85" s="49">
        <v>1</v>
      </c>
      <c r="G85" s="51">
        <v>1</v>
      </c>
      <c r="H85" s="5"/>
      <c r="I85" s="5" t="s">
        <v>387</v>
      </c>
      <c r="J85" s="5"/>
      <c r="K85" s="108"/>
      <c r="S85" s="117"/>
      <c r="T85" s="282"/>
      <c r="U85" s="282"/>
      <c r="V85" s="282"/>
      <c r="W85" s="282"/>
      <c r="X85" s="282"/>
      <c r="Y85" s="118"/>
    </row>
    <row r="86" spans="1:25" x14ac:dyDescent="0.3">
      <c r="A86" s="156"/>
      <c r="B86" s="17"/>
      <c r="C86" s="17"/>
      <c r="D86" s="43"/>
      <c r="E86" s="43"/>
      <c r="F86" s="49" t="s">
        <v>170</v>
      </c>
      <c r="G86" s="51" t="s">
        <v>171</v>
      </c>
      <c r="H86" s="5"/>
      <c r="I86" s="5"/>
      <c r="J86" s="5"/>
      <c r="K86" s="108"/>
      <c r="S86" s="117"/>
      <c r="T86" s="282"/>
      <c r="U86" s="282"/>
      <c r="V86" s="282"/>
      <c r="W86" s="282"/>
      <c r="X86" s="126"/>
      <c r="Y86" s="125"/>
    </row>
    <row r="87" spans="1:25" x14ac:dyDescent="0.3">
      <c r="A87" s="156"/>
      <c r="B87" s="17"/>
      <c r="C87" s="17"/>
      <c r="D87" s="17"/>
      <c r="E87" s="17"/>
      <c r="F87" s="301"/>
      <c r="G87" s="5"/>
      <c r="H87" s="5"/>
      <c r="I87" s="5"/>
      <c r="J87" s="5"/>
      <c r="K87" s="108"/>
      <c r="S87" s="117"/>
      <c r="T87" s="282"/>
      <c r="U87" s="282"/>
      <c r="V87" s="282"/>
      <c r="W87" s="282"/>
      <c r="X87" s="126"/>
      <c r="Y87" s="125"/>
    </row>
    <row r="88" spans="1:25" ht="15" thickBot="1" x14ac:dyDescent="0.35">
      <c r="A88" s="302"/>
      <c r="B88" s="301" t="s">
        <v>298</v>
      </c>
      <c r="C88" s="301" t="s">
        <v>12</v>
      </c>
      <c r="D88" s="301" t="s">
        <v>13</v>
      </c>
      <c r="E88" s="301" t="s">
        <v>14</v>
      </c>
      <c r="F88" s="301" t="s">
        <v>15</v>
      </c>
      <c r="G88" s="5" t="s">
        <v>24</v>
      </c>
      <c r="H88" s="5" t="s">
        <v>25</v>
      </c>
      <c r="I88" s="5" t="s">
        <v>301</v>
      </c>
      <c r="J88" s="5"/>
      <c r="K88" s="108"/>
      <c r="S88" s="117"/>
      <c r="T88" s="282"/>
      <c r="U88" s="282"/>
      <c r="V88" s="282"/>
      <c r="W88" s="282"/>
      <c r="X88" s="126"/>
      <c r="Y88" s="125"/>
    </row>
    <row r="89" spans="1:25" x14ac:dyDescent="0.3">
      <c r="A89" s="302" t="s">
        <v>113</v>
      </c>
      <c r="B89" s="14" t="s">
        <v>4</v>
      </c>
      <c r="C89" s="305">
        <v>3</v>
      </c>
      <c r="D89" s="305">
        <v>2</v>
      </c>
      <c r="E89" s="305">
        <v>0</v>
      </c>
      <c r="F89" s="305">
        <v>1</v>
      </c>
      <c r="G89" s="15">
        <v>6</v>
      </c>
      <c r="H89" s="15">
        <v>2</v>
      </c>
      <c r="I89" s="15">
        <v>6</v>
      </c>
      <c r="J89" s="86"/>
      <c r="K89" s="108"/>
      <c r="S89" s="117"/>
      <c r="T89" s="282"/>
      <c r="U89" s="282"/>
      <c r="V89" s="282"/>
      <c r="W89" s="282"/>
      <c r="X89" s="126"/>
      <c r="Y89" s="125"/>
    </row>
    <row r="90" spans="1:25" x14ac:dyDescent="0.3">
      <c r="A90" s="302"/>
      <c r="B90" s="21" t="s">
        <v>177</v>
      </c>
      <c r="C90" s="17"/>
      <c r="D90" s="17"/>
      <c r="E90" s="17"/>
      <c r="F90" s="17"/>
      <c r="G90" s="18"/>
      <c r="H90" s="18"/>
      <c r="I90" s="18"/>
      <c r="J90" s="86"/>
      <c r="K90" s="108"/>
      <c r="S90" s="117"/>
      <c r="T90" s="282"/>
      <c r="U90" s="282"/>
      <c r="V90" s="282"/>
      <c r="W90" s="282"/>
      <c r="X90" s="282"/>
      <c r="Y90" s="118"/>
    </row>
    <row r="91" spans="1:25" x14ac:dyDescent="0.3">
      <c r="A91" s="302"/>
      <c r="B91" s="3" t="s">
        <v>388</v>
      </c>
      <c r="C91" s="301"/>
      <c r="D91" s="301"/>
      <c r="E91" s="301"/>
      <c r="F91" s="301"/>
      <c r="G91" s="5"/>
      <c r="H91" s="5"/>
      <c r="I91" s="5"/>
      <c r="J91" s="87"/>
      <c r="K91" s="108"/>
      <c r="S91" s="117"/>
      <c r="T91" s="282"/>
      <c r="U91" s="282"/>
      <c r="V91" s="282"/>
      <c r="W91" s="282"/>
      <c r="X91" s="282"/>
      <c r="Y91" s="118"/>
    </row>
    <row r="92" spans="1:25" ht="15" thickBot="1" x14ac:dyDescent="0.35">
      <c r="A92" s="302"/>
      <c r="B92" s="7" t="s">
        <v>133</v>
      </c>
      <c r="C92" s="304"/>
      <c r="D92" s="304"/>
      <c r="E92" s="304"/>
      <c r="F92" s="304"/>
      <c r="G92" s="8"/>
      <c r="H92" s="8"/>
      <c r="I92" s="8"/>
      <c r="J92" s="87"/>
      <c r="K92" s="108"/>
      <c r="S92" s="117"/>
      <c r="T92" s="282"/>
      <c r="U92" s="282"/>
      <c r="V92" s="282"/>
      <c r="W92" s="282"/>
      <c r="X92" s="282"/>
      <c r="Y92" s="118"/>
    </row>
    <row r="93" spans="1:25" ht="15" thickBot="1" x14ac:dyDescent="0.35">
      <c r="A93" s="302"/>
      <c r="B93" s="301"/>
      <c r="C93" s="301"/>
      <c r="D93" s="301"/>
      <c r="E93" s="301"/>
      <c r="F93" s="301"/>
      <c r="G93" s="5"/>
      <c r="H93" s="5"/>
      <c r="I93" s="5"/>
      <c r="J93" s="5"/>
      <c r="K93" s="193"/>
      <c r="S93" s="117"/>
      <c r="T93" s="282"/>
      <c r="U93" s="282"/>
      <c r="V93" s="282"/>
      <c r="W93" s="282"/>
      <c r="X93" s="126"/>
      <c r="Y93" s="125"/>
    </row>
    <row r="94" spans="1:25" ht="15" thickTop="1" x14ac:dyDescent="0.3">
      <c r="A94" s="106"/>
      <c r="B94" s="25"/>
      <c r="C94" s="25"/>
      <c r="D94" s="25"/>
      <c r="E94" s="25"/>
      <c r="F94" s="25"/>
      <c r="G94" s="26"/>
      <c r="H94" s="26"/>
      <c r="I94" s="26"/>
      <c r="J94" s="26"/>
      <c r="K94" s="108"/>
      <c r="S94" s="117"/>
      <c r="T94" s="282"/>
      <c r="U94" s="282"/>
      <c r="V94" s="282"/>
      <c r="W94" s="282"/>
      <c r="X94" s="126"/>
      <c r="Y94" s="125"/>
    </row>
    <row r="95" spans="1:25" ht="21" x14ac:dyDescent="0.4">
      <c r="A95" s="302"/>
      <c r="B95" s="301"/>
      <c r="C95" s="301"/>
      <c r="D95" s="301"/>
      <c r="E95" s="301"/>
      <c r="F95" s="300" t="s">
        <v>246</v>
      </c>
      <c r="G95" s="5"/>
      <c r="H95" s="5"/>
      <c r="I95" s="5"/>
      <c r="J95" s="5"/>
      <c r="K95" s="108"/>
      <c r="S95" s="117"/>
      <c r="T95" s="282"/>
      <c r="U95" s="282"/>
      <c r="V95" s="282"/>
      <c r="W95" s="282"/>
      <c r="X95" s="126"/>
      <c r="Y95" s="125"/>
    </row>
    <row r="96" spans="1:25" x14ac:dyDescent="0.3">
      <c r="A96" s="302"/>
      <c r="B96" s="301"/>
      <c r="C96" s="301"/>
      <c r="D96" s="301"/>
      <c r="E96" s="301"/>
      <c r="F96" s="28"/>
      <c r="G96" s="5"/>
      <c r="H96" s="5"/>
      <c r="I96" s="5"/>
      <c r="J96" s="5"/>
      <c r="K96" s="108"/>
      <c r="S96" s="117"/>
      <c r="T96" s="282"/>
      <c r="U96" s="282"/>
      <c r="V96" s="282"/>
      <c r="W96" s="282"/>
      <c r="X96" s="126"/>
      <c r="Y96" s="125"/>
    </row>
    <row r="97" spans="1:25" x14ac:dyDescent="0.3">
      <c r="A97" s="302"/>
      <c r="B97" s="301"/>
      <c r="C97" s="40">
        <v>38880</v>
      </c>
      <c r="D97" s="49" t="s">
        <v>20</v>
      </c>
      <c r="E97" s="49" t="s">
        <v>389</v>
      </c>
      <c r="F97" s="49">
        <v>0</v>
      </c>
      <c r="G97" s="51">
        <v>3</v>
      </c>
      <c r="H97" s="5"/>
      <c r="I97" s="5" t="s">
        <v>157</v>
      </c>
      <c r="J97" s="5"/>
      <c r="K97" s="108"/>
      <c r="S97" s="117" t="s">
        <v>20</v>
      </c>
      <c r="T97" s="282" t="s">
        <v>389</v>
      </c>
      <c r="U97" s="282">
        <v>0</v>
      </c>
      <c r="V97" s="282">
        <v>3</v>
      </c>
      <c r="W97" s="282"/>
      <c r="X97" s="126">
        <f t="shared" ref="X97:X100" si="19">(IF(U97&gt;V97,3,IF(U97=V97,1,2)))</f>
        <v>2</v>
      </c>
      <c r="Y97" s="125">
        <f t="shared" ref="Y97:Y100" si="20">(IF(V97&gt;U97,3,IF(U97=V97,1,2)))</f>
        <v>3</v>
      </c>
    </row>
    <row r="98" spans="1:25" ht="15" thickBot="1" x14ac:dyDescent="0.35">
      <c r="A98" s="302"/>
      <c r="B98" s="301"/>
      <c r="C98" s="58"/>
      <c r="D98" s="79"/>
      <c r="E98" s="79"/>
      <c r="F98" s="79" t="s">
        <v>170</v>
      </c>
      <c r="G98" s="81" t="s">
        <v>173</v>
      </c>
      <c r="H98" s="8"/>
      <c r="I98" s="8"/>
      <c r="J98" s="5"/>
      <c r="K98" s="108"/>
      <c r="S98" s="117" t="s">
        <v>37</v>
      </c>
      <c r="T98" s="292" t="s">
        <v>390</v>
      </c>
      <c r="U98" s="292">
        <v>2</v>
      </c>
      <c r="V98" s="292">
        <v>0</v>
      </c>
      <c r="W98" s="282"/>
      <c r="X98" s="126">
        <f t="shared" si="19"/>
        <v>3</v>
      </c>
      <c r="Y98" s="125">
        <f t="shared" si="20"/>
        <v>2</v>
      </c>
    </row>
    <row r="99" spans="1:25" x14ac:dyDescent="0.3">
      <c r="A99" s="302"/>
      <c r="B99" s="301"/>
      <c r="C99" s="40">
        <v>38880</v>
      </c>
      <c r="D99" s="49" t="s">
        <v>37</v>
      </c>
      <c r="E99" s="49" t="s">
        <v>390</v>
      </c>
      <c r="F99" s="49">
        <v>2</v>
      </c>
      <c r="G99" s="51">
        <v>0</v>
      </c>
      <c r="H99" s="5"/>
      <c r="I99" s="5" t="s">
        <v>159</v>
      </c>
      <c r="J99" s="5"/>
      <c r="K99" s="108"/>
      <c r="S99" s="117" t="s">
        <v>389</v>
      </c>
      <c r="T99" s="292" t="s">
        <v>390</v>
      </c>
      <c r="U99" s="292">
        <v>0</v>
      </c>
      <c r="V99" s="292">
        <v>2</v>
      </c>
      <c r="W99" s="282"/>
      <c r="X99" s="126">
        <f t="shared" si="19"/>
        <v>2</v>
      </c>
      <c r="Y99" s="125">
        <f t="shared" si="20"/>
        <v>3</v>
      </c>
    </row>
    <row r="100" spans="1:25" s="13" customFormat="1" ht="15" thickBot="1" x14ac:dyDescent="0.35">
      <c r="A100" s="302"/>
      <c r="B100" s="301"/>
      <c r="C100" s="58"/>
      <c r="D100" s="79"/>
      <c r="E100" s="79"/>
      <c r="F100" s="79" t="s">
        <v>172</v>
      </c>
      <c r="G100" s="81" t="s">
        <v>171</v>
      </c>
      <c r="H100" s="8"/>
      <c r="I100" s="8"/>
      <c r="J100" s="5"/>
      <c r="K100" s="108"/>
      <c r="S100" s="117" t="s">
        <v>37</v>
      </c>
      <c r="T100" s="292" t="s">
        <v>20</v>
      </c>
      <c r="U100" s="292">
        <v>1</v>
      </c>
      <c r="V100" s="292">
        <v>1</v>
      </c>
      <c r="W100" s="282"/>
      <c r="X100" s="126">
        <f t="shared" si="19"/>
        <v>1</v>
      </c>
      <c r="Y100" s="125">
        <f t="shared" si="20"/>
        <v>1</v>
      </c>
    </row>
    <row r="101" spans="1:25" s="13" customFormat="1" x14ac:dyDescent="0.3">
      <c r="A101" s="302"/>
      <c r="B101" s="301"/>
      <c r="C101" s="40">
        <v>38885</v>
      </c>
      <c r="D101" s="49" t="s">
        <v>389</v>
      </c>
      <c r="E101" s="49" t="s">
        <v>390</v>
      </c>
      <c r="F101" s="49">
        <v>0</v>
      </c>
      <c r="G101" s="51">
        <v>2</v>
      </c>
      <c r="H101" s="5"/>
      <c r="I101" s="5" t="s">
        <v>383</v>
      </c>
      <c r="J101" s="5"/>
      <c r="K101" s="108"/>
      <c r="S101" s="117" t="s">
        <v>389</v>
      </c>
      <c r="T101" s="292" t="s">
        <v>37</v>
      </c>
      <c r="U101" s="292">
        <v>0</v>
      </c>
      <c r="V101" s="292">
        <v>2</v>
      </c>
      <c r="W101" s="282"/>
      <c r="X101" s="126">
        <f t="shared" ref="X101:X102" si="21">(IF(U101&gt;V101,3,IF(U101=V101,1,2)))</f>
        <v>2</v>
      </c>
      <c r="Y101" s="125">
        <f t="shared" ref="Y101:Y102" si="22">(IF(V101&gt;U101,3,IF(U101=V101,1,2)))</f>
        <v>3</v>
      </c>
    </row>
    <row r="102" spans="1:25" s="13" customFormat="1" ht="15" thickBot="1" x14ac:dyDescent="0.35">
      <c r="A102" s="302"/>
      <c r="B102" s="301"/>
      <c r="C102" s="58"/>
      <c r="D102" s="79"/>
      <c r="E102" s="79"/>
      <c r="F102" s="79" t="s">
        <v>170</v>
      </c>
      <c r="G102" s="81" t="s">
        <v>183</v>
      </c>
      <c r="H102" s="8"/>
      <c r="I102" s="8"/>
      <c r="J102" s="5"/>
      <c r="K102" s="108"/>
      <c r="S102" s="117" t="s">
        <v>390</v>
      </c>
      <c r="T102" s="292" t="s">
        <v>20</v>
      </c>
      <c r="U102" s="292">
        <v>2</v>
      </c>
      <c r="V102" s="292">
        <v>1</v>
      </c>
      <c r="W102" s="282"/>
      <c r="X102" s="126">
        <f t="shared" si="21"/>
        <v>3</v>
      </c>
      <c r="Y102" s="125">
        <f t="shared" si="22"/>
        <v>2</v>
      </c>
    </row>
    <row r="103" spans="1:25" x14ac:dyDescent="0.3">
      <c r="A103" s="302"/>
      <c r="B103" s="301"/>
      <c r="C103" s="40">
        <v>38885</v>
      </c>
      <c r="D103" s="49" t="s">
        <v>37</v>
      </c>
      <c r="E103" s="49" t="s">
        <v>20</v>
      </c>
      <c r="F103" s="49">
        <v>1</v>
      </c>
      <c r="G103" s="51">
        <v>1</v>
      </c>
      <c r="H103" s="5"/>
      <c r="I103" s="5" t="s">
        <v>384</v>
      </c>
      <c r="J103" s="5"/>
      <c r="K103" s="108"/>
      <c r="S103" s="117"/>
      <c r="T103" s="292"/>
      <c r="U103" s="292"/>
      <c r="V103" s="292"/>
      <c r="W103" s="282"/>
      <c r="X103" s="126"/>
      <c r="Y103" s="125"/>
    </row>
    <row r="104" spans="1:25" ht="15" thickBot="1" x14ac:dyDescent="0.35">
      <c r="A104" s="302"/>
      <c r="B104" s="301"/>
      <c r="C104" s="58"/>
      <c r="D104" s="79"/>
      <c r="E104" s="79"/>
      <c r="F104" s="79" t="s">
        <v>172</v>
      </c>
      <c r="G104" s="81" t="s">
        <v>183</v>
      </c>
      <c r="H104" s="8"/>
      <c r="I104" s="8"/>
      <c r="J104" s="5"/>
      <c r="K104" s="108"/>
      <c r="S104" s="117"/>
      <c r="T104" s="292"/>
      <c r="U104" s="292"/>
      <c r="V104" s="292"/>
      <c r="W104" s="282"/>
      <c r="X104" s="126"/>
      <c r="Y104" s="125"/>
    </row>
    <row r="105" spans="1:25" x14ac:dyDescent="0.3">
      <c r="A105" s="302"/>
      <c r="B105" s="301"/>
      <c r="C105" s="269">
        <v>38890</v>
      </c>
      <c r="D105" s="270" t="s">
        <v>389</v>
      </c>
      <c r="E105" s="270" t="s">
        <v>37</v>
      </c>
      <c r="F105" s="270">
        <v>0</v>
      </c>
      <c r="G105" s="271">
        <v>2</v>
      </c>
      <c r="H105" s="20"/>
      <c r="I105" s="20" t="s">
        <v>153</v>
      </c>
      <c r="J105" s="5"/>
      <c r="K105" s="108"/>
      <c r="S105" s="117"/>
      <c r="T105" s="292"/>
      <c r="U105" s="292"/>
      <c r="V105" s="292"/>
      <c r="W105" s="282"/>
      <c r="X105" s="126"/>
      <c r="Y105" s="125"/>
    </row>
    <row r="106" spans="1:25" ht="15" thickBot="1" x14ac:dyDescent="0.35">
      <c r="A106" s="302"/>
      <c r="B106" s="301"/>
      <c r="C106" s="58"/>
      <c r="D106" s="79"/>
      <c r="E106" s="79"/>
      <c r="F106" s="79" t="s">
        <v>170</v>
      </c>
      <c r="G106" s="81" t="s">
        <v>183</v>
      </c>
      <c r="H106" s="8"/>
      <c r="I106" s="8"/>
      <c r="J106" s="5"/>
      <c r="K106" s="108"/>
      <c r="S106" s="117"/>
      <c r="T106" s="292"/>
      <c r="U106" s="292"/>
      <c r="V106" s="292"/>
      <c r="W106" s="292"/>
      <c r="X106" s="126"/>
      <c r="Y106" s="125"/>
    </row>
    <row r="107" spans="1:25" x14ac:dyDescent="0.3">
      <c r="A107" s="302"/>
      <c r="B107" s="17"/>
      <c r="C107" s="40">
        <v>38890</v>
      </c>
      <c r="D107" s="43" t="s">
        <v>390</v>
      </c>
      <c r="E107" s="43" t="s">
        <v>20</v>
      </c>
      <c r="F107" s="49">
        <v>2</v>
      </c>
      <c r="G107" s="51">
        <v>1</v>
      </c>
      <c r="H107" s="5"/>
      <c r="I107" s="5" t="s">
        <v>382</v>
      </c>
      <c r="J107" s="5"/>
      <c r="K107" s="108"/>
      <c r="S107" s="117"/>
      <c r="T107" s="282"/>
      <c r="U107" s="282"/>
      <c r="V107" s="282"/>
      <c r="W107" s="282"/>
      <c r="X107" s="126"/>
      <c r="Y107" s="125"/>
    </row>
    <row r="108" spans="1:25" x14ac:dyDescent="0.3">
      <c r="A108" s="156"/>
      <c r="B108" s="17"/>
      <c r="C108" s="17"/>
      <c r="D108" s="43"/>
      <c r="E108" s="43"/>
      <c r="F108" s="49" t="s">
        <v>215</v>
      </c>
      <c r="G108" s="51" t="s">
        <v>183</v>
      </c>
      <c r="H108" s="5"/>
      <c r="I108" s="5"/>
      <c r="J108" s="5"/>
      <c r="K108" s="108"/>
      <c r="S108" s="117"/>
      <c r="T108" s="282"/>
      <c r="U108" s="282"/>
      <c r="V108" s="282"/>
      <c r="W108" s="282"/>
      <c r="X108" s="126"/>
      <c r="Y108" s="125"/>
    </row>
    <row r="109" spans="1:25" x14ac:dyDescent="0.3">
      <c r="A109" s="156"/>
      <c r="B109" s="17"/>
      <c r="C109" s="17"/>
      <c r="D109" s="17"/>
      <c r="E109" s="17"/>
      <c r="F109" s="301"/>
      <c r="G109" s="5"/>
      <c r="H109" s="5"/>
      <c r="I109" s="5"/>
      <c r="J109" s="5"/>
      <c r="K109" s="108"/>
      <c r="S109" s="117"/>
      <c r="T109" s="282"/>
      <c r="U109" s="282"/>
      <c r="V109" s="282"/>
      <c r="W109" s="282"/>
      <c r="X109" s="282"/>
      <c r="Y109" s="118"/>
    </row>
    <row r="110" spans="1:25" ht="15" thickBot="1" x14ac:dyDescent="0.35">
      <c r="A110" s="302"/>
      <c r="B110" s="301" t="s">
        <v>298</v>
      </c>
      <c r="C110" s="301" t="s">
        <v>12</v>
      </c>
      <c r="D110" s="301" t="s">
        <v>13</v>
      </c>
      <c r="E110" s="301" t="s">
        <v>14</v>
      </c>
      <c r="F110" s="301" t="s">
        <v>15</v>
      </c>
      <c r="G110" s="5" t="s">
        <v>24</v>
      </c>
      <c r="H110" s="5" t="s">
        <v>25</v>
      </c>
      <c r="I110" s="5" t="s">
        <v>301</v>
      </c>
      <c r="J110" s="5"/>
      <c r="K110" s="108"/>
      <c r="S110" s="117"/>
      <c r="T110" s="282"/>
      <c r="U110" s="282"/>
      <c r="V110" s="282"/>
      <c r="W110" s="282"/>
      <c r="X110" s="282"/>
      <c r="Y110" s="118"/>
    </row>
    <row r="111" spans="1:25" x14ac:dyDescent="0.3">
      <c r="A111" s="302" t="s">
        <v>113</v>
      </c>
      <c r="B111" s="14" t="s">
        <v>20</v>
      </c>
      <c r="C111" s="305">
        <v>3</v>
      </c>
      <c r="D111" s="305">
        <v>1</v>
      </c>
      <c r="E111" s="305">
        <v>1</v>
      </c>
      <c r="F111" s="305">
        <v>1</v>
      </c>
      <c r="G111" s="15">
        <v>3</v>
      </c>
      <c r="H111" s="15">
        <v>3</v>
      </c>
      <c r="I111" s="15">
        <v>4</v>
      </c>
      <c r="J111" s="86"/>
      <c r="K111" s="108"/>
      <c r="S111" s="117"/>
      <c r="T111" s="282"/>
      <c r="U111" s="282"/>
      <c r="V111" s="282"/>
      <c r="W111" s="282"/>
      <c r="X111" s="126"/>
      <c r="Y111" s="125"/>
    </row>
    <row r="112" spans="1:25" s="13" customFormat="1" x14ac:dyDescent="0.3">
      <c r="A112" s="302"/>
      <c r="B112" s="21" t="s">
        <v>389</v>
      </c>
      <c r="C112" s="17"/>
      <c r="D112" s="17"/>
      <c r="E112" s="17"/>
      <c r="F112" s="17"/>
      <c r="G112" s="18"/>
      <c r="H112" s="18"/>
      <c r="I112" s="18"/>
      <c r="J112" s="86"/>
      <c r="K112" s="108"/>
      <c r="S112" s="117"/>
      <c r="T112" s="282"/>
      <c r="U112" s="282"/>
      <c r="V112" s="282"/>
      <c r="W112" s="282"/>
      <c r="X112" s="126"/>
      <c r="Y112" s="125"/>
    </row>
    <row r="113" spans="1:25" s="13" customFormat="1" x14ac:dyDescent="0.3">
      <c r="A113" s="302"/>
      <c r="B113" s="3" t="s">
        <v>37</v>
      </c>
      <c r="C113" s="301"/>
      <c r="D113" s="301"/>
      <c r="E113" s="301"/>
      <c r="F113" s="301"/>
      <c r="G113" s="5"/>
      <c r="H113" s="5"/>
      <c r="I113" s="5"/>
      <c r="J113" s="87"/>
      <c r="K113" s="108"/>
      <c r="S113" s="117"/>
      <c r="T113" s="282"/>
      <c r="U113" s="282"/>
      <c r="V113" s="282"/>
      <c r="W113" s="282"/>
      <c r="X113" s="126"/>
      <c r="Y113" s="125"/>
    </row>
    <row r="114" spans="1:25" s="13" customFormat="1" ht="15" thickBot="1" x14ac:dyDescent="0.35">
      <c r="A114" s="302"/>
      <c r="B114" s="7" t="s">
        <v>390</v>
      </c>
      <c r="C114" s="304"/>
      <c r="D114" s="304"/>
      <c r="E114" s="304"/>
      <c r="F114" s="304"/>
      <c r="G114" s="8"/>
      <c r="H114" s="8"/>
      <c r="I114" s="8"/>
      <c r="J114" s="87"/>
      <c r="K114" s="108"/>
      <c r="S114" s="117"/>
      <c r="T114" s="282"/>
      <c r="U114" s="282"/>
      <c r="V114" s="282"/>
      <c r="W114" s="282"/>
      <c r="X114" s="126"/>
      <c r="Y114" s="125"/>
    </row>
    <row r="115" spans="1:25" ht="15" thickBot="1" x14ac:dyDescent="0.35">
      <c r="A115" s="110"/>
      <c r="B115" s="36"/>
      <c r="C115" s="36"/>
      <c r="D115" s="36"/>
      <c r="E115" s="36"/>
      <c r="F115" s="36"/>
      <c r="G115" s="37"/>
      <c r="H115" s="37"/>
      <c r="I115" s="37"/>
      <c r="J115" s="37"/>
      <c r="K115" s="193"/>
      <c r="S115" s="117"/>
      <c r="T115" s="282"/>
      <c r="U115" s="282"/>
      <c r="V115" s="282"/>
      <c r="W115" s="282"/>
      <c r="X115" s="126"/>
      <c r="Y115" s="125"/>
    </row>
    <row r="116" spans="1:25" ht="15" thickTop="1" x14ac:dyDescent="0.3">
      <c r="A116" s="106"/>
      <c r="B116" s="25"/>
      <c r="C116" s="25"/>
      <c r="D116" s="25"/>
      <c r="E116" s="25"/>
      <c r="F116" s="25"/>
      <c r="G116" s="26"/>
      <c r="H116" s="26"/>
      <c r="I116" s="26"/>
      <c r="J116" s="26"/>
      <c r="K116" s="108"/>
      <c r="S116" s="117"/>
      <c r="T116" s="282"/>
      <c r="U116" s="282"/>
      <c r="V116" s="282"/>
      <c r="W116" s="282"/>
      <c r="X116" s="126"/>
      <c r="Y116" s="125"/>
    </row>
    <row r="117" spans="1:25" ht="21" x14ac:dyDescent="0.4">
      <c r="A117" s="302"/>
      <c r="B117" s="301"/>
      <c r="C117" s="301"/>
      <c r="D117" s="301"/>
      <c r="E117" s="301"/>
      <c r="F117" s="300" t="s">
        <v>247</v>
      </c>
      <c r="G117" s="5"/>
      <c r="H117" s="5"/>
      <c r="I117" s="5"/>
      <c r="J117" s="5"/>
      <c r="K117" s="108"/>
      <c r="S117" s="117"/>
      <c r="T117" s="282"/>
      <c r="U117" s="282"/>
      <c r="V117" s="282"/>
      <c r="W117" s="282"/>
      <c r="X117" s="126"/>
      <c r="Y117" s="125"/>
    </row>
    <row r="118" spans="1:25" x14ac:dyDescent="0.3">
      <c r="A118" s="302"/>
      <c r="B118" s="301"/>
      <c r="C118" s="301"/>
      <c r="D118" s="301"/>
      <c r="E118" s="301"/>
      <c r="F118" s="28"/>
      <c r="G118" s="5"/>
      <c r="H118" s="5"/>
      <c r="I118" s="5"/>
      <c r="J118" s="5"/>
      <c r="K118" s="108"/>
      <c r="S118" s="117"/>
      <c r="T118" s="282"/>
      <c r="U118" s="282"/>
      <c r="V118" s="282"/>
      <c r="W118" s="282"/>
      <c r="X118" s="126"/>
      <c r="Y118" s="125"/>
    </row>
    <row r="119" spans="1:25" x14ac:dyDescent="0.3">
      <c r="A119" s="302"/>
      <c r="B119" s="301"/>
      <c r="C119" s="40">
        <v>38880</v>
      </c>
      <c r="D119" s="49" t="s">
        <v>152</v>
      </c>
      <c r="E119" s="49" t="s">
        <v>351</v>
      </c>
      <c r="F119" s="49">
        <v>3</v>
      </c>
      <c r="G119" s="51">
        <v>1</v>
      </c>
      <c r="H119" s="5"/>
      <c r="I119" s="5" t="s">
        <v>384</v>
      </c>
      <c r="J119" s="5"/>
      <c r="K119" s="108"/>
      <c r="S119" s="117" t="s">
        <v>152</v>
      </c>
      <c r="T119" s="282" t="s">
        <v>351</v>
      </c>
      <c r="U119" s="282">
        <v>3</v>
      </c>
      <c r="V119" s="282">
        <v>1</v>
      </c>
      <c r="W119" s="282"/>
      <c r="X119" s="126">
        <f t="shared" ref="X119:X121" si="23">(IF(U119&gt;V119,3,IF(U119=V119,1,2)))</f>
        <v>3</v>
      </c>
      <c r="Y119" s="125">
        <f t="shared" ref="Y119:Y121" si="24">(IF(V119&gt;U119,3,IF(U119=V119,1,2)))</f>
        <v>2</v>
      </c>
    </row>
    <row r="120" spans="1:25" ht="15" thickBot="1" x14ac:dyDescent="0.35">
      <c r="A120" s="302"/>
      <c r="B120" s="301"/>
      <c r="C120" s="58"/>
      <c r="D120" s="79"/>
      <c r="E120" s="79"/>
      <c r="F120" s="79" t="s">
        <v>170</v>
      </c>
      <c r="G120" s="81" t="s">
        <v>183</v>
      </c>
      <c r="H120" s="8"/>
      <c r="I120" s="8"/>
      <c r="J120" s="5"/>
      <c r="K120" s="108"/>
      <c r="S120" s="117" t="s">
        <v>9</v>
      </c>
      <c r="T120" s="292" t="s">
        <v>353</v>
      </c>
      <c r="U120" s="292">
        <v>1</v>
      </c>
      <c r="V120" s="292">
        <v>0</v>
      </c>
      <c r="W120" s="282"/>
      <c r="X120" s="126">
        <f t="shared" si="23"/>
        <v>3</v>
      </c>
      <c r="Y120" s="125">
        <f t="shared" si="24"/>
        <v>2</v>
      </c>
    </row>
    <row r="121" spans="1:25" s="13" customFormat="1" x14ac:dyDescent="0.3">
      <c r="A121" s="302"/>
      <c r="B121" s="301"/>
      <c r="C121" s="40">
        <v>38881</v>
      </c>
      <c r="D121" s="49" t="s">
        <v>9</v>
      </c>
      <c r="E121" s="49" t="s">
        <v>353</v>
      </c>
      <c r="F121" s="49">
        <v>1</v>
      </c>
      <c r="G121" s="51">
        <v>0</v>
      </c>
      <c r="H121" s="5"/>
      <c r="I121" s="5" t="s">
        <v>149</v>
      </c>
      <c r="J121" s="5"/>
      <c r="K121" s="108"/>
      <c r="S121" s="117" t="s">
        <v>351</v>
      </c>
      <c r="T121" s="292" t="s">
        <v>353</v>
      </c>
      <c r="U121" s="292">
        <v>0</v>
      </c>
      <c r="V121" s="292">
        <v>0</v>
      </c>
      <c r="W121" s="282"/>
      <c r="X121" s="126">
        <f t="shared" si="23"/>
        <v>1</v>
      </c>
      <c r="Y121" s="125">
        <f t="shared" si="24"/>
        <v>1</v>
      </c>
    </row>
    <row r="122" spans="1:25" s="13" customFormat="1" ht="15" thickBot="1" x14ac:dyDescent="0.35">
      <c r="A122" s="302"/>
      <c r="B122" s="301"/>
      <c r="C122" s="58"/>
      <c r="D122" s="79"/>
      <c r="E122" s="79"/>
      <c r="F122" s="79" t="s">
        <v>172</v>
      </c>
      <c r="G122" s="81" t="s">
        <v>171</v>
      </c>
      <c r="H122" s="8"/>
      <c r="I122" s="8"/>
      <c r="J122" s="5"/>
      <c r="K122" s="108"/>
      <c r="S122" s="117" t="s">
        <v>9</v>
      </c>
      <c r="T122" s="292" t="s">
        <v>152</v>
      </c>
      <c r="U122" s="292">
        <v>2</v>
      </c>
      <c r="V122" s="292">
        <v>0</v>
      </c>
      <c r="W122" s="282"/>
      <c r="X122" s="126">
        <f t="shared" ref="X122:X124" si="25">(IF(U122&gt;V122,3,IF(U122=V122,1,2)))</f>
        <v>3</v>
      </c>
      <c r="Y122" s="125">
        <f t="shared" ref="Y122:Y124" si="26">(IF(V122&gt;U122,3,IF(U122=V122,1,2)))</f>
        <v>2</v>
      </c>
    </row>
    <row r="123" spans="1:25" s="13" customFormat="1" ht="15" thickBot="1" x14ac:dyDescent="0.35">
      <c r="A123" s="302"/>
      <c r="B123" s="301"/>
      <c r="C123" s="88">
        <v>38886</v>
      </c>
      <c r="D123" s="89" t="s">
        <v>351</v>
      </c>
      <c r="E123" s="89" t="s">
        <v>353</v>
      </c>
      <c r="F123" s="89">
        <v>0</v>
      </c>
      <c r="G123" s="90">
        <v>0</v>
      </c>
      <c r="H123" s="91"/>
      <c r="I123" s="91" t="s">
        <v>382</v>
      </c>
      <c r="J123" s="5"/>
      <c r="K123" s="108"/>
      <c r="S123" s="122" t="s">
        <v>351</v>
      </c>
      <c r="T123" s="17" t="s">
        <v>9</v>
      </c>
      <c r="U123" s="17">
        <v>1</v>
      </c>
      <c r="V123" s="17">
        <v>4</v>
      </c>
      <c r="W123" s="282"/>
      <c r="X123" s="126">
        <f t="shared" si="25"/>
        <v>2</v>
      </c>
      <c r="Y123" s="125">
        <f t="shared" si="26"/>
        <v>3</v>
      </c>
    </row>
    <row r="124" spans="1:25" x14ac:dyDescent="0.3">
      <c r="A124" s="302"/>
      <c r="B124" s="301"/>
      <c r="C124" s="40">
        <v>38886</v>
      </c>
      <c r="D124" s="49" t="s">
        <v>9</v>
      </c>
      <c r="E124" s="49" t="s">
        <v>152</v>
      </c>
      <c r="F124" s="49">
        <v>2</v>
      </c>
      <c r="G124" s="51">
        <v>0</v>
      </c>
      <c r="H124" s="5"/>
      <c r="I124" s="5" t="s">
        <v>161</v>
      </c>
      <c r="J124" s="5"/>
      <c r="K124" s="108"/>
      <c r="S124" s="117" t="s">
        <v>353</v>
      </c>
      <c r="T124" s="292" t="s">
        <v>152</v>
      </c>
      <c r="U124" s="292">
        <v>2</v>
      </c>
      <c r="V124" s="292">
        <v>2</v>
      </c>
      <c r="W124" s="282"/>
      <c r="X124" s="126">
        <f t="shared" si="25"/>
        <v>1</v>
      </c>
      <c r="Y124" s="125">
        <f t="shared" si="26"/>
        <v>1</v>
      </c>
    </row>
    <row r="125" spans="1:25" ht="15" thickBot="1" x14ac:dyDescent="0.35">
      <c r="A125" s="302"/>
      <c r="B125" s="301"/>
      <c r="C125" s="58"/>
      <c r="D125" s="79"/>
      <c r="E125" s="79"/>
      <c r="F125" s="79" t="s">
        <v>170</v>
      </c>
      <c r="G125" s="81" t="s">
        <v>183</v>
      </c>
      <c r="H125" s="8"/>
      <c r="I125" s="8"/>
      <c r="J125" s="5"/>
      <c r="K125" s="108"/>
      <c r="S125" s="117"/>
      <c r="T125" s="292"/>
      <c r="U125" s="292"/>
      <c r="V125" s="292"/>
      <c r="W125" s="282"/>
      <c r="X125" s="126"/>
      <c r="Y125" s="125"/>
    </row>
    <row r="126" spans="1:25" x14ac:dyDescent="0.3">
      <c r="A126" s="302"/>
      <c r="B126" s="301"/>
      <c r="C126" s="40">
        <v>38890</v>
      </c>
      <c r="D126" s="49" t="s">
        <v>351</v>
      </c>
      <c r="E126" s="49" t="s">
        <v>9</v>
      </c>
      <c r="F126" s="49">
        <v>1</v>
      </c>
      <c r="G126" s="51">
        <v>4</v>
      </c>
      <c r="H126" s="5"/>
      <c r="I126" s="5" t="s">
        <v>156</v>
      </c>
      <c r="J126" s="5"/>
      <c r="K126" s="108"/>
      <c r="S126" s="117"/>
      <c r="T126" s="292"/>
      <c r="U126" s="292"/>
      <c r="V126" s="292"/>
      <c r="W126" s="95"/>
      <c r="X126" s="95"/>
      <c r="Y126" s="169"/>
    </row>
    <row r="127" spans="1:25" ht="15" thickBot="1" x14ac:dyDescent="0.35">
      <c r="A127" s="302"/>
      <c r="B127" s="301"/>
      <c r="C127" s="58"/>
      <c r="D127" s="79"/>
      <c r="E127" s="79"/>
      <c r="F127" s="79" t="s">
        <v>172</v>
      </c>
      <c r="G127" s="81" t="s">
        <v>183</v>
      </c>
      <c r="H127" s="8"/>
      <c r="I127" s="8"/>
      <c r="J127" s="5"/>
      <c r="K127" s="108"/>
      <c r="S127" s="117"/>
      <c r="T127" s="292"/>
      <c r="U127" s="292"/>
      <c r="V127" s="292"/>
      <c r="W127" s="282"/>
      <c r="X127" s="126"/>
      <c r="Y127" s="125"/>
    </row>
    <row r="128" spans="1:25" x14ac:dyDescent="0.3">
      <c r="A128" s="302"/>
      <c r="B128" s="17"/>
      <c r="C128" s="40">
        <v>38890</v>
      </c>
      <c r="D128" s="43" t="s">
        <v>353</v>
      </c>
      <c r="E128" s="43" t="s">
        <v>152</v>
      </c>
      <c r="F128" s="49">
        <v>2</v>
      </c>
      <c r="G128" s="51">
        <v>2</v>
      </c>
      <c r="H128" s="5"/>
      <c r="I128" s="5" t="s">
        <v>162</v>
      </c>
      <c r="J128" s="5"/>
      <c r="K128" s="108"/>
      <c r="S128" s="117"/>
      <c r="T128" s="282"/>
      <c r="U128" s="282"/>
      <c r="V128" s="282"/>
      <c r="W128" s="282"/>
      <c r="X128" s="126"/>
      <c r="Y128" s="125"/>
    </row>
    <row r="129" spans="1:25" x14ac:dyDescent="0.3">
      <c r="A129" s="156"/>
      <c r="B129" s="17"/>
      <c r="C129" s="17"/>
      <c r="D129" s="43"/>
      <c r="E129" s="43"/>
      <c r="F129" s="49" t="s">
        <v>172</v>
      </c>
      <c r="G129" s="51" t="s">
        <v>183</v>
      </c>
      <c r="H129" s="5"/>
      <c r="I129" s="5"/>
      <c r="J129" s="5"/>
      <c r="K129" s="108"/>
      <c r="S129" s="117"/>
      <c r="T129" s="282"/>
      <c r="U129" s="282"/>
      <c r="V129" s="282"/>
      <c r="W129" s="282"/>
      <c r="X129" s="126"/>
      <c r="Y129" s="125"/>
    </row>
    <row r="130" spans="1:25" x14ac:dyDescent="0.3">
      <c r="A130" s="156"/>
      <c r="B130" s="17"/>
      <c r="C130" s="17"/>
      <c r="D130" s="17"/>
      <c r="E130" s="17"/>
      <c r="F130" s="301"/>
      <c r="G130" s="5"/>
      <c r="H130" s="5"/>
      <c r="I130" s="5"/>
      <c r="J130" s="5"/>
      <c r="K130" s="108"/>
      <c r="S130" s="117"/>
      <c r="T130" s="282"/>
      <c r="U130" s="282"/>
      <c r="V130" s="282"/>
      <c r="W130" s="282"/>
      <c r="X130" s="126"/>
      <c r="Y130" s="125"/>
    </row>
    <row r="131" spans="1:25" s="13" customFormat="1" ht="15" thickBot="1" x14ac:dyDescent="0.35">
      <c r="A131" s="302"/>
      <c r="B131" s="301" t="s">
        <v>298</v>
      </c>
      <c r="C131" s="301" t="s">
        <v>12</v>
      </c>
      <c r="D131" s="301" t="s">
        <v>13</v>
      </c>
      <c r="E131" s="301" t="s">
        <v>14</v>
      </c>
      <c r="F131" s="301" t="s">
        <v>15</v>
      </c>
      <c r="G131" s="5" t="s">
        <v>24</v>
      </c>
      <c r="H131" s="5" t="s">
        <v>25</v>
      </c>
      <c r="I131" s="5" t="s">
        <v>301</v>
      </c>
      <c r="J131" s="5"/>
      <c r="K131" s="108"/>
      <c r="S131" s="117"/>
      <c r="T131" s="282"/>
      <c r="U131" s="282"/>
      <c r="V131" s="282"/>
      <c r="W131" s="282"/>
      <c r="X131" s="126"/>
      <c r="Y131" s="125"/>
    </row>
    <row r="132" spans="1:25" s="13" customFormat="1" x14ac:dyDescent="0.3">
      <c r="A132" s="302" t="s">
        <v>113</v>
      </c>
      <c r="B132" s="14" t="s">
        <v>152</v>
      </c>
      <c r="C132" s="305">
        <v>3</v>
      </c>
      <c r="D132" s="305">
        <v>2</v>
      </c>
      <c r="E132" s="305">
        <v>0</v>
      </c>
      <c r="F132" s="305">
        <v>1</v>
      </c>
      <c r="G132" s="15">
        <v>4</v>
      </c>
      <c r="H132" s="15">
        <v>3</v>
      </c>
      <c r="I132" s="15">
        <v>6</v>
      </c>
      <c r="J132" s="86"/>
      <c r="K132" s="108"/>
      <c r="S132" s="168"/>
      <c r="T132" s="95"/>
      <c r="U132" s="95"/>
      <c r="V132" s="95"/>
      <c r="W132" s="95"/>
      <c r="X132" s="95"/>
      <c r="Y132" s="169"/>
    </row>
    <row r="133" spans="1:25" s="13" customFormat="1" x14ac:dyDescent="0.3">
      <c r="A133" s="302"/>
      <c r="B133" s="21" t="s">
        <v>351</v>
      </c>
      <c r="C133" s="17"/>
      <c r="D133" s="17"/>
      <c r="E133" s="17"/>
      <c r="F133" s="17"/>
      <c r="G133" s="18"/>
      <c r="H133" s="18"/>
      <c r="I133" s="18"/>
      <c r="J133" s="86"/>
      <c r="K133" s="108"/>
      <c r="S133" s="168"/>
      <c r="T133" s="95"/>
      <c r="U133" s="95"/>
      <c r="V133" s="95"/>
      <c r="W133" s="95"/>
      <c r="X133" s="95"/>
      <c r="Y133" s="169"/>
    </row>
    <row r="134" spans="1:25" x14ac:dyDescent="0.3">
      <c r="A134" s="302"/>
      <c r="B134" s="3" t="s">
        <v>9</v>
      </c>
      <c r="C134" s="301"/>
      <c r="D134" s="301"/>
      <c r="E134" s="301"/>
      <c r="F134" s="301"/>
      <c r="G134" s="5"/>
      <c r="H134" s="5"/>
      <c r="I134" s="5"/>
      <c r="J134" s="87"/>
      <c r="K134" s="108"/>
      <c r="S134" s="117"/>
      <c r="T134" s="282"/>
      <c r="U134" s="282"/>
      <c r="V134" s="282"/>
      <c r="W134" s="282"/>
      <c r="X134" s="126"/>
      <c r="Y134" s="125"/>
    </row>
    <row r="135" spans="1:25" ht="15" thickBot="1" x14ac:dyDescent="0.35">
      <c r="A135" s="302"/>
      <c r="B135" s="7" t="s">
        <v>353</v>
      </c>
      <c r="C135" s="304"/>
      <c r="D135" s="304"/>
      <c r="E135" s="304"/>
      <c r="F135" s="304"/>
      <c r="G135" s="8"/>
      <c r="H135" s="8"/>
      <c r="I135" s="8"/>
      <c r="J135" s="87"/>
      <c r="K135" s="108"/>
      <c r="S135" s="117"/>
      <c r="T135" s="282"/>
      <c r="U135" s="282"/>
      <c r="V135" s="282"/>
      <c r="W135" s="282"/>
      <c r="X135" s="126"/>
      <c r="Y135" s="125"/>
    </row>
    <row r="136" spans="1:25" s="13" customFormat="1" ht="15" thickBot="1" x14ac:dyDescent="0.35">
      <c r="A136" s="110"/>
      <c r="B136" s="36"/>
      <c r="C136" s="36"/>
      <c r="D136" s="36"/>
      <c r="E136" s="36"/>
      <c r="F136" s="36"/>
      <c r="G136" s="37"/>
      <c r="H136" s="37"/>
      <c r="I136" s="37"/>
      <c r="J136" s="37"/>
      <c r="K136" s="193"/>
      <c r="S136" s="117"/>
      <c r="T136" s="282"/>
      <c r="U136" s="282"/>
      <c r="V136" s="282"/>
      <c r="W136" s="282"/>
      <c r="X136" s="126"/>
      <c r="Y136" s="125"/>
    </row>
    <row r="137" spans="1:25" ht="15" thickTop="1" x14ac:dyDescent="0.3">
      <c r="A137" s="106"/>
      <c r="B137" s="25"/>
      <c r="C137" s="25"/>
      <c r="D137" s="25"/>
      <c r="E137" s="25"/>
      <c r="F137" s="25"/>
      <c r="G137" s="26"/>
      <c r="H137" s="26"/>
      <c r="I137" s="26"/>
      <c r="J137" s="26"/>
      <c r="K137" s="108"/>
      <c r="S137" s="117"/>
      <c r="T137" s="282"/>
      <c r="U137" s="282"/>
      <c r="V137" s="282"/>
      <c r="W137" s="282"/>
      <c r="X137" s="126"/>
      <c r="Y137" s="125"/>
    </row>
    <row r="138" spans="1:25" ht="21" x14ac:dyDescent="0.4">
      <c r="A138" s="302"/>
      <c r="B138" s="301"/>
      <c r="C138" s="301"/>
      <c r="D138" s="301"/>
      <c r="E138" s="301"/>
      <c r="F138" s="300" t="s">
        <v>349</v>
      </c>
      <c r="G138" s="5"/>
      <c r="H138" s="5"/>
      <c r="I138" s="5"/>
      <c r="J138" s="5"/>
      <c r="K138" s="108"/>
      <c r="S138" s="117"/>
      <c r="T138" s="282"/>
      <c r="U138" s="282"/>
      <c r="V138" s="282"/>
      <c r="W138" s="282"/>
      <c r="X138" s="126"/>
      <c r="Y138" s="125"/>
    </row>
    <row r="139" spans="1:25" x14ac:dyDescent="0.3">
      <c r="A139" s="302"/>
      <c r="B139" s="301"/>
      <c r="C139" s="301"/>
      <c r="D139" s="301"/>
      <c r="E139" s="301"/>
      <c r="F139" s="28"/>
      <c r="G139" s="5"/>
      <c r="H139" s="5"/>
      <c r="I139" s="5"/>
      <c r="J139" s="5"/>
      <c r="K139" s="108"/>
      <c r="S139" s="117"/>
      <c r="T139" s="282"/>
      <c r="U139" s="282"/>
      <c r="V139" s="282"/>
      <c r="W139" s="282"/>
      <c r="X139" s="126"/>
      <c r="Y139" s="125"/>
    </row>
    <row r="140" spans="1:25" x14ac:dyDescent="0.3">
      <c r="A140" s="302"/>
      <c r="B140" s="301"/>
      <c r="C140" s="40">
        <v>38881</v>
      </c>
      <c r="D140" s="49" t="s">
        <v>90</v>
      </c>
      <c r="E140" s="49" t="s">
        <v>391</v>
      </c>
      <c r="F140" s="49">
        <v>2</v>
      </c>
      <c r="G140" s="51">
        <v>1</v>
      </c>
      <c r="H140" s="5"/>
      <c r="I140" s="5" t="s">
        <v>154</v>
      </c>
      <c r="J140" s="5"/>
      <c r="K140" s="108"/>
      <c r="S140" s="117" t="s">
        <v>90</v>
      </c>
      <c r="T140" s="282" t="s">
        <v>391</v>
      </c>
      <c r="U140" s="282">
        <v>2</v>
      </c>
      <c r="V140" s="282">
        <v>1</v>
      </c>
      <c r="W140" s="282"/>
      <c r="X140" s="126">
        <f t="shared" ref="X140:X141" si="27">(IF(U140&gt;V140,3,IF(U140=V140,1,2)))</f>
        <v>3</v>
      </c>
      <c r="Y140" s="125">
        <f t="shared" ref="Y140:Y141" si="28">(IF(V140&gt;U140,3,IF(U140=V140,1,2)))</f>
        <v>2</v>
      </c>
    </row>
    <row r="141" spans="1:25" ht="15" thickBot="1" x14ac:dyDescent="0.35">
      <c r="A141" s="302"/>
      <c r="B141" s="301"/>
      <c r="C141" s="58"/>
      <c r="D141" s="79"/>
      <c r="E141" s="79"/>
      <c r="F141" s="79" t="s">
        <v>170</v>
      </c>
      <c r="G141" s="81" t="s">
        <v>183</v>
      </c>
      <c r="H141" s="8"/>
      <c r="I141" s="8"/>
      <c r="J141" s="5"/>
      <c r="K141" s="108"/>
      <c r="S141" s="117" t="s">
        <v>3</v>
      </c>
      <c r="T141" s="296" t="s">
        <v>43</v>
      </c>
      <c r="U141" s="296">
        <v>0</v>
      </c>
      <c r="V141" s="296">
        <v>0</v>
      </c>
      <c r="W141" s="282"/>
      <c r="X141" s="126">
        <f t="shared" si="27"/>
        <v>1</v>
      </c>
      <c r="Y141" s="125">
        <f t="shared" si="28"/>
        <v>1</v>
      </c>
    </row>
    <row r="142" spans="1:25" s="13" customFormat="1" ht="15" thickBot="1" x14ac:dyDescent="0.35">
      <c r="A142" s="302"/>
      <c r="B142" s="301"/>
      <c r="C142" s="88">
        <v>38881</v>
      </c>
      <c r="D142" s="89" t="s">
        <v>3</v>
      </c>
      <c r="E142" s="89" t="s">
        <v>43</v>
      </c>
      <c r="F142" s="89">
        <v>0</v>
      </c>
      <c r="G142" s="90">
        <v>0</v>
      </c>
      <c r="H142" s="91"/>
      <c r="I142" s="91" t="s">
        <v>162</v>
      </c>
      <c r="J142" s="5"/>
      <c r="K142" s="108"/>
      <c r="S142" s="117" t="s">
        <v>3</v>
      </c>
      <c r="T142" s="296" t="s">
        <v>90</v>
      </c>
      <c r="U142" s="296">
        <v>1</v>
      </c>
      <c r="V142" s="296">
        <v>1</v>
      </c>
      <c r="W142" s="282"/>
      <c r="X142" s="126">
        <f t="shared" ref="X142:X145" si="29">(IF(U142&gt;V142,3,IF(U142=V142,1,2)))</f>
        <v>1</v>
      </c>
      <c r="Y142" s="125">
        <f t="shared" ref="Y142:Y145" si="30">(IF(V142&gt;U142,3,IF(U142=V142,1,2)))</f>
        <v>1</v>
      </c>
    </row>
    <row r="143" spans="1:25" s="13" customFormat="1" x14ac:dyDescent="0.3">
      <c r="A143" s="302"/>
      <c r="B143" s="301"/>
      <c r="C143" s="40">
        <v>38886</v>
      </c>
      <c r="D143" s="49" t="s">
        <v>3</v>
      </c>
      <c r="E143" s="49" t="s">
        <v>90</v>
      </c>
      <c r="F143" s="49">
        <v>1</v>
      </c>
      <c r="G143" s="51">
        <v>1</v>
      </c>
      <c r="H143" s="5"/>
      <c r="I143" s="5" t="s">
        <v>387</v>
      </c>
      <c r="J143" s="5"/>
      <c r="K143" s="108"/>
      <c r="S143" s="117" t="s">
        <v>391</v>
      </c>
      <c r="T143" s="296" t="s">
        <v>43</v>
      </c>
      <c r="U143" s="296">
        <v>0</v>
      </c>
      <c r="V143" s="296">
        <v>2</v>
      </c>
      <c r="W143" s="282"/>
      <c r="X143" s="126">
        <f t="shared" si="29"/>
        <v>2</v>
      </c>
      <c r="Y143" s="125">
        <f t="shared" si="30"/>
        <v>3</v>
      </c>
    </row>
    <row r="144" spans="1:25" ht="15" thickBot="1" x14ac:dyDescent="0.35">
      <c r="A144" s="302"/>
      <c r="B144" s="301"/>
      <c r="C144" s="58"/>
      <c r="D144" s="79"/>
      <c r="E144" s="79"/>
      <c r="F144" s="79" t="s">
        <v>172</v>
      </c>
      <c r="G144" s="81" t="s">
        <v>171</v>
      </c>
      <c r="H144" s="8"/>
      <c r="I144" s="8"/>
      <c r="J144" s="5"/>
      <c r="K144" s="108"/>
      <c r="S144" s="122" t="s">
        <v>391</v>
      </c>
      <c r="T144" s="17" t="s">
        <v>3</v>
      </c>
      <c r="U144" s="17">
        <v>0</v>
      </c>
      <c r="V144" s="17">
        <v>2</v>
      </c>
      <c r="W144" s="282"/>
      <c r="X144" s="126">
        <f t="shared" si="29"/>
        <v>2</v>
      </c>
      <c r="Y144" s="125">
        <f t="shared" si="30"/>
        <v>3</v>
      </c>
    </row>
    <row r="145" spans="1:25" x14ac:dyDescent="0.3">
      <c r="A145" s="302"/>
      <c r="B145" s="301"/>
      <c r="C145" s="40">
        <v>38887</v>
      </c>
      <c r="D145" s="49" t="s">
        <v>391</v>
      </c>
      <c r="E145" s="49" t="s">
        <v>43</v>
      </c>
      <c r="F145" s="49">
        <v>0</v>
      </c>
      <c r="G145" s="51">
        <v>2</v>
      </c>
      <c r="H145" s="5"/>
      <c r="I145" s="5" t="s">
        <v>156</v>
      </c>
      <c r="J145" s="5"/>
      <c r="K145" s="108"/>
      <c r="S145" s="117" t="s">
        <v>43</v>
      </c>
      <c r="T145" s="296" t="s">
        <v>90</v>
      </c>
      <c r="U145" s="296">
        <v>2</v>
      </c>
      <c r="V145" s="296">
        <v>0</v>
      </c>
      <c r="W145" s="282"/>
      <c r="X145" s="126">
        <f t="shared" si="29"/>
        <v>3</v>
      </c>
      <c r="Y145" s="125">
        <f t="shared" si="30"/>
        <v>2</v>
      </c>
    </row>
    <row r="146" spans="1:25" ht="15" thickBot="1" x14ac:dyDescent="0.35">
      <c r="A146" s="302"/>
      <c r="B146" s="301"/>
      <c r="C146" s="58"/>
      <c r="D146" s="79"/>
      <c r="E146" s="79"/>
      <c r="F146" s="79" t="s">
        <v>170</v>
      </c>
      <c r="G146" s="81" t="s">
        <v>183</v>
      </c>
      <c r="H146" s="8"/>
      <c r="I146" s="8"/>
      <c r="J146" s="5"/>
      <c r="K146" s="108"/>
      <c r="S146" s="117"/>
      <c r="T146" s="296"/>
      <c r="U146" s="296"/>
      <c r="V146" s="296"/>
      <c r="W146" s="282"/>
      <c r="X146" s="126"/>
      <c r="Y146" s="125"/>
    </row>
    <row r="147" spans="1:25" x14ac:dyDescent="0.3">
      <c r="A147" s="302"/>
      <c r="B147" s="301"/>
      <c r="C147" s="40">
        <v>38891</v>
      </c>
      <c r="D147" s="49" t="s">
        <v>391</v>
      </c>
      <c r="E147" s="49" t="s">
        <v>3</v>
      </c>
      <c r="F147" s="49">
        <v>0</v>
      </c>
      <c r="G147" s="51">
        <v>2</v>
      </c>
      <c r="H147" s="5"/>
      <c r="I147" s="5" t="s">
        <v>383</v>
      </c>
      <c r="J147" s="5"/>
      <c r="K147" s="108"/>
      <c r="S147" s="117"/>
      <c r="T147" s="296"/>
      <c r="U147" s="296"/>
      <c r="V147" s="296"/>
      <c r="W147" s="95"/>
      <c r="X147" s="95"/>
      <c r="Y147" s="169"/>
    </row>
    <row r="148" spans="1:25" ht="15" thickBot="1" x14ac:dyDescent="0.35">
      <c r="A148" s="302"/>
      <c r="B148" s="301"/>
      <c r="C148" s="58"/>
      <c r="D148" s="79"/>
      <c r="E148" s="79"/>
      <c r="F148" s="79" t="s">
        <v>170</v>
      </c>
      <c r="G148" s="81" t="s">
        <v>171</v>
      </c>
      <c r="H148" s="8"/>
      <c r="I148" s="8"/>
      <c r="J148" s="5"/>
      <c r="K148" s="108"/>
      <c r="S148" s="117"/>
      <c r="T148" s="296"/>
      <c r="U148" s="296"/>
      <c r="V148" s="296"/>
      <c r="W148" s="282"/>
      <c r="X148" s="126"/>
      <c r="Y148" s="125"/>
    </row>
    <row r="149" spans="1:25" x14ac:dyDescent="0.3">
      <c r="A149" s="302"/>
      <c r="B149" s="17"/>
      <c r="C149" s="40">
        <v>38891</v>
      </c>
      <c r="D149" s="43" t="s">
        <v>43</v>
      </c>
      <c r="E149" s="43" t="s">
        <v>90</v>
      </c>
      <c r="F149" s="49">
        <v>2</v>
      </c>
      <c r="G149" s="51">
        <v>0</v>
      </c>
      <c r="H149" s="5"/>
      <c r="I149" s="5" t="s">
        <v>159</v>
      </c>
      <c r="J149" s="5"/>
      <c r="K149" s="108"/>
      <c r="S149" s="117"/>
      <c r="T149" s="282"/>
      <c r="U149" s="282"/>
      <c r="V149" s="282"/>
      <c r="W149" s="282"/>
      <c r="X149" s="126"/>
      <c r="Y149" s="125"/>
    </row>
    <row r="150" spans="1:25" x14ac:dyDescent="0.3">
      <c r="A150" s="156"/>
      <c r="B150" s="17"/>
      <c r="C150" s="17"/>
      <c r="D150" s="43"/>
      <c r="E150" s="43"/>
      <c r="F150" s="49" t="s">
        <v>172</v>
      </c>
      <c r="G150" s="51" t="s">
        <v>171</v>
      </c>
      <c r="H150" s="5"/>
      <c r="I150" s="5"/>
      <c r="J150" s="5"/>
      <c r="K150" s="108"/>
      <c r="S150" s="117"/>
      <c r="T150" s="282"/>
      <c r="U150" s="282"/>
      <c r="V150" s="282"/>
      <c r="W150" s="282"/>
      <c r="X150" s="126"/>
      <c r="Y150" s="125"/>
    </row>
    <row r="151" spans="1:25" x14ac:dyDescent="0.3">
      <c r="A151" s="156"/>
      <c r="B151" s="17"/>
      <c r="C151" s="17"/>
      <c r="D151" s="17"/>
      <c r="E151" s="17"/>
      <c r="F151" s="301"/>
      <c r="G151" s="5"/>
      <c r="H151" s="5"/>
      <c r="I151" s="5"/>
      <c r="J151" s="5"/>
      <c r="K151" s="108"/>
      <c r="S151" s="117"/>
      <c r="T151" s="282"/>
      <c r="U151" s="282"/>
      <c r="V151" s="282"/>
      <c r="W151" s="282"/>
      <c r="X151" s="126"/>
      <c r="Y151" s="125"/>
    </row>
    <row r="152" spans="1:25" s="13" customFormat="1" ht="15" thickBot="1" x14ac:dyDescent="0.35">
      <c r="A152" s="302"/>
      <c r="B152" s="301" t="s">
        <v>298</v>
      </c>
      <c r="C152" s="301" t="s">
        <v>12</v>
      </c>
      <c r="D152" s="301" t="s">
        <v>13</v>
      </c>
      <c r="E152" s="301" t="s">
        <v>14</v>
      </c>
      <c r="F152" s="301" t="s">
        <v>15</v>
      </c>
      <c r="G152" s="5" t="s">
        <v>24</v>
      </c>
      <c r="H152" s="5" t="s">
        <v>25</v>
      </c>
      <c r="I152" s="5" t="s">
        <v>301</v>
      </c>
      <c r="J152" s="5"/>
      <c r="K152" s="108"/>
      <c r="S152" s="117"/>
      <c r="T152" s="282"/>
      <c r="U152" s="282"/>
      <c r="V152" s="282"/>
      <c r="W152" s="282"/>
      <c r="X152" s="126"/>
      <c r="Y152" s="125"/>
    </row>
    <row r="153" spans="1:25" s="13" customFormat="1" x14ac:dyDescent="0.3">
      <c r="A153" s="302" t="s">
        <v>113</v>
      </c>
      <c r="B153" s="14" t="s">
        <v>90</v>
      </c>
      <c r="C153" s="305">
        <v>3</v>
      </c>
      <c r="D153" s="305">
        <v>2</v>
      </c>
      <c r="E153" s="305">
        <v>0</v>
      </c>
      <c r="F153" s="305">
        <v>1</v>
      </c>
      <c r="G153" s="15">
        <v>4</v>
      </c>
      <c r="H153" s="15">
        <v>3</v>
      </c>
      <c r="I153" s="15">
        <v>6</v>
      </c>
      <c r="J153" s="86"/>
      <c r="K153" s="108"/>
      <c r="S153" s="168"/>
      <c r="T153" s="95"/>
      <c r="U153" s="95"/>
      <c r="V153" s="95"/>
      <c r="W153" s="95"/>
      <c r="X153" s="95"/>
      <c r="Y153" s="169"/>
    </row>
    <row r="154" spans="1:25" s="13" customFormat="1" x14ac:dyDescent="0.3">
      <c r="A154" s="302"/>
      <c r="B154" s="21" t="s">
        <v>391</v>
      </c>
      <c r="C154" s="17"/>
      <c r="D154" s="17"/>
      <c r="E154" s="17"/>
      <c r="F154" s="17"/>
      <c r="G154" s="18"/>
      <c r="H154" s="18"/>
      <c r="I154" s="18"/>
      <c r="J154" s="86"/>
      <c r="K154" s="108"/>
      <c r="S154" s="168"/>
      <c r="T154" s="95"/>
      <c r="U154" s="95"/>
      <c r="V154" s="95"/>
      <c r="W154" s="95"/>
      <c r="X154" s="95"/>
      <c r="Y154" s="169"/>
    </row>
    <row r="155" spans="1:25" x14ac:dyDescent="0.3">
      <c r="A155" s="302"/>
      <c r="B155" s="3" t="s">
        <v>3</v>
      </c>
      <c r="C155" s="301"/>
      <c r="D155" s="301"/>
      <c r="E155" s="301"/>
      <c r="F155" s="301"/>
      <c r="G155" s="5"/>
      <c r="H155" s="5"/>
      <c r="I155" s="5"/>
      <c r="J155" s="87"/>
      <c r="K155" s="108"/>
      <c r="S155" s="117"/>
      <c r="T155" s="282"/>
      <c r="U155" s="282"/>
      <c r="V155" s="282"/>
      <c r="W155" s="282"/>
      <c r="X155" s="126"/>
      <c r="Y155" s="125"/>
    </row>
    <row r="156" spans="1:25" ht="15" thickBot="1" x14ac:dyDescent="0.35">
      <c r="A156" s="302"/>
      <c r="B156" s="7" t="s">
        <v>43</v>
      </c>
      <c r="C156" s="304"/>
      <c r="D156" s="304"/>
      <c r="E156" s="304"/>
      <c r="F156" s="304"/>
      <c r="G156" s="8"/>
      <c r="H156" s="8"/>
      <c r="I156" s="8"/>
      <c r="J156" s="87"/>
      <c r="K156" s="108"/>
      <c r="S156" s="117"/>
      <c r="T156" s="282"/>
      <c r="U156" s="282"/>
      <c r="V156" s="282"/>
      <c r="W156" s="282"/>
      <c r="X156" s="126"/>
      <c r="Y156" s="125"/>
    </row>
    <row r="157" spans="1:25" s="13" customFormat="1" ht="15" thickBot="1" x14ac:dyDescent="0.35">
      <c r="A157" s="302"/>
      <c r="B157" s="301"/>
      <c r="C157" s="301"/>
      <c r="D157" s="301"/>
      <c r="E157" s="301"/>
      <c r="F157" s="301"/>
      <c r="G157" s="5"/>
      <c r="H157" s="5"/>
      <c r="I157" s="5"/>
      <c r="J157" s="5"/>
      <c r="K157" s="108"/>
      <c r="S157" s="117"/>
      <c r="T157" s="282"/>
      <c r="U157" s="282"/>
      <c r="V157" s="282"/>
      <c r="W157" s="282"/>
      <c r="X157" s="126"/>
      <c r="Y157" s="125"/>
    </row>
    <row r="158" spans="1:25" ht="15" thickTop="1" x14ac:dyDescent="0.3">
      <c r="A158" s="106"/>
      <c r="B158" s="25"/>
      <c r="C158" s="25"/>
      <c r="D158" s="25"/>
      <c r="E158" s="25"/>
      <c r="F158" s="25"/>
      <c r="G158" s="26"/>
      <c r="H158" s="26"/>
      <c r="I158" s="26"/>
      <c r="J158" s="26"/>
      <c r="K158" s="108"/>
      <c r="S158" s="117"/>
      <c r="T158" s="282"/>
      <c r="U158" s="282"/>
      <c r="V158" s="282"/>
      <c r="W158" s="282"/>
      <c r="X158" s="126"/>
      <c r="Y158" s="125"/>
    </row>
    <row r="159" spans="1:25" ht="21" x14ac:dyDescent="0.4">
      <c r="A159" s="302"/>
      <c r="B159" s="301"/>
      <c r="C159" s="301"/>
      <c r="D159" s="301"/>
      <c r="E159" s="301"/>
      <c r="F159" s="300" t="s">
        <v>350</v>
      </c>
      <c r="G159" s="5"/>
      <c r="H159" s="5"/>
      <c r="I159" s="5"/>
      <c r="J159" s="5"/>
      <c r="K159" s="108"/>
      <c r="S159" s="117"/>
      <c r="T159" s="282"/>
      <c r="U159" s="282"/>
      <c r="V159" s="282"/>
      <c r="W159" s="282"/>
      <c r="X159" s="126"/>
      <c r="Y159" s="125"/>
    </row>
    <row r="160" spans="1:25" x14ac:dyDescent="0.3">
      <c r="A160" s="302"/>
      <c r="B160" s="301"/>
      <c r="C160" s="301"/>
      <c r="D160" s="301"/>
      <c r="E160" s="301"/>
      <c r="F160" s="28"/>
      <c r="G160" s="5"/>
      <c r="H160" s="5"/>
      <c r="I160" s="5"/>
      <c r="J160" s="5"/>
      <c r="K160" s="108"/>
      <c r="S160" s="117"/>
      <c r="T160" s="282"/>
      <c r="U160" s="282"/>
      <c r="V160" s="282"/>
      <c r="W160" s="282"/>
      <c r="X160" s="126"/>
      <c r="Y160" s="125"/>
    </row>
    <row r="161" spans="1:25" x14ac:dyDescent="0.3">
      <c r="A161" s="302"/>
      <c r="B161" s="301"/>
      <c r="C161" s="40">
        <v>38882</v>
      </c>
      <c r="D161" s="49" t="s">
        <v>35</v>
      </c>
      <c r="E161" s="49" t="s">
        <v>392</v>
      </c>
      <c r="F161" s="49">
        <v>4</v>
      </c>
      <c r="G161" s="51">
        <v>0</v>
      </c>
      <c r="H161" s="5"/>
      <c r="I161" s="5" t="s">
        <v>387</v>
      </c>
      <c r="J161" s="5"/>
      <c r="K161" s="108"/>
      <c r="S161" s="117" t="s">
        <v>35</v>
      </c>
      <c r="T161" s="282" t="s">
        <v>392</v>
      </c>
      <c r="U161" s="282">
        <v>4</v>
      </c>
      <c r="V161" s="282">
        <v>0</v>
      </c>
      <c r="W161" s="282"/>
      <c r="X161" s="126">
        <f t="shared" ref="X161:X162" si="31">(IF(U161&gt;V161,3,IF(U161=V161,1,2)))</f>
        <v>3</v>
      </c>
      <c r="Y161" s="125">
        <f t="shared" ref="Y161:Y162" si="32">(IF(V161&gt;U161,3,IF(U161=V161,1,2)))</f>
        <v>2</v>
      </c>
    </row>
    <row r="162" spans="1:25" ht="15" thickBot="1" x14ac:dyDescent="0.35">
      <c r="A162" s="302"/>
      <c r="B162" s="301"/>
      <c r="C162" s="58"/>
      <c r="D162" s="79"/>
      <c r="E162" s="79"/>
      <c r="F162" s="79" t="s">
        <v>215</v>
      </c>
      <c r="G162" s="81" t="s">
        <v>171</v>
      </c>
      <c r="H162" s="8"/>
      <c r="I162" s="8"/>
      <c r="J162" s="5"/>
      <c r="K162" s="108"/>
      <c r="S162" s="117" t="s">
        <v>176</v>
      </c>
      <c r="T162" s="296" t="s">
        <v>313</v>
      </c>
      <c r="U162" s="296">
        <v>2</v>
      </c>
      <c r="V162" s="296">
        <v>2</v>
      </c>
      <c r="W162" s="282"/>
      <c r="X162" s="126">
        <f t="shared" si="31"/>
        <v>1</v>
      </c>
      <c r="Y162" s="125">
        <f t="shared" si="32"/>
        <v>1</v>
      </c>
    </row>
    <row r="163" spans="1:25" s="13" customFormat="1" x14ac:dyDescent="0.3">
      <c r="A163" s="302"/>
      <c r="B163" s="301"/>
      <c r="C163" s="40">
        <v>38882</v>
      </c>
      <c r="D163" s="49" t="s">
        <v>176</v>
      </c>
      <c r="E163" s="49" t="s">
        <v>313</v>
      </c>
      <c r="F163" s="49">
        <v>2</v>
      </c>
      <c r="G163" s="51">
        <v>2</v>
      </c>
      <c r="H163" s="5"/>
      <c r="I163" s="5" t="s">
        <v>161</v>
      </c>
      <c r="J163" s="5"/>
      <c r="K163" s="108"/>
      <c r="S163" s="117" t="s">
        <v>313</v>
      </c>
      <c r="T163" s="296" t="s">
        <v>392</v>
      </c>
      <c r="U163" s="296">
        <v>0</v>
      </c>
      <c r="V163" s="296">
        <v>4</v>
      </c>
      <c r="W163" s="282"/>
      <c r="X163" s="126">
        <f t="shared" ref="X163:X166" si="33">(IF(U163&gt;V163,3,IF(U163=V163,1,2)))</f>
        <v>2</v>
      </c>
      <c r="Y163" s="125">
        <f t="shared" ref="Y163:Y166" si="34">(IF(V163&gt;U163,3,IF(U163=V163,1,2)))</f>
        <v>3</v>
      </c>
    </row>
    <row r="164" spans="1:25" s="13" customFormat="1" ht="15" thickBot="1" x14ac:dyDescent="0.35">
      <c r="A164" s="302"/>
      <c r="B164" s="301"/>
      <c r="C164" s="58"/>
      <c r="D164" s="79"/>
      <c r="E164" s="79"/>
      <c r="F164" s="79" t="s">
        <v>172</v>
      </c>
      <c r="G164" s="81" t="s">
        <v>171</v>
      </c>
      <c r="H164" s="8"/>
      <c r="I164" s="8"/>
      <c r="J164" s="5"/>
      <c r="K164" s="108"/>
      <c r="S164" s="117" t="s">
        <v>35</v>
      </c>
      <c r="T164" s="296" t="s">
        <v>176</v>
      </c>
      <c r="U164" s="296">
        <v>3</v>
      </c>
      <c r="V164" s="296">
        <v>1</v>
      </c>
      <c r="W164" s="282"/>
      <c r="X164" s="126">
        <f t="shared" si="33"/>
        <v>3</v>
      </c>
      <c r="Y164" s="125">
        <f t="shared" si="34"/>
        <v>2</v>
      </c>
    </row>
    <row r="165" spans="1:25" s="13" customFormat="1" x14ac:dyDescent="0.3">
      <c r="A165" s="302"/>
      <c r="B165" s="301"/>
      <c r="C165" s="40">
        <v>38887</v>
      </c>
      <c r="D165" s="49" t="s">
        <v>313</v>
      </c>
      <c r="E165" s="49" t="s">
        <v>392</v>
      </c>
      <c r="F165" s="49">
        <v>0</v>
      </c>
      <c r="G165" s="51">
        <v>4</v>
      </c>
      <c r="H165" s="5"/>
      <c r="I165" s="5" t="s">
        <v>153</v>
      </c>
      <c r="J165" s="5"/>
      <c r="K165" s="108"/>
      <c r="S165" s="117" t="s">
        <v>313</v>
      </c>
      <c r="T165" s="296" t="s">
        <v>35</v>
      </c>
      <c r="U165" s="296">
        <v>0</v>
      </c>
      <c r="V165" s="296">
        <v>1</v>
      </c>
      <c r="W165" s="282"/>
      <c r="X165" s="126">
        <f t="shared" si="33"/>
        <v>2</v>
      </c>
      <c r="Y165" s="125">
        <f t="shared" si="34"/>
        <v>3</v>
      </c>
    </row>
    <row r="166" spans="1:25" ht="15" thickBot="1" x14ac:dyDescent="0.35">
      <c r="A166" s="302"/>
      <c r="B166" s="301"/>
      <c r="C166" s="58"/>
      <c r="D166" s="79"/>
      <c r="E166" s="79"/>
      <c r="F166" s="79" t="s">
        <v>170</v>
      </c>
      <c r="G166" s="81" t="s">
        <v>173</v>
      </c>
      <c r="H166" s="8"/>
      <c r="I166" s="8"/>
      <c r="J166" s="5"/>
      <c r="K166" s="108"/>
      <c r="S166" s="117" t="s">
        <v>392</v>
      </c>
      <c r="T166" s="296" t="s">
        <v>176</v>
      </c>
      <c r="U166" s="296">
        <v>1</v>
      </c>
      <c r="V166" s="296">
        <v>0</v>
      </c>
      <c r="W166" s="282"/>
      <c r="X166" s="126">
        <f t="shared" si="33"/>
        <v>3</v>
      </c>
      <c r="Y166" s="125">
        <f t="shared" si="34"/>
        <v>2</v>
      </c>
    </row>
    <row r="167" spans="1:25" x14ac:dyDescent="0.3">
      <c r="A167" s="302"/>
      <c r="B167" s="301"/>
      <c r="C167" s="40">
        <v>38887</v>
      </c>
      <c r="D167" s="49" t="s">
        <v>35</v>
      </c>
      <c r="E167" s="49" t="s">
        <v>176</v>
      </c>
      <c r="F167" s="49">
        <v>3</v>
      </c>
      <c r="G167" s="51">
        <v>1</v>
      </c>
      <c r="H167" s="5"/>
      <c r="I167" s="5" t="s">
        <v>162</v>
      </c>
      <c r="J167" s="5"/>
      <c r="K167" s="108"/>
      <c r="S167" s="117"/>
      <c r="T167" s="296"/>
      <c r="U167" s="296"/>
      <c r="V167" s="296"/>
      <c r="W167" s="282"/>
      <c r="X167" s="126"/>
      <c r="Y167" s="125"/>
    </row>
    <row r="168" spans="1:25" ht="15" thickBot="1" x14ac:dyDescent="0.35">
      <c r="A168" s="302"/>
      <c r="B168" s="301"/>
      <c r="C168" s="58"/>
      <c r="D168" s="79"/>
      <c r="E168" s="79"/>
      <c r="F168" s="79" t="s">
        <v>170</v>
      </c>
      <c r="G168" s="81" t="s">
        <v>183</v>
      </c>
      <c r="H168" s="8"/>
      <c r="I168" s="8"/>
      <c r="J168" s="5"/>
      <c r="K168" s="108"/>
      <c r="S168" s="117"/>
      <c r="T168" s="296"/>
      <c r="U168" s="296"/>
      <c r="V168" s="296"/>
      <c r="W168" s="95"/>
      <c r="X168" s="95"/>
      <c r="Y168" s="169"/>
    </row>
    <row r="169" spans="1:25" x14ac:dyDescent="0.3">
      <c r="A169" s="302"/>
      <c r="B169" s="301"/>
      <c r="C169" s="40">
        <v>38891</v>
      </c>
      <c r="D169" s="49" t="s">
        <v>313</v>
      </c>
      <c r="E169" s="49" t="s">
        <v>35</v>
      </c>
      <c r="F169" s="49">
        <v>0</v>
      </c>
      <c r="G169" s="51">
        <v>1</v>
      </c>
      <c r="H169" s="5"/>
      <c r="I169" s="5" t="s">
        <v>384</v>
      </c>
      <c r="J169" s="5"/>
      <c r="K169" s="108"/>
      <c r="S169" s="117"/>
      <c r="T169" s="296"/>
      <c r="U169" s="296"/>
      <c r="V169" s="296"/>
      <c r="W169" s="282"/>
      <c r="X169" s="126"/>
      <c r="Y169" s="125"/>
    </row>
    <row r="170" spans="1:25" ht="15" thickBot="1" x14ac:dyDescent="0.35">
      <c r="A170" s="302"/>
      <c r="B170" s="301"/>
      <c r="C170" s="58"/>
      <c r="D170" s="79"/>
      <c r="E170" s="79"/>
      <c r="F170" s="79" t="s">
        <v>170</v>
      </c>
      <c r="G170" s="81" t="s">
        <v>183</v>
      </c>
      <c r="H170" s="8"/>
      <c r="I170" s="8"/>
      <c r="J170" s="5"/>
      <c r="K170" s="108"/>
      <c r="S170" s="117"/>
      <c r="T170" s="296"/>
      <c r="U170" s="296"/>
      <c r="V170" s="296"/>
      <c r="W170" s="282"/>
      <c r="X170" s="126"/>
      <c r="Y170" s="125"/>
    </row>
    <row r="171" spans="1:25" x14ac:dyDescent="0.3">
      <c r="A171" s="302"/>
      <c r="B171" s="17"/>
      <c r="C171" s="40">
        <v>38891</v>
      </c>
      <c r="D171" s="43" t="s">
        <v>392</v>
      </c>
      <c r="E171" s="43" t="s">
        <v>176</v>
      </c>
      <c r="F171" s="49">
        <v>1</v>
      </c>
      <c r="G171" s="51">
        <v>0</v>
      </c>
      <c r="H171" s="5"/>
      <c r="I171" s="5" t="s">
        <v>149</v>
      </c>
      <c r="J171" s="5"/>
      <c r="K171" s="108"/>
      <c r="S171" s="117"/>
      <c r="T171" s="282"/>
      <c r="U171" s="282"/>
      <c r="V171" s="282"/>
      <c r="W171" s="282"/>
      <c r="X171" s="126"/>
      <c r="Y171" s="125"/>
    </row>
    <row r="172" spans="1:25" x14ac:dyDescent="0.3">
      <c r="A172" s="156"/>
      <c r="B172" s="17"/>
      <c r="C172" s="17"/>
      <c r="D172" s="43"/>
      <c r="E172" s="43"/>
      <c r="F172" s="49" t="s">
        <v>170</v>
      </c>
      <c r="G172" s="51" t="s">
        <v>171</v>
      </c>
      <c r="H172" s="5"/>
      <c r="I172" s="5"/>
      <c r="J172" s="5"/>
      <c r="K172" s="108"/>
      <c r="S172" s="117"/>
      <c r="T172" s="282"/>
      <c r="U172" s="282"/>
      <c r="V172" s="282"/>
      <c r="W172" s="282"/>
      <c r="X172" s="126"/>
      <c r="Y172" s="125"/>
    </row>
    <row r="173" spans="1:25" x14ac:dyDescent="0.3">
      <c r="A173" s="156"/>
      <c r="B173" s="17"/>
      <c r="C173" s="17"/>
      <c r="D173" s="17"/>
      <c r="E173" s="17"/>
      <c r="F173" s="301"/>
      <c r="G173" s="5"/>
      <c r="H173" s="5"/>
      <c r="I173" s="5"/>
      <c r="J173" s="5"/>
      <c r="K173" s="108"/>
      <c r="S173" s="117"/>
      <c r="T173" s="282"/>
      <c r="U173" s="282"/>
      <c r="V173" s="282"/>
      <c r="W173" s="282"/>
      <c r="X173" s="126"/>
      <c r="Y173" s="125"/>
    </row>
    <row r="174" spans="1:25" s="13" customFormat="1" ht="15" thickBot="1" x14ac:dyDescent="0.35">
      <c r="A174" s="302"/>
      <c r="B174" s="301" t="s">
        <v>298</v>
      </c>
      <c r="C174" s="301" t="s">
        <v>12</v>
      </c>
      <c r="D174" s="301" t="s">
        <v>13</v>
      </c>
      <c r="E174" s="301" t="s">
        <v>14</v>
      </c>
      <c r="F174" s="301" t="s">
        <v>15</v>
      </c>
      <c r="G174" s="5" t="s">
        <v>24</v>
      </c>
      <c r="H174" s="5" t="s">
        <v>25</v>
      </c>
      <c r="I174" s="5" t="s">
        <v>301</v>
      </c>
      <c r="J174" s="5"/>
      <c r="K174" s="108"/>
      <c r="S174" s="168"/>
      <c r="T174" s="95"/>
      <c r="U174" s="95"/>
      <c r="V174" s="95"/>
      <c r="W174" s="95"/>
      <c r="X174" s="95"/>
      <c r="Y174" s="169"/>
    </row>
    <row r="175" spans="1:25" s="13" customFormat="1" x14ac:dyDescent="0.3">
      <c r="A175" s="302" t="s">
        <v>113</v>
      </c>
      <c r="B175" s="14" t="s">
        <v>35</v>
      </c>
      <c r="C175" s="305">
        <v>3</v>
      </c>
      <c r="D175" s="305">
        <v>2</v>
      </c>
      <c r="E175" s="305">
        <v>0</v>
      </c>
      <c r="F175" s="305">
        <v>1</v>
      </c>
      <c r="G175" s="15">
        <v>4</v>
      </c>
      <c r="H175" s="15">
        <v>3</v>
      </c>
      <c r="I175" s="15">
        <v>6</v>
      </c>
      <c r="J175" s="86"/>
      <c r="K175" s="108"/>
      <c r="S175" s="117"/>
      <c r="T175" s="282"/>
      <c r="U175" s="282"/>
      <c r="V175" s="282"/>
      <c r="W175" s="282"/>
      <c r="X175" s="126"/>
      <c r="Y175" s="125"/>
    </row>
    <row r="176" spans="1:25" s="13" customFormat="1" x14ac:dyDescent="0.3">
      <c r="A176" s="302"/>
      <c r="B176" s="21" t="s">
        <v>392</v>
      </c>
      <c r="C176" s="17"/>
      <c r="D176" s="17"/>
      <c r="E176" s="17"/>
      <c r="F176" s="17"/>
      <c r="G176" s="18"/>
      <c r="H176" s="18"/>
      <c r="I176" s="18"/>
      <c r="J176" s="86"/>
      <c r="K176" s="108"/>
      <c r="S176" s="122"/>
      <c r="T176" s="17"/>
      <c r="U176" s="17"/>
      <c r="V176" s="17"/>
      <c r="W176" s="17"/>
      <c r="X176" s="126"/>
      <c r="Y176" s="125"/>
    </row>
    <row r="177" spans="1:25" x14ac:dyDescent="0.3">
      <c r="A177" s="302"/>
      <c r="B177" s="3" t="s">
        <v>176</v>
      </c>
      <c r="C177" s="301"/>
      <c r="D177" s="301"/>
      <c r="E177" s="301"/>
      <c r="F177" s="301"/>
      <c r="G177" s="5"/>
      <c r="H177" s="5"/>
      <c r="I177" s="5"/>
      <c r="J177" s="87"/>
      <c r="K177" s="108"/>
      <c r="S177" s="117"/>
      <c r="T177" s="282"/>
      <c r="U177" s="282"/>
      <c r="V177" s="282"/>
      <c r="W177" s="282"/>
      <c r="X177" s="126"/>
      <c r="Y177" s="125"/>
    </row>
    <row r="178" spans="1:25" ht="15" thickBot="1" x14ac:dyDescent="0.35">
      <c r="A178" s="302"/>
      <c r="B178" s="7" t="s">
        <v>313</v>
      </c>
      <c r="C178" s="304"/>
      <c r="D178" s="304"/>
      <c r="E178" s="304"/>
      <c r="F178" s="304"/>
      <c r="G178" s="8"/>
      <c r="H178" s="8"/>
      <c r="I178" s="8"/>
      <c r="J178" s="87"/>
      <c r="K178" s="108"/>
      <c r="S178" s="117"/>
      <c r="T178" s="282"/>
      <c r="U178" s="282"/>
      <c r="V178" s="282"/>
      <c r="W178" s="282"/>
      <c r="X178" s="126"/>
      <c r="Y178" s="125"/>
    </row>
    <row r="179" spans="1:25" ht="15" thickBot="1" x14ac:dyDescent="0.35">
      <c r="A179" s="110"/>
      <c r="B179" s="36"/>
      <c r="C179" s="36"/>
      <c r="D179" s="36"/>
      <c r="E179" s="36"/>
      <c r="F179" s="36"/>
      <c r="G179" s="37"/>
      <c r="H179" s="37"/>
      <c r="I179" s="37"/>
      <c r="J179" s="37"/>
      <c r="K179" s="193"/>
      <c r="L179" s="1"/>
      <c r="S179" s="122"/>
      <c r="T179" s="17"/>
      <c r="U179" s="17"/>
      <c r="V179" s="17"/>
      <c r="W179" s="17"/>
      <c r="X179" s="126"/>
      <c r="Y179" s="125"/>
    </row>
    <row r="180" spans="1:25" s="13" customFormat="1" ht="15" thickTop="1" x14ac:dyDescent="0.3">
      <c r="A180" s="302"/>
      <c r="B180" s="301"/>
      <c r="C180" s="301"/>
      <c r="D180" s="301"/>
      <c r="E180" s="301"/>
      <c r="F180" s="301"/>
      <c r="G180" s="5"/>
      <c r="H180" s="5"/>
      <c r="I180" s="5"/>
      <c r="J180" s="5"/>
      <c r="K180" s="108"/>
      <c r="L180" s="10"/>
      <c r="S180" s="117"/>
      <c r="T180" s="282"/>
      <c r="U180" s="282"/>
      <c r="V180" s="282"/>
      <c r="W180" s="282"/>
      <c r="X180" s="126"/>
      <c r="Y180" s="125"/>
    </row>
    <row r="181" spans="1:25" s="13" customFormat="1" ht="21" x14ac:dyDescent="0.4">
      <c r="A181" s="302"/>
      <c r="B181" s="301"/>
      <c r="C181" s="301"/>
      <c r="D181" s="301"/>
      <c r="E181" s="301"/>
      <c r="F181" s="300" t="s">
        <v>28</v>
      </c>
      <c r="G181" s="5"/>
      <c r="H181" s="5"/>
      <c r="I181" s="5"/>
      <c r="J181" s="5"/>
      <c r="K181" s="108"/>
      <c r="L181" s="10"/>
      <c r="S181" s="117"/>
      <c r="T181" s="282"/>
      <c r="U181" s="282"/>
      <c r="V181" s="282"/>
      <c r="W181" s="282"/>
      <c r="X181" s="126"/>
      <c r="Y181" s="125"/>
    </row>
    <row r="182" spans="1:25" x14ac:dyDescent="0.3">
      <c r="A182" s="302"/>
      <c r="B182" s="301"/>
      <c r="C182" s="49"/>
      <c r="D182" s="49"/>
      <c r="E182" s="49"/>
      <c r="F182" s="49"/>
      <c r="G182" s="51"/>
      <c r="H182" s="51"/>
      <c r="I182" s="51"/>
      <c r="J182" s="5"/>
      <c r="K182" s="108"/>
      <c r="L182" s="1"/>
      <c r="S182" s="117"/>
      <c r="T182" s="282"/>
      <c r="U182" s="282"/>
      <c r="V182" s="282"/>
      <c r="W182" s="282"/>
      <c r="X182" s="282"/>
      <c r="Y182" s="118"/>
    </row>
    <row r="183" spans="1:25" x14ac:dyDescent="0.3">
      <c r="A183" s="302"/>
      <c r="B183" s="301"/>
      <c r="C183" s="82">
        <v>38892</v>
      </c>
      <c r="D183" s="43" t="s">
        <v>88</v>
      </c>
      <c r="E183" s="43" t="s">
        <v>41</v>
      </c>
      <c r="F183" s="43">
        <v>2</v>
      </c>
      <c r="G183" s="48">
        <v>0</v>
      </c>
      <c r="H183" s="51"/>
      <c r="I183" s="51" t="s">
        <v>161</v>
      </c>
      <c r="J183" s="5"/>
      <c r="K183" s="108"/>
      <c r="L183" s="1"/>
      <c r="S183" s="122" t="s">
        <v>88</v>
      </c>
      <c r="T183" s="17" t="s">
        <v>41</v>
      </c>
      <c r="U183" s="17">
        <v>2</v>
      </c>
      <c r="V183" s="17">
        <v>0</v>
      </c>
      <c r="W183" s="17"/>
      <c r="X183" s="17">
        <f t="shared" ref="X183:X185" si="35">(IF(U183&gt;V183,3,IF(U183=V183,1,2)))</f>
        <v>3</v>
      </c>
      <c r="Y183" s="123">
        <f t="shared" ref="Y183:Y185" si="36">(IF(V183&gt;U183,3,IF(U183=V183,1,2)))</f>
        <v>2</v>
      </c>
    </row>
    <row r="184" spans="1:25" ht="15" thickBot="1" x14ac:dyDescent="0.35">
      <c r="A184" s="302"/>
      <c r="B184" s="301"/>
      <c r="C184" s="83"/>
      <c r="D184" s="80"/>
      <c r="E184" s="80"/>
      <c r="F184" s="80" t="s">
        <v>215</v>
      </c>
      <c r="G184" s="84" t="s">
        <v>171</v>
      </c>
      <c r="H184" s="81"/>
      <c r="I184" s="81"/>
      <c r="J184" s="5"/>
      <c r="K184" s="108"/>
      <c r="L184" s="1"/>
      <c r="S184" s="122" t="s">
        <v>5</v>
      </c>
      <c r="T184" s="17" t="s">
        <v>4</v>
      </c>
      <c r="U184" s="17">
        <v>2</v>
      </c>
      <c r="V184" s="17">
        <v>1</v>
      </c>
      <c r="W184" s="282" t="s">
        <v>30</v>
      </c>
      <c r="X184" s="126">
        <f t="shared" si="35"/>
        <v>3</v>
      </c>
      <c r="Y184" s="125">
        <f t="shared" si="36"/>
        <v>2</v>
      </c>
    </row>
    <row r="185" spans="1:25" s="13" customFormat="1" x14ac:dyDescent="0.3">
      <c r="A185" s="302"/>
      <c r="B185" s="301"/>
      <c r="C185" s="82">
        <v>38892</v>
      </c>
      <c r="D185" s="43" t="s">
        <v>5</v>
      </c>
      <c r="E185" s="43" t="s">
        <v>4</v>
      </c>
      <c r="F185" s="43">
        <v>2</v>
      </c>
      <c r="G185" s="48">
        <v>1</v>
      </c>
      <c r="H185" s="51" t="s">
        <v>30</v>
      </c>
      <c r="I185" s="51" t="s">
        <v>387</v>
      </c>
      <c r="J185" s="5"/>
      <c r="K185" s="108"/>
      <c r="L185" s="10"/>
      <c r="S185" s="117" t="s">
        <v>74</v>
      </c>
      <c r="T185" s="296" t="s">
        <v>377</v>
      </c>
      <c r="U185" s="296">
        <v>1</v>
      </c>
      <c r="V185" s="296">
        <v>0</v>
      </c>
      <c r="W185" s="17"/>
      <c r="X185" s="126">
        <f t="shared" si="35"/>
        <v>3</v>
      </c>
      <c r="Y185" s="125">
        <f t="shared" si="36"/>
        <v>2</v>
      </c>
    </row>
    <row r="186" spans="1:25" s="13" customFormat="1" x14ac:dyDescent="0.3">
      <c r="A186" s="302"/>
      <c r="B186" s="301"/>
      <c r="C186" s="82"/>
      <c r="D186" s="43"/>
      <c r="E186" s="43"/>
      <c r="F186" s="43">
        <v>1</v>
      </c>
      <c r="G186" s="48">
        <v>1</v>
      </c>
      <c r="H186" s="51"/>
      <c r="I186" s="51"/>
      <c r="J186" s="5"/>
      <c r="K186" s="108"/>
      <c r="L186" s="10"/>
      <c r="S186" s="122" t="s">
        <v>133</v>
      </c>
      <c r="T186" s="17" t="s">
        <v>63</v>
      </c>
      <c r="U186" s="17">
        <v>1</v>
      </c>
      <c r="V186" s="17">
        <v>0</v>
      </c>
      <c r="W186" s="17"/>
      <c r="X186" s="126">
        <f t="shared" ref="X186:X190" si="37">(IF(U186&gt;V186,3,IF(U186=V186,1,2)))</f>
        <v>3</v>
      </c>
      <c r="Y186" s="125">
        <f t="shared" ref="Y186:Y190" si="38">(IF(V186&gt;U186,3,IF(U186=V186,1,2)))</f>
        <v>2</v>
      </c>
    </row>
    <row r="187" spans="1:25" ht="15" thickBot="1" x14ac:dyDescent="0.35">
      <c r="A187" s="302"/>
      <c r="B187" s="301"/>
      <c r="C187" s="83"/>
      <c r="D187" s="80"/>
      <c r="E187" s="80"/>
      <c r="F187" s="80" t="s">
        <v>172</v>
      </c>
      <c r="G187" s="84" t="s">
        <v>183</v>
      </c>
      <c r="H187" s="81"/>
      <c r="I187" s="81"/>
      <c r="J187" s="5"/>
      <c r="K187" s="108"/>
      <c r="L187" s="1"/>
      <c r="S187" s="117" t="s">
        <v>37</v>
      </c>
      <c r="T187" s="296" t="s">
        <v>152</v>
      </c>
      <c r="U187" s="296">
        <v>1</v>
      </c>
      <c r="V187" s="296">
        <v>0</v>
      </c>
      <c r="W187" s="282"/>
      <c r="X187" s="126">
        <f t="shared" si="37"/>
        <v>3</v>
      </c>
      <c r="Y187" s="125">
        <f t="shared" si="38"/>
        <v>2</v>
      </c>
    </row>
    <row r="188" spans="1:25" x14ac:dyDescent="0.3">
      <c r="A188" s="302"/>
      <c r="B188" s="33"/>
      <c r="C188" s="82">
        <v>38893</v>
      </c>
      <c r="D188" s="43" t="s">
        <v>74</v>
      </c>
      <c r="E188" s="43" t="s">
        <v>377</v>
      </c>
      <c r="F188" s="43">
        <v>1</v>
      </c>
      <c r="G188" s="48">
        <v>0</v>
      </c>
      <c r="H188" s="51"/>
      <c r="I188" s="51" t="s">
        <v>162</v>
      </c>
      <c r="J188" s="5"/>
      <c r="K188" s="108"/>
      <c r="L188" s="1"/>
      <c r="S188" s="117" t="s">
        <v>43</v>
      </c>
      <c r="T188" s="296" t="s">
        <v>392</v>
      </c>
      <c r="U188" s="296">
        <v>0</v>
      </c>
      <c r="V188" s="296">
        <v>3</v>
      </c>
      <c r="W188" s="282" t="s">
        <v>214</v>
      </c>
      <c r="X188" s="126">
        <f t="shared" si="37"/>
        <v>2</v>
      </c>
      <c r="Y188" s="125">
        <f t="shared" si="38"/>
        <v>3</v>
      </c>
    </row>
    <row r="189" spans="1:25" ht="15" thickBot="1" x14ac:dyDescent="0.35">
      <c r="A189" s="302"/>
      <c r="B189" s="33"/>
      <c r="C189" s="83"/>
      <c r="D189" s="80"/>
      <c r="E189" s="80"/>
      <c r="F189" s="80" t="s">
        <v>170</v>
      </c>
      <c r="G189" s="84" t="s">
        <v>171</v>
      </c>
      <c r="H189" s="81"/>
      <c r="I189" s="81"/>
      <c r="J189" s="5"/>
      <c r="K189" s="108"/>
      <c r="L189" s="1"/>
      <c r="S189" s="117" t="s">
        <v>9</v>
      </c>
      <c r="T189" s="296" t="s">
        <v>390</v>
      </c>
      <c r="U189" s="296">
        <v>3</v>
      </c>
      <c r="V189" s="296">
        <v>0</v>
      </c>
      <c r="W189" s="282"/>
      <c r="X189" s="126">
        <f t="shared" si="37"/>
        <v>3</v>
      </c>
      <c r="Y189" s="125">
        <f t="shared" si="38"/>
        <v>2</v>
      </c>
    </row>
    <row r="190" spans="1:25" x14ac:dyDescent="0.3">
      <c r="A190" s="156"/>
      <c r="B190" s="301"/>
      <c r="C190" s="82">
        <v>38893</v>
      </c>
      <c r="D190" s="43" t="s">
        <v>133</v>
      </c>
      <c r="E190" s="43" t="s">
        <v>63</v>
      </c>
      <c r="F190" s="43">
        <v>1</v>
      </c>
      <c r="G190" s="48">
        <v>0</v>
      </c>
      <c r="H190" s="51"/>
      <c r="I190" s="51" t="s">
        <v>382</v>
      </c>
      <c r="J190" s="5"/>
      <c r="K190" s="108"/>
      <c r="L190" s="1"/>
      <c r="S190" s="117" t="s">
        <v>35</v>
      </c>
      <c r="T190" s="296" t="s">
        <v>3</v>
      </c>
      <c r="U190" s="296">
        <v>1</v>
      </c>
      <c r="V190" s="296">
        <v>3</v>
      </c>
      <c r="W190" s="17"/>
      <c r="X190" s="126">
        <f t="shared" si="37"/>
        <v>2</v>
      </c>
      <c r="Y190" s="125">
        <f t="shared" si="38"/>
        <v>3</v>
      </c>
    </row>
    <row r="191" spans="1:25" s="13" customFormat="1" ht="15" thickBot="1" x14ac:dyDescent="0.35">
      <c r="A191" s="156"/>
      <c r="B191" s="301"/>
      <c r="C191" s="83"/>
      <c r="D191" s="80"/>
      <c r="E191" s="80"/>
      <c r="F191" s="80" t="s">
        <v>172</v>
      </c>
      <c r="G191" s="84" t="s">
        <v>171</v>
      </c>
      <c r="H191" s="81"/>
      <c r="I191" s="81"/>
      <c r="J191" s="5"/>
      <c r="K191" s="108"/>
      <c r="L191" s="10"/>
      <c r="S191" s="117"/>
      <c r="T191" s="296"/>
      <c r="U191" s="296"/>
      <c r="V191" s="296"/>
      <c r="W191" s="282"/>
      <c r="X191" s="282"/>
      <c r="Y191" s="118"/>
    </row>
    <row r="192" spans="1:25" s="13" customFormat="1" x14ac:dyDescent="0.3">
      <c r="A192" s="156"/>
      <c r="B192" s="301"/>
      <c r="C192" s="82">
        <v>38894</v>
      </c>
      <c r="D192" s="43" t="s">
        <v>37</v>
      </c>
      <c r="E192" s="43" t="s">
        <v>152</v>
      </c>
      <c r="F192" s="43">
        <v>1</v>
      </c>
      <c r="G192" s="48">
        <v>0</v>
      </c>
      <c r="H192" s="51"/>
      <c r="I192" s="51" t="s">
        <v>384</v>
      </c>
      <c r="J192" s="5"/>
      <c r="K192" s="108"/>
      <c r="L192" s="10"/>
      <c r="S192" s="117"/>
      <c r="T192" s="296"/>
      <c r="U192" s="296"/>
      <c r="V192" s="296"/>
      <c r="W192" s="282"/>
      <c r="X192" s="282"/>
      <c r="Y192" s="118"/>
    </row>
    <row r="193" spans="1:25" s="13" customFormat="1" ht="15" thickBot="1" x14ac:dyDescent="0.35">
      <c r="A193" s="156"/>
      <c r="B193" s="301"/>
      <c r="C193" s="83"/>
      <c r="D193" s="80"/>
      <c r="E193" s="80"/>
      <c r="F193" s="80" t="s">
        <v>170</v>
      </c>
      <c r="G193" s="84" t="s">
        <v>171</v>
      </c>
      <c r="H193" s="81"/>
      <c r="I193" s="81"/>
      <c r="J193" s="5"/>
      <c r="K193" s="108"/>
      <c r="S193" s="117"/>
      <c r="T193" s="296"/>
      <c r="U193" s="296"/>
      <c r="V193" s="296"/>
      <c r="W193" s="282"/>
      <c r="X193" s="282"/>
      <c r="Y193" s="118"/>
    </row>
    <row r="194" spans="1:25" s="13" customFormat="1" x14ac:dyDescent="0.3">
      <c r="A194" s="156"/>
      <c r="B194" s="301"/>
      <c r="C194" s="82">
        <v>38894</v>
      </c>
      <c r="D194" s="43" t="s">
        <v>43</v>
      </c>
      <c r="E194" s="43" t="s">
        <v>392</v>
      </c>
      <c r="F194" s="43">
        <v>0</v>
      </c>
      <c r="G194" s="48">
        <v>3</v>
      </c>
      <c r="H194" s="51" t="s">
        <v>214</v>
      </c>
      <c r="I194" s="51" t="s">
        <v>383</v>
      </c>
      <c r="J194" s="5"/>
      <c r="K194" s="108"/>
      <c r="S194" s="117"/>
      <c r="T194" s="296"/>
      <c r="U194" s="296"/>
      <c r="V194" s="296"/>
      <c r="W194" s="282"/>
      <c r="X194" s="282"/>
      <c r="Y194" s="118"/>
    </row>
    <row r="195" spans="1:25" s="13" customFormat="1" x14ac:dyDescent="0.3">
      <c r="A195" s="156"/>
      <c r="B195" s="301"/>
      <c r="C195" s="82"/>
      <c r="D195" s="43"/>
      <c r="E195" s="43"/>
      <c r="F195" s="43">
        <v>0</v>
      </c>
      <c r="G195" s="48">
        <v>0</v>
      </c>
      <c r="H195" s="51" t="s">
        <v>30</v>
      </c>
      <c r="I195" s="51"/>
      <c r="J195" s="5"/>
      <c r="K195" s="108"/>
      <c r="S195" s="117"/>
      <c r="T195" s="296"/>
      <c r="U195" s="296"/>
      <c r="V195" s="296"/>
      <c r="W195" s="296"/>
      <c r="X195" s="296"/>
      <c r="Y195" s="118"/>
    </row>
    <row r="196" spans="1:25" s="13" customFormat="1" x14ac:dyDescent="0.3">
      <c r="A196" s="156"/>
      <c r="B196" s="301"/>
      <c r="C196" s="82"/>
      <c r="D196" s="43"/>
      <c r="E196" s="43"/>
      <c r="F196" s="43">
        <v>0</v>
      </c>
      <c r="G196" s="48">
        <v>0</v>
      </c>
      <c r="H196" s="51"/>
      <c r="I196" s="51"/>
      <c r="J196" s="5"/>
      <c r="K196" s="108"/>
      <c r="S196" s="117"/>
      <c r="T196" s="296"/>
      <c r="U196" s="296"/>
      <c r="V196" s="296"/>
      <c r="W196" s="296"/>
      <c r="X196" s="296"/>
      <c r="Y196" s="118"/>
    </row>
    <row r="197" spans="1:25" ht="15" thickBot="1" x14ac:dyDescent="0.35">
      <c r="A197" s="156"/>
      <c r="B197" s="301"/>
      <c r="C197" s="83"/>
      <c r="D197" s="80"/>
      <c r="E197" s="80"/>
      <c r="F197" s="80" t="s">
        <v>170</v>
      </c>
      <c r="G197" s="84" t="s">
        <v>171</v>
      </c>
      <c r="H197" s="81"/>
      <c r="I197" s="81"/>
      <c r="J197" s="5"/>
      <c r="K197" s="108"/>
      <c r="L197" s="1"/>
      <c r="S197" s="117"/>
      <c r="T197" s="296"/>
      <c r="U197" s="296"/>
      <c r="V197" s="296"/>
      <c r="W197" s="282"/>
      <c r="X197" s="282"/>
      <c r="Y197" s="118"/>
    </row>
    <row r="198" spans="1:25" x14ac:dyDescent="0.3">
      <c r="A198" s="156"/>
      <c r="B198" s="301"/>
      <c r="C198" s="82">
        <v>38895</v>
      </c>
      <c r="D198" s="43" t="s">
        <v>9</v>
      </c>
      <c r="E198" s="43" t="s">
        <v>390</v>
      </c>
      <c r="F198" s="43">
        <v>3</v>
      </c>
      <c r="G198" s="48">
        <v>0</v>
      </c>
      <c r="H198" s="51"/>
      <c r="I198" s="51" t="s">
        <v>156</v>
      </c>
      <c r="J198" s="5"/>
      <c r="K198" s="108"/>
      <c r="L198" s="1"/>
      <c r="S198" s="117"/>
      <c r="T198" s="296"/>
      <c r="U198" s="296"/>
      <c r="V198" s="296"/>
      <c r="W198" s="282"/>
      <c r="X198" s="126"/>
      <c r="Y198" s="125"/>
    </row>
    <row r="199" spans="1:25" s="13" customFormat="1" ht="15" thickBot="1" x14ac:dyDescent="0.35">
      <c r="A199" s="156"/>
      <c r="B199" s="301"/>
      <c r="C199" s="83"/>
      <c r="D199" s="80"/>
      <c r="E199" s="80"/>
      <c r="F199" s="80" t="s">
        <v>215</v>
      </c>
      <c r="G199" s="84" t="s">
        <v>171</v>
      </c>
      <c r="H199" s="81"/>
      <c r="I199" s="81"/>
      <c r="J199" s="5"/>
      <c r="K199" s="108"/>
      <c r="L199" s="10"/>
      <c r="S199" s="117"/>
      <c r="T199" s="296"/>
      <c r="U199" s="296"/>
      <c r="V199" s="296"/>
      <c r="W199" s="282"/>
      <c r="X199" s="282"/>
      <c r="Y199" s="118"/>
    </row>
    <row r="200" spans="1:25" s="13" customFormat="1" x14ac:dyDescent="0.3">
      <c r="A200" s="156"/>
      <c r="B200" s="301"/>
      <c r="C200" s="82">
        <v>38895</v>
      </c>
      <c r="D200" s="43" t="s">
        <v>35</v>
      </c>
      <c r="E200" s="43" t="s">
        <v>3</v>
      </c>
      <c r="F200" s="43">
        <v>1</v>
      </c>
      <c r="G200" s="48">
        <v>3</v>
      </c>
      <c r="H200" s="51"/>
      <c r="I200" s="51" t="s">
        <v>159</v>
      </c>
      <c r="J200" s="5"/>
      <c r="K200" s="108"/>
      <c r="L200" s="10"/>
      <c r="S200" s="117"/>
      <c r="T200" s="282"/>
      <c r="U200" s="282"/>
      <c r="V200" s="282"/>
      <c r="W200" s="282"/>
      <c r="X200" s="282"/>
      <c r="Y200" s="118"/>
    </row>
    <row r="201" spans="1:25" s="13" customFormat="1" x14ac:dyDescent="0.3">
      <c r="A201" s="156"/>
      <c r="B201" s="301"/>
      <c r="C201" s="49"/>
      <c r="D201" s="49"/>
      <c r="E201" s="49"/>
      <c r="F201" s="49" t="s">
        <v>172</v>
      </c>
      <c r="G201" s="51" t="s">
        <v>183</v>
      </c>
      <c r="H201" s="51"/>
      <c r="I201" s="51"/>
      <c r="J201" s="5"/>
      <c r="K201" s="108"/>
      <c r="L201" s="10"/>
      <c r="S201" s="117"/>
      <c r="T201" s="282"/>
      <c r="U201" s="282"/>
      <c r="V201" s="282"/>
      <c r="W201" s="282"/>
      <c r="X201" s="126"/>
      <c r="Y201" s="125"/>
    </row>
    <row r="202" spans="1:25" s="13" customFormat="1" x14ac:dyDescent="0.3">
      <c r="A202" s="156"/>
      <c r="B202" s="301"/>
      <c r="C202" s="301"/>
      <c r="D202" s="301"/>
      <c r="E202" s="301"/>
      <c r="F202" s="301"/>
      <c r="G202" s="5"/>
      <c r="H202" s="5"/>
      <c r="I202" s="5"/>
      <c r="J202" s="5"/>
      <c r="K202" s="108"/>
      <c r="S202" s="117"/>
      <c r="T202" s="282"/>
      <c r="U202" s="282"/>
      <c r="V202" s="282"/>
      <c r="W202" s="282"/>
      <c r="X202" s="126"/>
      <c r="Y202" s="125"/>
    </row>
    <row r="203" spans="1:25" s="13" customFormat="1" x14ac:dyDescent="0.3">
      <c r="A203" s="156"/>
      <c r="B203" s="301"/>
      <c r="C203" s="301"/>
      <c r="D203" s="301"/>
      <c r="E203" s="301"/>
      <c r="F203" s="301"/>
      <c r="G203" s="5"/>
      <c r="H203" s="5"/>
      <c r="I203" s="5"/>
      <c r="J203" s="5"/>
      <c r="K203" s="108"/>
      <c r="L203" s="10"/>
      <c r="S203" s="117"/>
      <c r="T203" s="282"/>
      <c r="U203" s="282"/>
      <c r="V203" s="282"/>
      <c r="W203" s="282"/>
      <c r="X203" s="126"/>
      <c r="Y203" s="125"/>
    </row>
    <row r="204" spans="1:25" s="13" customFormat="1" ht="21" x14ac:dyDescent="0.4">
      <c r="A204" s="156"/>
      <c r="B204" s="301"/>
      <c r="C204" s="301"/>
      <c r="D204" s="301"/>
      <c r="E204" s="301"/>
      <c r="F204" s="300" t="s">
        <v>47</v>
      </c>
      <c r="G204" s="5"/>
      <c r="H204" s="5"/>
      <c r="I204" s="5"/>
      <c r="J204" s="5"/>
      <c r="K204" s="108"/>
      <c r="S204" s="117"/>
      <c r="T204" s="294"/>
      <c r="U204" s="294"/>
      <c r="V204" s="294"/>
      <c r="W204" s="294"/>
      <c r="X204" s="126"/>
      <c r="Y204" s="125"/>
    </row>
    <row r="205" spans="1:25" s="13" customFormat="1" x14ac:dyDescent="0.3">
      <c r="A205" s="156"/>
      <c r="B205" s="301"/>
      <c r="C205" s="301"/>
      <c r="D205" s="49"/>
      <c r="E205" s="49"/>
      <c r="F205" s="49"/>
      <c r="G205" s="51"/>
      <c r="H205" s="51"/>
      <c r="I205" s="5"/>
      <c r="J205" s="5"/>
      <c r="K205" s="108"/>
      <c r="L205" s="10"/>
      <c r="S205" s="117"/>
      <c r="T205" s="294"/>
      <c r="U205" s="294"/>
      <c r="V205" s="294"/>
      <c r="W205" s="294"/>
      <c r="X205" s="126"/>
      <c r="Y205" s="125"/>
    </row>
    <row r="206" spans="1:25" s="13" customFormat="1" x14ac:dyDescent="0.3">
      <c r="A206" s="156"/>
      <c r="B206" s="301"/>
      <c r="C206" s="40">
        <v>38898</v>
      </c>
      <c r="D206" s="49" t="s">
        <v>88</v>
      </c>
      <c r="E206" s="43" t="s">
        <v>5</v>
      </c>
      <c r="F206" s="43">
        <v>4</v>
      </c>
      <c r="G206" s="48">
        <v>2</v>
      </c>
      <c r="H206" s="48" t="s">
        <v>214</v>
      </c>
      <c r="I206" s="5" t="s">
        <v>149</v>
      </c>
      <c r="J206" s="5"/>
      <c r="K206" s="108"/>
      <c r="L206" s="10"/>
      <c r="S206" s="117" t="s">
        <v>88</v>
      </c>
      <c r="T206" s="294" t="s">
        <v>5</v>
      </c>
      <c r="U206" s="294">
        <v>5</v>
      </c>
      <c r="V206" s="294">
        <v>3</v>
      </c>
      <c r="W206" s="294" t="s">
        <v>214</v>
      </c>
      <c r="X206" s="126">
        <f t="shared" ref="X206:X208" si="39">(IF(U206&gt;V206,3,IF(U206=V206,1,2)))</f>
        <v>3</v>
      </c>
      <c r="Y206" s="125">
        <f t="shared" ref="Y206:Y208" si="40">(IF(V206&gt;U206,3,IF(U206=V206,1,2)))</f>
        <v>2</v>
      </c>
    </row>
    <row r="207" spans="1:25" s="13" customFormat="1" x14ac:dyDescent="0.3">
      <c r="A207" s="156"/>
      <c r="B207" s="301"/>
      <c r="C207" s="40"/>
      <c r="D207" s="49"/>
      <c r="E207" s="43"/>
      <c r="F207" s="43">
        <v>1</v>
      </c>
      <c r="G207" s="48">
        <v>1</v>
      </c>
      <c r="H207" s="48" t="s">
        <v>30</v>
      </c>
      <c r="I207" s="5"/>
      <c r="J207" s="5"/>
      <c r="K207" s="108"/>
      <c r="L207" s="10"/>
      <c r="S207" s="117" t="s">
        <v>37</v>
      </c>
      <c r="T207" s="296" t="s">
        <v>392</v>
      </c>
      <c r="U207" s="296">
        <v>3</v>
      </c>
      <c r="V207" s="296">
        <v>0</v>
      </c>
      <c r="W207" s="296"/>
      <c r="X207" s="126">
        <f t="shared" si="39"/>
        <v>3</v>
      </c>
      <c r="Y207" s="125">
        <f t="shared" si="40"/>
        <v>2</v>
      </c>
    </row>
    <row r="208" spans="1:25" s="13" customFormat="1" x14ac:dyDescent="0.3">
      <c r="A208" s="156"/>
      <c r="B208" s="301"/>
      <c r="C208" s="40"/>
      <c r="D208" s="49"/>
      <c r="E208" s="43"/>
      <c r="F208" s="43">
        <v>1</v>
      </c>
      <c r="G208" s="48">
        <v>1</v>
      </c>
      <c r="H208" s="48"/>
      <c r="I208" s="5"/>
      <c r="J208" s="5"/>
      <c r="K208" s="108"/>
      <c r="L208" s="10"/>
      <c r="S208" s="117" t="s">
        <v>74</v>
      </c>
      <c r="T208" s="296" t="s">
        <v>133</v>
      </c>
      <c r="U208" s="296">
        <v>1</v>
      </c>
      <c r="V208" s="296">
        <v>3</v>
      </c>
      <c r="W208" s="296" t="s">
        <v>214</v>
      </c>
      <c r="X208" s="126">
        <f t="shared" si="39"/>
        <v>2</v>
      </c>
      <c r="Y208" s="125">
        <f t="shared" si="40"/>
        <v>3</v>
      </c>
    </row>
    <row r="209" spans="1:25" s="13" customFormat="1" ht="15" thickBot="1" x14ac:dyDescent="0.35">
      <c r="A209" s="156"/>
      <c r="B209" s="301"/>
      <c r="C209" s="58"/>
      <c r="D209" s="80"/>
      <c r="E209" s="80"/>
      <c r="F209" s="80" t="s">
        <v>170</v>
      </c>
      <c r="G209" s="84" t="s">
        <v>171</v>
      </c>
      <c r="H209" s="84"/>
      <c r="I209" s="8"/>
      <c r="J209" s="5"/>
      <c r="K209" s="108"/>
      <c r="L209" s="10"/>
      <c r="S209" s="117" t="s">
        <v>9</v>
      </c>
      <c r="T209" s="297" t="s">
        <v>3</v>
      </c>
      <c r="U209" s="297">
        <v>0</v>
      </c>
      <c r="V209" s="297">
        <v>1</v>
      </c>
      <c r="W209" s="294"/>
      <c r="X209" s="126">
        <f t="shared" ref="X209" si="41">(IF(U209&gt;V209,3,IF(U209=V209,1,2)))</f>
        <v>2</v>
      </c>
      <c r="Y209" s="125">
        <f t="shared" ref="Y209" si="42">(IF(V209&gt;U209,3,IF(U209=V209,1,2)))</f>
        <v>3</v>
      </c>
    </row>
    <row r="210" spans="1:25" s="13" customFormat="1" x14ac:dyDescent="0.3">
      <c r="A210" s="156"/>
      <c r="B210" s="301"/>
      <c r="C210" s="40">
        <v>38898</v>
      </c>
      <c r="D210" s="43" t="s">
        <v>37</v>
      </c>
      <c r="E210" s="43" t="s">
        <v>392</v>
      </c>
      <c r="F210" s="43">
        <v>3</v>
      </c>
      <c r="G210" s="48">
        <v>0</v>
      </c>
      <c r="H210" s="48"/>
      <c r="I210" s="5" t="s">
        <v>153</v>
      </c>
      <c r="J210" s="5"/>
      <c r="K210" s="108"/>
      <c r="S210" s="117"/>
      <c r="T210" s="297"/>
      <c r="U210" s="297"/>
      <c r="V210" s="297"/>
      <c r="W210" s="282"/>
      <c r="X210" s="282"/>
      <c r="Y210" s="118"/>
    </row>
    <row r="211" spans="1:25" s="13" customFormat="1" ht="15" thickBot="1" x14ac:dyDescent="0.35">
      <c r="A211" s="156"/>
      <c r="B211" s="301"/>
      <c r="C211" s="58"/>
      <c r="D211" s="80"/>
      <c r="E211" s="80"/>
      <c r="F211" s="80" t="s">
        <v>172</v>
      </c>
      <c r="G211" s="84" t="s">
        <v>171</v>
      </c>
      <c r="H211" s="84"/>
      <c r="I211" s="8"/>
      <c r="J211" s="5"/>
      <c r="K211" s="108"/>
      <c r="L211" s="10"/>
      <c r="S211" s="117"/>
      <c r="T211" s="297"/>
      <c r="U211" s="297"/>
      <c r="V211" s="297"/>
      <c r="W211" s="282"/>
      <c r="X211" s="282"/>
      <c r="Y211" s="118"/>
    </row>
    <row r="212" spans="1:25" s="13" customFormat="1" x14ac:dyDescent="0.3">
      <c r="A212" s="156"/>
      <c r="B212" s="301"/>
      <c r="C212" s="40">
        <v>38899</v>
      </c>
      <c r="D212" s="43" t="s">
        <v>74</v>
      </c>
      <c r="E212" s="43" t="s">
        <v>133</v>
      </c>
      <c r="F212" s="43">
        <v>1</v>
      </c>
      <c r="G212" s="48">
        <v>3</v>
      </c>
      <c r="H212" s="48" t="s">
        <v>214</v>
      </c>
      <c r="I212" s="5" t="s">
        <v>157</v>
      </c>
      <c r="J212" s="5"/>
      <c r="K212" s="108"/>
      <c r="S212" s="117"/>
      <c r="T212" s="297"/>
      <c r="U212" s="297"/>
      <c r="V212" s="297"/>
      <c r="W212" s="282"/>
      <c r="X212" s="282"/>
      <c r="Y212" s="118"/>
    </row>
    <row r="213" spans="1:25" s="13" customFormat="1" x14ac:dyDescent="0.3">
      <c r="A213" s="156"/>
      <c r="B213" s="301"/>
      <c r="C213" s="40"/>
      <c r="D213" s="43"/>
      <c r="E213" s="43"/>
      <c r="F213" s="43">
        <v>0</v>
      </c>
      <c r="G213" s="48">
        <v>0</v>
      </c>
      <c r="H213" s="48" t="s">
        <v>30</v>
      </c>
      <c r="I213" s="5"/>
      <c r="J213" s="5"/>
      <c r="K213" s="108"/>
      <c r="S213" s="117"/>
      <c r="T213" s="297"/>
      <c r="U213" s="297"/>
      <c r="V213" s="297"/>
      <c r="W213" s="296"/>
      <c r="X213" s="296"/>
      <c r="Y213" s="118"/>
    </row>
    <row r="214" spans="1:25" s="13" customFormat="1" x14ac:dyDescent="0.3">
      <c r="A214" s="156"/>
      <c r="B214" s="301"/>
      <c r="C214" s="40"/>
      <c r="D214" s="43"/>
      <c r="E214" s="43"/>
      <c r="F214" s="43">
        <v>0</v>
      </c>
      <c r="G214" s="48">
        <v>0</v>
      </c>
      <c r="H214" s="48"/>
      <c r="I214" s="5"/>
      <c r="J214" s="5"/>
      <c r="K214" s="108"/>
      <c r="S214" s="117"/>
      <c r="T214" s="297"/>
      <c r="U214" s="297"/>
      <c r="V214" s="297"/>
      <c r="W214" s="296"/>
      <c r="X214" s="296"/>
      <c r="Y214" s="118"/>
    </row>
    <row r="215" spans="1:25" s="13" customFormat="1" ht="15" thickBot="1" x14ac:dyDescent="0.35">
      <c r="A215" s="156"/>
      <c r="B215" s="301"/>
      <c r="C215" s="58"/>
      <c r="D215" s="80"/>
      <c r="E215" s="80"/>
      <c r="F215" s="80" t="s">
        <v>170</v>
      </c>
      <c r="G215" s="84" t="s">
        <v>171</v>
      </c>
      <c r="H215" s="84"/>
      <c r="I215" s="8"/>
      <c r="J215" s="5"/>
      <c r="K215" s="108"/>
      <c r="S215" s="117"/>
      <c r="T215" s="297"/>
      <c r="U215" s="297"/>
      <c r="V215" s="297"/>
      <c r="W215" s="282"/>
      <c r="X215" s="282"/>
      <c r="Y215" s="118"/>
    </row>
    <row r="216" spans="1:25" s="13" customFormat="1" x14ac:dyDescent="0.3">
      <c r="A216" s="156"/>
      <c r="B216" s="301"/>
      <c r="C216" s="40">
        <v>38899</v>
      </c>
      <c r="D216" s="43" t="s">
        <v>9</v>
      </c>
      <c r="E216" s="43" t="s">
        <v>3</v>
      </c>
      <c r="F216" s="43">
        <v>0</v>
      </c>
      <c r="G216" s="48">
        <v>1</v>
      </c>
      <c r="H216" s="48"/>
      <c r="I216" s="5"/>
      <c r="J216" s="5"/>
      <c r="K216" s="108"/>
      <c r="L216" s="10"/>
      <c r="S216" s="117"/>
      <c r="T216" s="283"/>
      <c r="U216" s="283"/>
      <c r="V216" s="283"/>
      <c r="W216" s="283"/>
      <c r="X216" s="283"/>
      <c r="Y216" s="118"/>
    </row>
    <row r="217" spans="1:25" s="13" customFormat="1" x14ac:dyDescent="0.3">
      <c r="A217" s="156"/>
      <c r="B217" s="301"/>
      <c r="C217" s="301"/>
      <c r="D217" s="43"/>
      <c r="E217" s="43"/>
      <c r="F217" s="43" t="s">
        <v>170</v>
      </c>
      <c r="G217" s="48" t="s">
        <v>171</v>
      </c>
      <c r="H217" s="48"/>
      <c r="I217" s="5"/>
      <c r="J217" s="5"/>
      <c r="K217" s="108"/>
      <c r="L217" s="10"/>
      <c r="S217" s="117"/>
      <c r="T217" s="283"/>
      <c r="U217" s="283"/>
      <c r="V217" s="283"/>
      <c r="W217" s="283"/>
      <c r="X217" s="126"/>
      <c r="Y217" s="125"/>
    </row>
    <row r="218" spans="1:25" s="13" customFormat="1" x14ac:dyDescent="0.3">
      <c r="A218" s="156"/>
      <c r="B218" s="301"/>
      <c r="C218" s="301"/>
      <c r="D218" s="17"/>
      <c r="E218" s="17"/>
      <c r="F218" s="17"/>
      <c r="G218" s="18"/>
      <c r="H218" s="18"/>
      <c r="I218" s="5"/>
      <c r="J218" s="5"/>
      <c r="K218" s="108"/>
      <c r="L218" s="10"/>
      <c r="S218" s="117"/>
      <c r="T218" s="283"/>
      <c r="U218" s="283"/>
      <c r="V218" s="283"/>
      <c r="W218" s="283"/>
      <c r="X218" s="126"/>
      <c r="Y218" s="125"/>
    </row>
    <row r="219" spans="1:25" s="13" customFormat="1" x14ac:dyDescent="0.3">
      <c r="A219" s="24"/>
      <c r="B219" s="17"/>
      <c r="C219" s="17"/>
      <c r="D219" s="17"/>
      <c r="E219" s="17"/>
      <c r="F219" s="17"/>
      <c r="G219" s="18"/>
      <c r="H219" s="18"/>
      <c r="I219" s="18"/>
      <c r="J219" s="18"/>
      <c r="K219" s="108"/>
      <c r="L219" s="10"/>
      <c r="S219" s="117"/>
      <c r="T219" s="295"/>
      <c r="U219" s="295"/>
      <c r="V219" s="295"/>
      <c r="W219" s="295"/>
      <c r="X219" s="126"/>
      <c r="Y219" s="125"/>
    </row>
    <row r="220" spans="1:25" s="13" customFormat="1" ht="21" x14ac:dyDescent="0.4">
      <c r="A220" s="24"/>
      <c r="B220" s="17"/>
      <c r="C220" s="17"/>
      <c r="D220" s="17"/>
      <c r="E220" s="17"/>
      <c r="F220" s="70" t="s">
        <v>48</v>
      </c>
      <c r="G220" s="18"/>
      <c r="H220" s="18"/>
      <c r="I220" s="18"/>
      <c r="J220" s="18"/>
      <c r="K220" s="108"/>
      <c r="S220" s="117"/>
      <c r="T220" s="295"/>
      <c r="U220" s="295"/>
      <c r="V220" s="295"/>
      <c r="W220" s="295"/>
      <c r="X220" s="126"/>
      <c r="Y220" s="125"/>
    </row>
    <row r="221" spans="1:25" s="13" customFormat="1" x14ac:dyDescent="0.3">
      <c r="A221" s="156"/>
      <c r="B221" s="28"/>
      <c r="C221" s="301"/>
      <c r="D221" s="49"/>
      <c r="E221" s="49"/>
      <c r="F221" s="49"/>
      <c r="G221" s="51"/>
      <c r="H221" s="5"/>
      <c r="I221" s="5"/>
      <c r="J221" s="5"/>
      <c r="K221" s="108"/>
      <c r="L221" s="10"/>
      <c r="S221" s="117"/>
      <c r="T221" s="295"/>
      <c r="U221" s="295"/>
      <c r="V221" s="295"/>
      <c r="W221" s="295"/>
      <c r="X221" s="126"/>
      <c r="Y221" s="125"/>
    </row>
    <row r="222" spans="1:25" x14ac:dyDescent="0.3">
      <c r="A222" s="186"/>
      <c r="B222" s="95"/>
      <c r="C222" s="165">
        <v>38902</v>
      </c>
      <c r="D222" s="43" t="s">
        <v>88</v>
      </c>
      <c r="E222" s="43" t="s">
        <v>37</v>
      </c>
      <c r="F222" s="43">
        <v>0</v>
      </c>
      <c r="G222" s="43">
        <v>2</v>
      </c>
      <c r="H222" s="17" t="s">
        <v>30</v>
      </c>
      <c r="I222" s="18" t="s">
        <v>156</v>
      </c>
      <c r="J222" s="18"/>
      <c r="K222" s="109"/>
      <c r="S222" s="117" t="s">
        <v>88</v>
      </c>
      <c r="T222" s="295" t="s">
        <v>37</v>
      </c>
      <c r="U222" s="295">
        <v>0</v>
      </c>
      <c r="V222" s="295">
        <v>2</v>
      </c>
      <c r="W222" s="295" t="s">
        <v>30</v>
      </c>
      <c r="X222" s="126">
        <f t="shared" ref="X222" si="43">(IF(U222&gt;V222,3,IF(U222=V222,1,2)))</f>
        <v>2</v>
      </c>
      <c r="Y222" s="125">
        <f t="shared" ref="Y222" si="44">(IF(V222&gt;U222,3,IF(U222=V222,1,2)))</f>
        <v>3</v>
      </c>
    </row>
    <row r="223" spans="1:25" x14ac:dyDescent="0.3">
      <c r="A223" s="186"/>
      <c r="B223" s="95"/>
      <c r="C223" s="165"/>
      <c r="D223" s="43"/>
      <c r="E223" s="43"/>
      <c r="F223" s="43">
        <v>0</v>
      </c>
      <c r="G223" s="43">
        <v>0</v>
      </c>
      <c r="H223" s="17"/>
      <c r="I223" s="18"/>
      <c r="J223" s="18"/>
      <c r="K223" s="109"/>
      <c r="S223" s="117" t="s">
        <v>133</v>
      </c>
      <c r="T223" s="297" t="s">
        <v>3</v>
      </c>
      <c r="U223" s="297">
        <v>0</v>
      </c>
      <c r="V223" s="297">
        <v>1</v>
      </c>
      <c r="W223" s="297"/>
      <c r="X223" s="126">
        <f t="shared" ref="X223" si="45">(IF(U223&gt;V223,3,IF(U223=V223,1,2)))</f>
        <v>2</v>
      </c>
      <c r="Y223" s="125">
        <f t="shared" ref="Y223" si="46">(IF(V223&gt;U223,3,IF(U223=V223,1,2)))</f>
        <v>3</v>
      </c>
    </row>
    <row r="224" spans="1:25" ht="15" thickBot="1" x14ac:dyDescent="0.35">
      <c r="A224" s="186"/>
      <c r="B224" s="95"/>
      <c r="C224" s="62"/>
      <c r="D224" s="80"/>
      <c r="E224" s="80"/>
      <c r="F224" s="80" t="s">
        <v>170</v>
      </c>
      <c r="G224" s="80" t="s">
        <v>171</v>
      </c>
      <c r="H224" s="30"/>
      <c r="I224" s="31"/>
      <c r="J224" s="18"/>
      <c r="K224" s="109"/>
      <c r="S224" s="117"/>
      <c r="T224" s="297"/>
      <c r="U224" s="297"/>
      <c r="V224" s="297"/>
      <c r="Y224" s="118"/>
    </row>
    <row r="225" spans="1:25" x14ac:dyDescent="0.3">
      <c r="A225" s="186"/>
      <c r="B225" s="95"/>
      <c r="C225" s="165">
        <v>38903</v>
      </c>
      <c r="D225" s="43" t="s">
        <v>133</v>
      </c>
      <c r="E225" s="43" t="s">
        <v>3</v>
      </c>
      <c r="F225" s="43">
        <v>0</v>
      </c>
      <c r="G225" s="43">
        <v>1</v>
      </c>
      <c r="H225" s="17"/>
      <c r="I225" s="18" t="s">
        <v>161</v>
      </c>
      <c r="J225" s="18"/>
      <c r="K225" s="109"/>
      <c r="S225" s="117"/>
      <c r="X225" s="126"/>
      <c r="Y225" s="125"/>
    </row>
    <row r="226" spans="1:25" x14ac:dyDescent="0.3">
      <c r="A226" s="156"/>
      <c r="B226" s="301"/>
      <c r="C226" s="301"/>
      <c r="D226" s="49"/>
      <c r="E226" s="49"/>
      <c r="F226" s="49" t="s">
        <v>170</v>
      </c>
      <c r="G226" s="51" t="s">
        <v>183</v>
      </c>
      <c r="H226" s="5"/>
      <c r="I226" s="5"/>
      <c r="J226" s="5"/>
      <c r="K226" s="108"/>
      <c r="S226" s="117"/>
      <c r="T226" s="295"/>
      <c r="U226" s="295"/>
      <c r="V226" s="295"/>
      <c r="W226" s="295"/>
      <c r="X226" s="126"/>
      <c r="Y226" s="125"/>
    </row>
    <row r="227" spans="1:25" x14ac:dyDescent="0.3">
      <c r="A227" s="156"/>
      <c r="B227" s="301"/>
      <c r="C227" s="301"/>
      <c r="D227" s="301"/>
      <c r="E227" s="301"/>
      <c r="F227" s="301"/>
      <c r="G227" s="5"/>
      <c r="H227" s="5"/>
      <c r="I227" s="5"/>
      <c r="J227" s="5"/>
      <c r="K227" s="108"/>
      <c r="S227" s="117"/>
      <c r="T227" s="295"/>
      <c r="U227" s="295"/>
      <c r="V227" s="295"/>
      <c r="W227" s="295"/>
      <c r="X227" s="126"/>
      <c r="Y227" s="125"/>
    </row>
    <row r="228" spans="1:25" ht="15" thickBot="1" x14ac:dyDescent="0.35">
      <c r="A228" s="156"/>
      <c r="B228" s="301"/>
      <c r="C228" s="301"/>
      <c r="D228" s="301"/>
      <c r="E228" s="301"/>
      <c r="F228" s="301"/>
      <c r="G228" s="5"/>
      <c r="H228" s="5"/>
      <c r="I228" s="5"/>
      <c r="J228" s="5"/>
      <c r="K228" s="108"/>
      <c r="S228" s="117"/>
      <c r="T228" s="295"/>
      <c r="U228" s="295"/>
      <c r="V228" s="295"/>
      <c r="W228" s="295"/>
      <c r="X228" s="126"/>
      <c r="Y228" s="125"/>
    </row>
    <row r="229" spans="1:25" ht="21" x14ac:dyDescent="0.4">
      <c r="A229" s="156"/>
      <c r="B229" s="301"/>
      <c r="C229" s="420" t="s">
        <v>393</v>
      </c>
      <c r="D229" s="444"/>
      <c r="E229" s="444"/>
      <c r="F229" s="444"/>
      <c r="G229" s="444"/>
      <c r="H229" s="444"/>
      <c r="I229" s="445"/>
      <c r="J229" s="5"/>
      <c r="K229" s="93"/>
      <c r="S229" s="117"/>
      <c r="T229" s="295"/>
      <c r="U229" s="295"/>
      <c r="V229" s="295"/>
      <c r="W229" s="295"/>
      <c r="X229" s="126"/>
      <c r="Y229" s="125"/>
    </row>
    <row r="230" spans="1:25" x14ac:dyDescent="0.3">
      <c r="A230" s="194"/>
      <c r="B230" s="17"/>
      <c r="C230" s="21"/>
      <c r="D230" s="17"/>
      <c r="E230" s="43" t="s">
        <v>88</v>
      </c>
      <c r="F230" s="85" t="s">
        <v>267</v>
      </c>
      <c r="G230" s="17" t="s">
        <v>133</v>
      </c>
      <c r="H230" s="18"/>
      <c r="I230" s="22"/>
      <c r="J230" s="18"/>
      <c r="K230" s="35"/>
      <c r="S230" s="117" t="s">
        <v>88</v>
      </c>
      <c r="T230" s="295" t="s">
        <v>133</v>
      </c>
      <c r="U230" s="295">
        <v>3</v>
      </c>
      <c r="V230" s="295">
        <v>1</v>
      </c>
      <c r="W230" s="295"/>
      <c r="X230" s="126">
        <f t="shared" ref="X230" si="47">(IF(U230&gt;V230,3,IF(U230=V230,1,2)))</f>
        <v>3</v>
      </c>
      <c r="Y230" s="125">
        <f t="shared" ref="Y230" si="48">(IF(V230&gt;U230,3,IF(U230=V230,1,2)))</f>
        <v>2</v>
      </c>
    </row>
    <row r="231" spans="1:25" x14ac:dyDescent="0.3">
      <c r="A231" s="156"/>
      <c r="B231" s="301"/>
      <c r="C231" s="3"/>
      <c r="D231" s="301"/>
      <c r="E231" s="49">
        <v>3</v>
      </c>
      <c r="F231" s="49"/>
      <c r="G231" s="301">
        <v>1</v>
      </c>
      <c r="H231" s="5"/>
      <c r="I231" s="6"/>
      <c r="J231" s="5"/>
      <c r="K231" s="93"/>
      <c r="S231" s="117"/>
      <c r="Y231" s="118"/>
    </row>
    <row r="232" spans="1:25" ht="15" thickBot="1" x14ac:dyDescent="0.35">
      <c r="A232" s="156"/>
      <c r="B232" s="301"/>
      <c r="C232" s="7"/>
      <c r="D232" s="304"/>
      <c r="E232" s="304" t="s">
        <v>170</v>
      </c>
      <c r="F232" s="304"/>
      <c r="G232" s="304" t="s">
        <v>171</v>
      </c>
      <c r="H232" s="8"/>
      <c r="I232" s="9"/>
      <c r="J232" s="5"/>
      <c r="K232" s="93"/>
      <c r="S232" s="117"/>
      <c r="T232" s="294"/>
      <c r="U232" s="294"/>
      <c r="V232" s="294"/>
      <c r="W232" s="294"/>
      <c r="X232" s="294"/>
      <c r="Y232" s="118"/>
    </row>
    <row r="233" spans="1:25" x14ac:dyDescent="0.3">
      <c r="A233" s="156"/>
      <c r="B233" s="301"/>
      <c r="C233" s="301"/>
      <c r="D233" s="301"/>
      <c r="E233" s="301"/>
      <c r="F233" s="301"/>
      <c r="G233" s="301"/>
      <c r="H233" s="5"/>
      <c r="I233" s="5"/>
      <c r="J233" s="5"/>
      <c r="K233" s="93"/>
      <c r="S233" s="117"/>
      <c r="T233" s="294"/>
      <c r="U233" s="294"/>
      <c r="V233" s="294"/>
      <c r="W233" s="294"/>
      <c r="X233" s="126"/>
      <c r="Y233" s="125"/>
    </row>
    <row r="234" spans="1:25" x14ac:dyDescent="0.3">
      <c r="A234" s="156"/>
      <c r="B234" s="301"/>
      <c r="C234" s="301"/>
      <c r="D234" s="301"/>
      <c r="E234" s="301"/>
      <c r="F234" s="301"/>
      <c r="G234" s="301"/>
      <c r="H234" s="5"/>
      <c r="I234" s="5"/>
      <c r="J234" s="5"/>
      <c r="K234" s="93"/>
      <c r="S234" s="117"/>
      <c r="T234" s="294"/>
      <c r="U234" s="294"/>
      <c r="V234" s="294"/>
      <c r="W234" s="294"/>
      <c r="X234" s="126"/>
      <c r="Y234" s="125"/>
    </row>
    <row r="235" spans="1:25" x14ac:dyDescent="0.3">
      <c r="A235" s="156"/>
      <c r="B235" s="301"/>
      <c r="C235" s="301"/>
      <c r="D235" s="301"/>
      <c r="E235" s="301"/>
      <c r="F235" s="301"/>
      <c r="G235" s="301"/>
      <c r="H235" s="5"/>
      <c r="I235" s="5"/>
      <c r="J235" s="5"/>
      <c r="K235" s="93"/>
      <c r="S235" s="117"/>
      <c r="T235" s="294"/>
      <c r="U235" s="294"/>
      <c r="V235" s="294"/>
      <c r="W235" s="294"/>
      <c r="X235" s="126"/>
      <c r="Y235" s="125"/>
    </row>
    <row r="236" spans="1:25" ht="15" thickBot="1" x14ac:dyDescent="0.35">
      <c r="A236" s="156"/>
      <c r="B236" s="301"/>
      <c r="C236" s="301"/>
      <c r="D236" s="301"/>
      <c r="E236" s="301"/>
      <c r="F236" s="301"/>
      <c r="G236" s="301"/>
      <c r="H236" s="5"/>
      <c r="I236" s="5"/>
      <c r="J236" s="5"/>
      <c r="K236" s="93"/>
      <c r="S236" s="117"/>
      <c r="T236" s="294"/>
      <c r="U236" s="294"/>
      <c r="V236" s="294"/>
      <c r="W236" s="294"/>
      <c r="X236" s="126"/>
      <c r="Y236" s="125"/>
    </row>
    <row r="237" spans="1:25" ht="21" x14ac:dyDescent="0.4">
      <c r="A237" s="156"/>
      <c r="B237" s="301"/>
      <c r="C237" s="420" t="s">
        <v>394</v>
      </c>
      <c r="D237" s="444"/>
      <c r="E237" s="444"/>
      <c r="F237" s="444"/>
      <c r="G237" s="444"/>
      <c r="H237" s="444"/>
      <c r="I237" s="445"/>
      <c r="J237" s="5"/>
      <c r="K237" s="93"/>
      <c r="S237" s="117"/>
      <c r="T237" s="294"/>
      <c r="U237" s="294"/>
      <c r="V237" s="294"/>
      <c r="W237" s="294"/>
      <c r="X237" s="126"/>
      <c r="Y237" s="125"/>
    </row>
    <row r="238" spans="1:25" ht="14.4" customHeight="1" x14ac:dyDescent="0.4">
      <c r="A238" s="156"/>
      <c r="B238" s="414"/>
      <c r="C238" s="364"/>
      <c r="D238" s="415"/>
      <c r="E238" s="415"/>
      <c r="F238" s="415"/>
      <c r="G238" s="415"/>
      <c r="H238" s="415"/>
      <c r="I238" s="384"/>
      <c r="J238" s="5"/>
      <c r="K238" s="416"/>
      <c r="S238" s="117"/>
      <c r="T238" s="414"/>
      <c r="U238" s="414"/>
      <c r="V238" s="414"/>
      <c r="W238" s="414"/>
      <c r="X238" s="126"/>
      <c r="Y238" s="125"/>
    </row>
    <row r="239" spans="1:25" x14ac:dyDescent="0.3">
      <c r="A239" s="194"/>
      <c r="B239" s="17"/>
      <c r="C239" s="21"/>
      <c r="D239" s="43" t="s">
        <v>37</v>
      </c>
      <c r="E239" s="64" t="s">
        <v>3</v>
      </c>
      <c r="F239" s="48">
        <v>5</v>
      </c>
      <c r="G239" s="18">
        <v>3</v>
      </c>
      <c r="H239" s="2" t="s">
        <v>214</v>
      </c>
      <c r="I239" s="22"/>
      <c r="J239" s="18"/>
      <c r="K239" s="35"/>
      <c r="S239" s="117" t="s">
        <v>37</v>
      </c>
      <c r="T239" s="294" t="s">
        <v>3</v>
      </c>
      <c r="U239" s="294">
        <v>6</v>
      </c>
      <c r="V239" s="294">
        <v>4</v>
      </c>
      <c r="W239" s="294" t="s">
        <v>214</v>
      </c>
      <c r="X239" s="126">
        <f t="shared" ref="X239" si="49">(IF(U239&gt;V239,3,IF(U239=V239,1,2)))</f>
        <v>3</v>
      </c>
      <c r="Y239" s="125">
        <f t="shared" ref="Y239" si="50">(IF(V239&gt;U239,3,IF(U239=V239,1,2)))</f>
        <v>2</v>
      </c>
    </row>
    <row r="240" spans="1:25" x14ac:dyDescent="0.3">
      <c r="A240" s="194"/>
      <c r="B240" s="17"/>
      <c r="C240" s="21"/>
      <c r="D240" s="17"/>
      <c r="E240" s="43"/>
      <c r="F240" s="64">
        <v>1</v>
      </c>
      <c r="G240" s="48">
        <v>1</v>
      </c>
      <c r="H240" s="18" t="s">
        <v>30</v>
      </c>
      <c r="I240" s="22"/>
      <c r="J240" s="18"/>
      <c r="K240" s="35"/>
      <c r="S240" s="117"/>
      <c r="T240" s="296"/>
      <c r="U240" s="296"/>
      <c r="V240" s="296"/>
      <c r="W240" s="296"/>
      <c r="X240" s="296"/>
      <c r="Y240" s="118"/>
    </row>
    <row r="241" spans="1:25" ht="15" thickBot="1" x14ac:dyDescent="0.35">
      <c r="A241" s="194"/>
      <c r="B241" s="17"/>
      <c r="C241" s="21"/>
      <c r="D241" s="17"/>
      <c r="E241" s="43"/>
      <c r="F241" s="64">
        <v>1</v>
      </c>
      <c r="G241" s="48">
        <v>1</v>
      </c>
      <c r="H241" s="18"/>
      <c r="I241" s="22"/>
      <c r="J241" s="18"/>
      <c r="K241" s="35"/>
      <c r="S241" s="119"/>
      <c r="T241" s="120"/>
      <c r="U241" s="120"/>
      <c r="V241" s="120"/>
      <c r="W241" s="120"/>
      <c r="X241" s="120"/>
      <c r="Y241" s="121"/>
    </row>
    <row r="242" spans="1:25" x14ac:dyDescent="0.3">
      <c r="A242" s="156"/>
      <c r="B242" s="301"/>
      <c r="C242" s="3"/>
      <c r="D242" s="301"/>
      <c r="E242" s="33"/>
      <c r="F242" s="33" t="s">
        <v>172</v>
      </c>
      <c r="G242" s="51" t="s">
        <v>183</v>
      </c>
      <c r="H242" s="5"/>
      <c r="I242" s="6"/>
      <c r="J242" s="5"/>
      <c r="K242" s="93"/>
      <c r="S242" s="296"/>
      <c r="T242" s="296"/>
      <c r="U242" s="296"/>
      <c r="V242" s="296"/>
      <c r="W242" s="296"/>
      <c r="X242" s="296"/>
      <c r="Y242" s="296"/>
    </row>
    <row r="243" spans="1:25" ht="15" thickBot="1" x14ac:dyDescent="0.35">
      <c r="A243" s="156"/>
      <c r="B243" s="301"/>
      <c r="C243" s="7"/>
      <c r="D243" s="304"/>
      <c r="E243" s="304"/>
      <c r="F243" s="304"/>
      <c r="G243" s="8"/>
      <c r="H243" s="8"/>
      <c r="I243" s="9"/>
      <c r="J243" s="5"/>
      <c r="K243" s="93"/>
      <c r="S243" s="296"/>
      <c r="T243" s="296"/>
      <c r="U243" s="296"/>
      <c r="V243" s="296"/>
      <c r="W243" s="296"/>
      <c r="X243" s="296"/>
      <c r="Y243" s="296"/>
    </row>
    <row r="244" spans="1:25" x14ac:dyDescent="0.3">
      <c r="A244" s="156"/>
      <c r="B244" s="301"/>
      <c r="C244" s="301"/>
      <c r="D244" s="301"/>
      <c r="E244" s="301"/>
      <c r="F244" s="301"/>
      <c r="G244" s="5"/>
      <c r="H244" s="5"/>
      <c r="I244" s="5"/>
      <c r="J244" s="5"/>
      <c r="K244" s="93"/>
      <c r="S244" s="296"/>
      <c r="T244" s="296"/>
      <c r="U244" s="296"/>
      <c r="V244" s="296"/>
      <c r="W244" s="296"/>
      <c r="X244" s="296"/>
      <c r="Y244" s="296"/>
    </row>
    <row r="245" spans="1:25" x14ac:dyDescent="0.3">
      <c r="A245" s="194"/>
      <c r="B245" s="17"/>
      <c r="C245" s="17"/>
      <c r="D245" s="17"/>
      <c r="E245" s="17"/>
      <c r="F245" s="17"/>
      <c r="G245" s="18"/>
      <c r="H245" s="18"/>
      <c r="I245" s="18"/>
      <c r="J245" s="18"/>
      <c r="K245" s="35"/>
    </row>
    <row r="246" spans="1:25" x14ac:dyDescent="0.3">
      <c r="A246" s="24"/>
      <c r="B246" s="17"/>
      <c r="C246" s="17"/>
      <c r="D246" s="17"/>
      <c r="E246" s="17"/>
      <c r="F246" s="17"/>
      <c r="G246" s="18"/>
      <c r="H246" s="18"/>
      <c r="I246" s="18"/>
      <c r="J246" s="18"/>
      <c r="K246" s="109"/>
    </row>
    <row r="247" spans="1:25" x14ac:dyDescent="0.3">
      <c r="A247" s="24"/>
      <c r="B247" s="17"/>
      <c r="C247" s="17"/>
      <c r="D247" s="17"/>
      <c r="E247" s="17"/>
      <c r="F247" s="17"/>
      <c r="G247" s="18"/>
      <c r="H247" s="18"/>
      <c r="I247" s="18"/>
      <c r="J247" s="18"/>
      <c r="K247" s="109"/>
    </row>
    <row r="248" spans="1:25" ht="15" thickBot="1" x14ac:dyDescent="0.35">
      <c r="A248" s="302"/>
      <c r="B248" s="301" t="s">
        <v>298</v>
      </c>
      <c r="C248" s="301" t="s">
        <v>12</v>
      </c>
      <c r="D248" s="301" t="s">
        <v>13</v>
      </c>
      <c r="E248" s="301" t="s">
        <v>14</v>
      </c>
      <c r="F248" s="301" t="s">
        <v>15</v>
      </c>
      <c r="G248" s="5" t="s">
        <v>24</v>
      </c>
      <c r="H248" s="5" t="s">
        <v>25</v>
      </c>
      <c r="I248" s="5" t="s">
        <v>301</v>
      </c>
      <c r="J248" s="5"/>
      <c r="K248" s="93"/>
    </row>
    <row r="249" spans="1:25" x14ac:dyDescent="0.3">
      <c r="A249" s="24"/>
      <c r="B249" s="14" t="s">
        <v>37</v>
      </c>
      <c r="C249" s="305">
        <f>COUNTIF($S$12:$T$239,"Italien")</f>
        <v>7</v>
      </c>
      <c r="D249" s="124">
        <f t="shared" ref="D249:D280" si="51">SUMPRODUCT(($S$12:$T$239=B249)*($X$12:$Y$239=3))</f>
        <v>6</v>
      </c>
      <c r="E249" s="124">
        <f t="shared" ref="E249:E280" si="52">SUMPRODUCT(($S$12:$T$239=B249)*($X$12:$Y$239=1))</f>
        <v>1</v>
      </c>
      <c r="F249" s="124">
        <f t="shared" ref="F249:F280" si="53">SUMPRODUCT(($S$12:$T$239=B249)*($X$12:$Y$239=2))</f>
        <v>0</v>
      </c>
      <c r="G249" s="124">
        <f t="shared" ref="G249:G280" si="54">SUMPRODUCT(($S$12:$S$239=B249)*($U$12:$U$239))+SUMPRODUCT(($T$12:$T$239=B249)*($V$12:$V$239))</f>
        <v>17</v>
      </c>
      <c r="H249" s="124">
        <f t="shared" ref="H249:H280" si="55">SUMPRODUCT(($S$12:$S$239=B249)*($V$12:$V$239))+SUMPRODUCT(($T$12:$T$239=B249)*($U$12:$U$239))</f>
        <v>5</v>
      </c>
      <c r="I249" s="16">
        <f t="shared" ref="I249:I280" si="56">(D249*3)+E249</f>
        <v>19</v>
      </c>
      <c r="J249" s="18"/>
      <c r="K249" s="109"/>
    </row>
    <row r="250" spans="1:25" x14ac:dyDescent="0.3">
      <c r="A250" s="24"/>
      <c r="B250" s="21" t="s">
        <v>88</v>
      </c>
      <c r="C250" s="17">
        <f>COUNTIF($S$12:$T$239,"BRD")</f>
        <v>7</v>
      </c>
      <c r="D250" s="43">
        <f t="shared" si="51"/>
        <v>6</v>
      </c>
      <c r="E250" s="43">
        <f t="shared" si="52"/>
        <v>0</v>
      </c>
      <c r="F250" s="43">
        <f t="shared" si="53"/>
        <v>1</v>
      </c>
      <c r="G250" s="43">
        <f t="shared" si="54"/>
        <v>18</v>
      </c>
      <c r="H250" s="43">
        <f t="shared" si="55"/>
        <v>8</v>
      </c>
      <c r="I250" s="22">
        <f t="shared" si="56"/>
        <v>18</v>
      </c>
      <c r="J250" s="18"/>
      <c r="K250" s="109"/>
    </row>
    <row r="251" spans="1:25" x14ac:dyDescent="0.3">
      <c r="A251" s="24"/>
      <c r="B251" s="21" t="s">
        <v>133</v>
      </c>
      <c r="C251" s="17">
        <f>COUNTIF($S$12:$T$239,"Portugal")</f>
        <v>7</v>
      </c>
      <c r="D251" s="43">
        <f t="shared" si="51"/>
        <v>5</v>
      </c>
      <c r="E251" s="43">
        <f t="shared" si="52"/>
        <v>0</v>
      </c>
      <c r="F251" s="43">
        <f t="shared" si="53"/>
        <v>2</v>
      </c>
      <c r="G251" s="43">
        <f t="shared" si="54"/>
        <v>10</v>
      </c>
      <c r="H251" s="43">
        <f t="shared" si="55"/>
        <v>6</v>
      </c>
      <c r="I251" s="22">
        <f t="shared" si="56"/>
        <v>15</v>
      </c>
      <c r="J251" s="18"/>
      <c r="K251" s="109"/>
    </row>
    <row r="252" spans="1:25" x14ac:dyDescent="0.3">
      <c r="A252" s="24"/>
      <c r="B252" s="3" t="s">
        <v>3</v>
      </c>
      <c r="C252" s="17">
        <f>COUNTIF($S$12:$T$239,"Frankreich")</f>
        <v>7</v>
      </c>
      <c r="D252" s="43">
        <f t="shared" si="51"/>
        <v>4</v>
      </c>
      <c r="E252" s="43">
        <f t="shared" si="52"/>
        <v>2</v>
      </c>
      <c r="F252" s="43">
        <f t="shared" si="53"/>
        <v>1</v>
      </c>
      <c r="G252" s="43">
        <f t="shared" si="54"/>
        <v>12</v>
      </c>
      <c r="H252" s="43">
        <f t="shared" si="55"/>
        <v>8</v>
      </c>
      <c r="I252" s="22">
        <f t="shared" si="56"/>
        <v>14</v>
      </c>
      <c r="J252" s="5"/>
      <c r="K252" s="108"/>
    </row>
    <row r="253" spans="1:25" x14ac:dyDescent="0.3">
      <c r="A253" s="24"/>
      <c r="B253" s="21" t="s">
        <v>9</v>
      </c>
      <c r="C253" s="17">
        <f>COUNTIF($S$12:$T$239,"Brasilien")</f>
        <v>5</v>
      </c>
      <c r="D253" s="43">
        <f t="shared" si="51"/>
        <v>4</v>
      </c>
      <c r="E253" s="43">
        <f t="shared" si="52"/>
        <v>0</v>
      </c>
      <c r="F253" s="43">
        <f t="shared" si="53"/>
        <v>1</v>
      </c>
      <c r="G253" s="43">
        <f t="shared" si="54"/>
        <v>10</v>
      </c>
      <c r="H253" s="43">
        <f t="shared" si="55"/>
        <v>2</v>
      </c>
      <c r="I253" s="22">
        <f t="shared" si="56"/>
        <v>12</v>
      </c>
      <c r="J253" s="18"/>
      <c r="K253" s="109"/>
    </row>
    <row r="254" spans="1:25" x14ac:dyDescent="0.3">
      <c r="A254" s="24"/>
      <c r="B254" s="21" t="s">
        <v>5</v>
      </c>
      <c r="C254" s="17">
        <f>COUNTIF($S$12:$T$239,"Argentinien")</f>
        <v>5</v>
      </c>
      <c r="D254" s="43">
        <f t="shared" si="51"/>
        <v>3</v>
      </c>
      <c r="E254" s="43">
        <f t="shared" si="52"/>
        <v>1</v>
      </c>
      <c r="F254" s="43">
        <f t="shared" si="53"/>
        <v>1</v>
      </c>
      <c r="G254" s="43">
        <f t="shared" si="54"/>
        <v>13</v>
      </c>
      <c r="H254" s="43">
        <f t="shared" si="55"/>
        <v>7</v>
      </c>
      <c r="I254" s="22">
        <f t="shared" si="56"/>
        <v>10</v>
      </c>
      <c r="J254" s="18"/>
      <c r="K254" s="109"/>
    </row>
    <row r="255" spans="1:25" x14ac:dyDescent="0.3">
      <c r="A255" s="24"/>
      <c r="B255" s="21" t="s">
        <v>74</v>
      </c>
      <c r="C255" s="17">
        <f>COUNTIF($S$12:$T$239,"England")</f>
        <v>5</v>
      </c>
      <c r="D255" s="43">
        <f t="shared" si="51"/>
        <v>3</v>
      </c>
      <c r="E255" s="43">
        <f t="shared" si="52"/>
        <v>1</v>
      </c>
      <c r="F255" s="43">
        <f t="shared" si="53"/>
        <v>1</v>
      </c>
      <c r="G255" s="43">
        <f t="shared" si="54"/>
        <v>7</v>
      </c>
      <c r="H255" s="43">
        <f t="shared" si="55"/>
        <v>5</v>
      </c>
      <c r="I255" s="22">
        <f t="shared" si="56"/>
        <v>10</v>
      </c>
      <c r="J255" s="18"/>
      <c r="K255" s="109"/>
    </row>
    <row r="256" spans="1:25" x14ac:dyDescent="0.3">
      <c r="A256" s="24"/>
      <c r="B256" s="3" t="s">
        <v>35</v>
      </c>
      <c r="C256" s="17">
        <f>COUNTIF($S$12:$T$239,"Spanien")</f>
        <v>4</v>
      </c>
      <c r="D256" s="43">
        <f t="shared" si="51"/>
        <v>3</v>
      </c>
      <c r="E256" s="43">
        <f t="shared" si="52"/>
        <v>0</v>
      </c>
      <c r="F256" s="43">
        <f t="shared" si="53"/>
        <v>1</v>
      </c>
      <c r="G256" s="43">
        <f t="shared" si="54"/>
        <v>9</v>
      </c>
      <c r="H256" s="43">
        <f t="shared" si="55"/>
        <v>4</v>
      </c>
      <c r="I256" s="22">
        <f t="shared" si="56"/>
        <v>9</v>
      </c>
      <c r="J256" s="5"/>
      <c r="K256" s="108"/>
    </row>
    <row r="257" spans="1:11" x14ac:dyDescent="0.3">
      <c r="A257" s="24"/>
      <c r="B257" s="3" t="s">
        <v>392</v>
      </c>
      <c r="C257" s="17">
        <f>COUNTIF($S$12:$T$239,"Ukraine")</f>
        <v>5</v>
      </c>
      <c r="D257" s="43">
        <f t="shared" si="51"/>
        <v>3</v>
      </c>
      <c r="E257" s="43">
        <f t="shared" si="52"/>
        <v>0</v>
      </c>
      <c r="F257" s="43">
        <f t="shared" si="53"/>
        <v>2</v>
      </c>
      <c r="G257" s="43">
        <f t="shared" si="54"/>
        <v>8</v>
      </c>
      <c r="H257" s="43">
        <f t="shared" si="55"/>
        <v>7</v>
      </c>
      <c r="I257" s="22">
        <f t="shared" si="56"/>
        <v>9</v>
      </c>
      <c r="J257" s="5"/>
      <c r="K257" s="108"/>
    </row>
    <row r="258" spans="1:11" x14ac:dyDescent="0.3">
      <c r="A258" s="24"/>
      <c r="B258" s="3" t="s">
        <v>43</v>
      </c>
      <c r="C258" s="17">
        <f>COUNTIF($S$12:$T$239,"Schweiz")</f>
        <v>4</v>
      </c>
      <c r="D258" s="43">
        <f t="shared" si="51"/>
        <v>2</v>
      </c>
      <c r="E258" s="43">
        <f t="shared" si="52"/>
        <v>1</v>
      </c>
      <c r="F258" s="43">
        <f t="shared" si="53"/>
        <v>1</v>
      </c>
      <c r="G258" s="43">
        <f t="shared" si="54"/>
        <v>4</v>
      </c>
      <c r="H258" s="43">
        <f t="shared" si="55"/>
        <v>3</v>
      </c>
      <c r="I258" s="22">
        <f t="shared" si="56"/>
        <v>7</v>
      </c>
      <c r="J258" s="5"/>
      <c r="K258" s="108"/>
    </row>
    <row r="259" spans="1:11" x14ac:dyDescent="0.3">
      <c r="A259" s="24"/>
      <c r="B259" s="21" t="s">
        <v>63</v>
      </c>
      <c r="C259" s="17">
        <f>COUNTIF($S$12:$T$239,"Niederlande")</f>
        <v>4</v>
      </c>
      <c r="D259" s="43">
        <f t="shared" si="51"/>
        <v>2</v>
      </c>
      <c r="E259" s="43">
        <f t="shared" si="52"/>
        <v>1</v>
      </c>
      <c r="F259" s="43">
        <f t="shared" si="53"/>
        <v>1</v>
      </c>
      <c r="G259" s="43">
        <f t="shared" si="54"/>
        <v>3</v>
      </c>
      <c r="H259" s="43">
        <f t="shared" si="55"/>
        <v>2</v>
      </c>
      <c r="I259" s="22">
        <f t="shared" si="56"/>
        <v>7</v>
      </c>
      <c r="J259" s="18"/>
      <c r="K259" s="109"/>
    </row>
    <row r="260" spans="1:11" x14ac:dyDescent="0.3">
      <c r="A260" s="24"/>
      <c r="B260" s="21" t="s">
        <v>377</v>
      </c>
      <c r="C260" s="17">
        <f>COUNTIF($S$12:$T$239,"Ecuador")</f>
        <v>4</v>
      </c>
      <c r="D260" s="43">
        <f t="shared" si="51"/>
        <v>2</v>
      </c>
      <c r="E260" s="43">
        <f t="shared" si="52"/>
        <v>0</v>
      </c>
      <c r="F260" s="43">
        <f t="shared" si="53"/>
        <v>2</v>
      </c>
      <c r="G260" s="43">
        <f t="shared" si="54"/>
        <v>5</v>
      </c>
      <c r="H260" s="43">
        <f t="shared" si="55"/>
        <v>4</v>
      </c>
      <c r="I260" s="22">
        <f t="shared" si="56"/>
        <v>6</v>
      </c>
      <c r="J260" s="18"/>
      <c r="K260" s="109"/>
    </row>
    <row r="261" spans="1:11" x14ac:dyDescent="0.3">
      <c r="A261" s="24"/>
      <c r="B261" s="21" t="s">
        <v>390</v>
      </c>
      <c r="C261" s="17">
        <f>COUNTIF($S$12:$T$239,"Ghana")</f>
        <v>4</v>
      </c>
      <c r="D261" s="43">
        <f t="shared" si="51"/>
        <v>2</v>
      </c>
      <c r="E261" s="43">
        <f t="shared" si="52"/>
        <v>0</v>
      </c>
      <c r="F261" s="43">
        <f t="shared" si="53"/>
        <v>2</v>
      </c>
      <c r="G261" s="43">
        <f t="shared" si="54"/>
        <v>4</v>
      </c>
      <c r="H261" s="43">
        <f t="shared" si="55"/>
        <v>6</v>
      </c>
      <c r="I261" s="22">
        <f t="shared" si="56"/>
        <v>6</v>
      </c>
      <c r="J261" s="18"/>
      <c r="K261" s="109"/>
    </row>
    <row r="262" spans="1:11" x14ac:dyDescent="0.3">
      <c r="A262" s="24"/>
      <c r="B262" s="21" t="s">
        <v>41</v>
      </c>
      <c r="C262" s="17">
        <f>COUNTIF($S$12:$T$239,"Schweden")</f>
        <v>4</v>
      </c>
      <c r="D262" s="43">
        <f t="shared" si="51"/>
        <v>1</v>
      </c>
      <c r="E262" s="43">
        <f t="shared" si="52"/>
        <v>2</v>
      </c>
      <c r="F262" s="43">
        <f t="shared" si="53"/>
        <v>1</v>
      </c>
      <c r="G262" s="43">
        <f t="shared" si="54"/>
        <v>3</v>
      </c>
      <c r="H262" s="43">
        <f t="shared" si="55"/>
        <v>4</v>
      </c>
      <c r="I262" s="22">
        <f t="shared" si="56"/>
        <v>5</v>
      </c>
      <c r="J262" s="18"/>
      <c r="K262" s="109"/>
    </row>
    <row r="263" spans="1:11" x14ac:dyDescent="0.3">
      <c r="A263" s="24"/>
      <c r="B263" s="21" t="s">
        <v>4</v>
      </c>
      <c r="C263" s="17">
        <f>COUNTIF($S$12:$T$239,"Mexiko")</f>
        <v>4</v>
      </c>
      <c r="D263" s="43">
        <f t="shared" si="51"/>
        <v>1</v>
      </c>
      <c r="E263" s="43">
        <f t="shared" si="52"/>
        <v>1</v>
      </c>
      <c r="F263" s="43">
        <f t="shared" si="53"/>
        <v>2</v>
      </c>
      <c r="G263" s="43">
        <f t="shared" si="54"/>
        <v>5</v>
      </c>
      <c r="H263" s="43">
        <f t="shared" si="55"/>
        <v>5</v>
      </c>
      <c r="I263" s="22">
        <f t="shared" si="56"/>
        <v>4</v>
      </c>
      <c r="J263" s="18"/>
      <c r="K263" s="109"/>
    </row>
    <row r="264" spans="1:11" x14ac:dyDescent="0.3">
      <c r="A264" s="24"/>
      <c r="B264" s="21" t="s">
        <v>152</v>
      </c>
      <c r="C264" s="17">
        <f>COUNTIF($S$12:$T$239,"Australien")</f>
        <v>4</v>
      </c>
      <c r="D264" s="43">
        <f t="shared" si="51"/>
        <v>1</v>
      </c>
      <c r="E264" s="43">
        <f t="shared" si="52"/>
        <v>1</v>
      </c>
      <c r="F264" s="43">
        <f t="shared" si="53"/>
        <v>2</v>
      </c>
      <c r="G264" s="43">
        <f t="shared" si="54"/>
        <v>5</v>
      </c>
      <c r="H264" s="43">
        <f t="shared" si="55"/>
        <v>6</v>
      </c>
      <c r="I264" s="22">
        <f t="shared" si="56"/>
        <v>4</v>
      </c>
      <c r="J264" s="18"/>
      <c r="K264" s="109"/>
    </row>
    <row r="265" spans="1:11" x14ac:dyDescent="0.3">
      <c r="A265" s="24"/>
      <c r="B265" s="3" t="s">
        <v>90</v>
      </c>
      <c r="C265" s="17">
        <f>COUNTIF($S$12:$T$239,"Südkorea")</f>
        <v>3</v>
      </c>
      <c r="D265" s="43">
        <f t="shared" si="51"/>
        <v>1</v>
      </c>
      <c r="E265" s="43">
        <f t="shared" si="52"/>
        <v>1</v>
      </c>
      <c r="F265" s="43">
        <f t="shared" si="53"/>
        <v>1</v>
      </c>
      <c r="G265" s="43">
        <f t="shared" si="54"/>
        <v>3</v>
      </c>
      <c r="H265" s="43">
        <f t="shared" si="55"/>
        <v>4</v>
      </c>
      <c r="I265" s="22">
        <f t="shared" si="56"/>
        <v>4</v>
      </c>
      <c r="J265" s="5"/>
      <c r="K265" s="108"/>
    </row>
    <row r="266" spans="1:11" x14ac:dyDescent="0.3">
      <c r="A266" s="24"/>
      <c r="B266" s="21" t="s">
        <v>385</v>
      </c>
      <c r="C266" s="17">
        <f>COUNTIF($S$12:$T$239,"Elfenbeinküste")</f>
        <v>3</v>
      </c>
      <c r="D266" s="43">
        <f t="shared" si="51"/>
        <v>1</v>
      </c>
      <c r="E266" s="43">
        <f t="shared" si="52"/>
        <v>0</v>
      </c>
      <c r="F266" s="43">
        <f t="shared" si="53"/>
        <v>2</v>
      </c>
      <c r="G266" s="43">
        <f t="shared" si="54"/>
        <v>5</v>
      </c>
      <c r="H266" s="43">
        <f t="shared" si="55"/>
        <v>6</v>
      </c>
      <c r="I266" s="22">
        <f t="shared" si="56"/>
        <v>3</v>
      </c>
      <c r="J266" s="18"/>
      <c r="K266" s="109"/>
    </row>
    <row r="267" spans="1:11" x14ac:dyDescent="0.3">
      <c r="A267" s="24"/>
      <c r="B267" s="21" t="s">
        <v>389</v>
      </c>
      <c r="C267" s="17">
        <f>COUNTIF($S$12:$T$239,"Tschechien")</f>
        <v>3</v>
      </c>
      <c r="D267" s="43">
        <f t="shared" si="51"/>
        <v>1</v>
      </c>
      <c r="E267" s="43">
        <f t="shared" si="52"/>
        <v>0</v>
      </c>
      <c r="F267" s="43">
        <f t="shared" si="53"/>
        <v>2</v>
      </c>
      <c r="G267" s="43">
        <f t="shared" si="54"/>
        <v>3</v>
      </c>
      <c r="H267" s="43">
        <f t="shared" si="55"/>
        <v>4</v>
      </c>
      <c r="I267" s="22">
        <f t="shared" si="56"/>
        <v>3</v>
      </c>
      <c r="J267" s="18"/>
      <c r="K267" s="109"/>
    </row>
    <row r="268" spans="1:11" x14ac:dyDescent="0.3">
      <c r="A268" s="24"/>
      <c r="B268" s="21" t="s">
        <v>22</v>
      </c>
      <c r="C268" s="17">
        <f>COUNTIF($S$12:$T$239,"Paraguay")</f>
        <v>3</v>
      </c>
      <c r="D268" s="43">
        <f t="shared" si="51"/>
        <v>1</v>
      </c>
      <c r="E268" s="43">
        <f t="shared" si="52"/>
        <v>0</v>
      </c>
      <c r="F268" s="43">
        <f t="shared" si="53"/>
        <v>2</v>
      </c>
      <c r="G268" s="43">
        <f t="shared" si="54"/>
        <v>2</v>
      </c>
      <c r="H268" s="43">
        <f t="shared" si="55"/>
        <v>2</v>
      </c>
      <c r="I268" s="22">
        <f t="shared" si="56"/>
        <v>3</v>
      </c>
      <c r="J268" s="18"/>
      <c r="K268" s="35"/>
    </row>
    <row r="269" spans="1:11" x14ac:dyDescent="0.3">
      <c r="A269" s="24"/>
      <c r="B269" s="21" t="s">
        <v>61</v>
      </c>
      <c r="C269" s="17">
        <f>COUNTIF($S$12:$T$239,"Polen")</f>
        <v>3</v>
      </c>
      <c r="D269" s="43">
        <f t="shared" si="51"/>
        <v>1</v>
      </c>
      <c r="E269" s="43">
        <f t="shared" si="52"/>
        <v>0</v>
      </c>
      <c r="F269" s="43">
        <f t="shared" si="53"/>
        <v>2</v>
      </c>
      <c r="G269" s="43">
        <f t="shared" si="54"/>
        <v>2</v>
      </c>
      <c r="H269" s="43">
        <f t="shared" si="55"/>
        <v>4</v>
      </c>
      <c r="I269" s="22">
        <f t="shared" si="56"/>
        <v>3</v>
      </c>
      <c r="J269" s="18"/>
      <c r="K269" s="109"/>
    </row>
    <row r="270" spans="1:11" x14ac:dyDescent="0.3">
      <c r="A270" s="24"/>
      <c r="B270" s="21" t="s">
        <v>353</v>
      </c>
      <c r="C270" s="17">
        <f>COUNTIF($S$12:$T$239,"Kroatien")</f>
        <v>3</v>
      </c>
      <c r="D270" s="43">
        <f t="shared" si="51"/>
        <v>0</v>
      </c>
      <c r="E270" s="43">
        <f t="shared" si="52"/>
        <v>2</v>
      </c>
      <c r="F270" s="43">
        <f t="shared" si="53"/>
        <v>1</v>
      </c>
      <c r="G270" s="43">
        <f t="shared" si="54"/>
        <v>2</v>
      </c>
      <c r="H270" s="43">
        <f t="shared" si="55"/>
        <v>3</v>
      </c>
      <c r="I270" s="22">
        <f t="shared" si="56"/>
        <v>2</v>
      </c>
      <c r="J270" s="18"/>
      <c r="K270" s="109"/>
    </row>
    <row r="271" spans="1:11" x14ac:dyDescent="0.3">
      <c r="A271" s="24"/>
      <c r="B271" s="21" t="s">
        <v>388</v>
      </c>
      <c r="C271" s="17">
        <f>COUNTIF($S$12:$T$239,"Angola")</f>
        <v>3</v>
      </c>
      <c r="D271" s="43">
        <f t="shared" si="51"/>
        <v>0</v>
      </c>
      <c r="E271" s="43">
        <f t="shared" si="52"/>
        <v>2</v>
      </c>
      <c r="F271" s="43">
        <f t="shared" si="53"/>
        <v>1</v>
      </c>
      <c r="G271" s="43">
        <f t="shared" si="54"/>
        <v>1</v>
      </c>
      <c r="H271" s="43">
        <f t="shared" si="55"/>
        <v>2</v>
      </c>
      <c r="I271" s="22">
        <f t="shared" si="56"/>
        <v>2</v>
      </c>
      <c r="J271" s="18"/>
      <c r="K271" s="109"/>
    </row>
    <row r="272" spans="1:11" x14ac:dyDescent="0.3">
      <c r="A272" s="24"/>
      <c r="B272" s="3" t="s">
        <v>176</v>
      </c>
      <c r="C272" s="17">
        <f>COUNTIF($S$12:$T$239,"Tunesien")</f>
        <v>3</v>
      </c>
      <c r="D272" s="43">
        <f t="shared" si="51"/>
        <v>0</v>
      </c>
      <c r="E272" s="43">
        <f t="shared" si="52"/>
        <v>1</v>
      </c>
      <c r="F272" s="43">
        <f t="shared" si="53"/>
        <v>2</v>
      </c>
      <c r="G272" s="43">
        <f t="shared" si="54"/>
        <v>3</v>
      </c>
      <c r="H272" s="43">
        <f t="shared" si="55"/>
        <v>6</v>
      </c>
      <c r="I272" s="22">
        <f t="shared" si="56"/>
        <v>1</v>
      </c>
      <c r="J272" s="5"/>
      <c r="K272" s="108"/>
    </row>
    <row r="273" spans="1:11" x14ac:dyDescent="0.3">
      <c r="A273" s="24"/>
      <c r="B273" s="21" t="s">
        <v>177</v>
      </c>
      <c r="C273" s="17">
        <f>COUNTIF($S$12:$T$239,"Iran")</f>
        <v>3</v>
      </c>
      <c r="D273" s="43">
        <f t="shared" si="51"/>
        <v>0</v>
      </c>
      <c r="E273" s="43">
        <f t="shared" si="52"/>
        <v>1</v>
      </c>
      <c r="F273" s="43">
        <f t="shared" si="53"/>
        <v>2</v>
      </c>
      <c r="G273" s="43">
        <f t="shared" si="54"/>
        <v>2</v>
      </c>
      <c r="H273" s="43">
        <f t="shared" si="55"/>
        <v>6</v>
      </c>
      <c r="I273" s="22">
        <f t="shared" si="56"/>
        <v>1</v>
      </c>
      <c r="J273" s="18"/>
      <c r="K273" s="109"/>
    </row>
    <row r="274" spans="1:11" x14ac:dyDescent="0.3">
      <c r="A274" s="24"/>
      <c r="B274" s="21" t="s">
        <v>20</v>
      </c>
      <c r="C274" s="17">
        <f>COUNTIF($S$12:$T$239,"USA")</f>
        <v>3</v>
      </c>
      <c r="D274" s="43">
        <f t="shared" si="51"/>
        <v>0</v>
      </c>
      <c r="E274" s="43">
        <f t="shared" si="52"/>
        <v>1</v>
      </c>
      <c r="F274" s="43">
        <f t="shared" si="53"/>
        <v>2</v>
      </c>
      <c r="G274" s="43">
        <f t="shared" si="54"/>
        <v>2</v>
      </c>
      <c r="H274" s="43">
        <f t="shared" si="55"/>
        <v>6</v>
      </c>
      <c r="I274" s="22">
        <f t="shared" si="56"/>
        <v>1</v>
      </c>
      <c r="J274" s="18"/>
      <c r="K274" s="109"/>
    </row>
    <row r="275" spans="1:11" x14ac:dyDescent="0.3">
      <c r="A275" s="24"/>
      <c r="B275" s="21" t="s">
        <v>351</v>
      </c>
      <c r="C275" s="17">
        <f>COUNTIF($S$12:$T$239,"Japan")</f>
        <v>3</v>
      </c>
      <c r="D275" s="43">
        <f t="shared" si="51"/>
        <v>0</v>
      </c>
      <c r="E275" s="43">
        <f t="shared" si="52"/>
        <v>1</v>
      </c>
      <c r="F275" s="43">
        <f t="shared" si="53"/>
        <v>2</v>
      </c>
      <c r="G275" s="43">
        <f t="shared" si="54"/>
        <v>2</v>
      </c>
      <c r="H275" s="43">
        <f t="shared" si="55"/>
        <v>7</v>
      </c>
      <c r="I275" s="22">
        <f t="shared" si="56"/>
        <v>1</v>
      </c>
      <c r="J275" s="18"/>
      <c r="K275" s="109"/>
    </row>
    <row r="276" spans="1:11" x14ac:dyDescent="0.3">
      <c r="A276" s="24"/>
      <c r="B276" s="3" t="s">
        <v>313</v>
      </c>
      <c r="C276" s="17">
        <f>COUNTIF($S$12:$T$239,"Saudi-Arabien")</f>
        <v>3</v>
      </c>
      <c r="D276" s="43">
        <f t="shared" si="51"/>
        <v>0</v>
      </c>
      <c r="E276" s="43">
        <f t="shared" si="52"/>
        <v>1</v>
      </c>
      <c r="F276" s="43">
        <f t="shared" si="53"/>
        <v>2</v>
      </c>
      <c r="G276" s="43">
        <f t="shared" si="54"/>
        <v>2</v>
      </c>
      <c r="H276" s="43">
        <f t="shared" si="55"/>
        <v>7</v>
      </c>
      <c r="I276" s="22">
        <f t="shared" si="56"/>
        <v>1</v>
      </c>
      <c r="J276" s="5"/>
      <c r="K276" s="108"/>
    </row>
    <row r="277" spans="1:11" x14ac:dyDescent="0.3">
      <c r="A277" s="24"/>
      <c r="B277" s="21" t="s">
        <v>381</v>
      </c>
      <c r="C277" s="17">
        <f>COUNTIF($S$12:$T$239,"Trin u. Tobago")</f>
        <v>3</v>
      </c>
      <c r="D277" s="43">
        <f t="shared" si="51"/>
        <v>0</v>
      </c>
      <c r="E277" s="43">
        <f t="shared" si="52"/>
        <v>1</v>
      </c>
      <c r="F277" s="43">
        <f t="shared" si="53"/>
        <v>2</v>
      </c>
      <c r="G277" s="43">
        <f t="shared" si="54"/>
        <v>0</v>
      </c>
      <c r="H277" s="43">
        <f t="shared" si="55"/>
        <v>4</v>
      </c>
      <c r="I277" s="22">
        <f t="shared" si="56"/>
        <v>1</v>
      </c>
      <c r="J277" s="18"/>
      <c r="K277" s="109"/>
    </row>
    <row r="278" spans="1:11" x14ac:dyDescent="0.3">
      <c r="A278" s="24"/>
      <c r="B278" s="21" t="s">
        <v>286</v>
      </c>
      <c r="C278" s="17">
        <f>COUNTIF($S$12:$T$239,"Costa Rica")</f>
        <v>3</v>
      </c>
      <c r="D278" s="43">
        <f t="shared" si="51"/>
        <v>0</v>
      </c>
      <c r="E278" s="43">
        <f t="shared" si="52"/>
        <v>0</v>
      </c>
      <c r="F278" s="43">
        <f t="shared" si="53"/>
        <v>3</v>
      </c>
      <c r="G278" s="43">
        <f t="shared" si="54"/>
        <v>3</v>
      </c>
      <c r="H278" s="43">
        <f t="shared" si="55"/>
        <v>9</v>
      </c>
      <c r="I278" s="22">
        <f t="shared" si="56"/>
        <v>0</v>
      </c>
      <c r="J278" s="18"/>
      <c r="K278" s="109"/>
    </row>
    <row r="279" spans="1:11" x14ac:dyDescent="0.3">
      <c r="A279" s="24"/>
      <c r="B279" s="21" t="s">
        <v>386</v>
      </c>
      <c r="C279" s="17">
        <f>COUNTIF($S$12:$T$239,"Serb u. Monte")</f>
        <v>3</v>
      </c>
      <c r="D279" s="43">
        <f t="shared" si="51"/>
        <v>0</v>
      </c>
      <c r="E279" s="43">
        <f t="shared" si="52"/>
        <v>0</v>
      </c>
      <c r="F279" s="43">
        <f t="shared" si="53"/>
        <v>3</v>
      </c>
      <c r="G279" s="43">
        <f t="shared" si="54"/>
        <v>2</v>
      </c>
      <c r="H279" s="43">
        <f t="shared" si="55"/>
        <v>10</v>
      </c>
      <c r="I279" s="22">
        <f t="shared" si="56"/>
        <v>0</v>
      </c>
      <c r="J279" s="18"/>
      <c r="K279" s="109"/>
    </row>
    <row r="280" spans="1:11" ht="15" thickBot="1" x14ac:dyDescent="0.35">
      <c r="A280" s="24"/>
      <c r="B280" s="7" t="s">
        <v>391</v>
      </c>
      <c r="C280" s="30">
        <f>COUNTIF($S$12:$T$239,"Togo")</f>
        <v>3</v>
      </c>
      <c r="D280" s="80">
        <f t="shared" si="51"/>
        <v>0</v>
      </c>
      <c r="E280" s="80">
        <f t="shared" si="52"/>
        <v>0</v>
      </c>
      <c r="F280" s="80">
        <f t="shared" si="53"/>
        <v>3</v>
      </c>
      <c r="G280" s="80">
        <f t="shared" si="54"/>
        <v>1</v>
      </c>
      <c r="H280" s="80">
        <f t="shared" si="55"/>
        <v>6</v>
      </c>
      <c r="I280" s="32">
        <f t="shared" si="56"/>
        <v>0</v>
      </c>
      <c r="J280" s="5"/>
      <c r="K280" s="108"/>
    </row>
    <row r="281" spans="1:11" x14ac:dyDescent="0.3">
      <c r="A281" s="302"/>
      <c r="B281" s="301"/>
      <c r="C281" s="301"/>
      <c r="D281" s="301"/>
      <c r="E281" s="301"/>
      <c r="F281" s="301"/>
      <c r="G281" s="5"/>
      <c r="H281" s="5"/>
      <c r="I281" s="5"/>
      <c r="J281" s="5"/>
      <c r="K281" s="108"/>
    </row>
    <row r="282" spans="1:11" ht="15" thickBot="1" x14ac:dyDescent="0.35">
      <c r="A282" s="110"/>
      <c r="B282" s="36"/>
      <c r="C282" s="36"/>
      <c r="D282" s="36"/>
      <c r="E282" s="36"/>
      <c r="F282" s="36"/>
      <c r="G282" s="37"/>
      <c r="H282" s="37"/>
      <c r="I282" s="37"/>
      <c r="J282" s="37"/>
      <c r="K282" s="193"/>
    </row>
    <row r="283" spans="1:11" ht="15" thickTop="1" x14ac:dyDescent="0.3"/>
  </sheetData>
  <sortState ref="A248:Y279">
    <sortCondition descending="1" ref="I248:I279"/>
    <sortCondition descending="1" ref="G248:G279"/>
    <sortCondition ref="H248:H279"/>
  </sortState>
  <mergeCells count="5">
    <mergeCell ref="C229:I229"/>
    <mergeCell ref="C237:I237"/>
    <mergeCell ref="A2:J2"/>
    <mergeCell ref="A4:J4"/>
    <mergeCell ref="A5:J5"/>
  </mergeCells>
  <pageMargins left="0.7" right="0.7" top="0.78740157499999996" bottom="0.78740157499999996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A128"/>
  <sheetViews>
    <sheetView topLeftCell="A69" zoomScaleNormal="100" workbookViewId="0">
      <selection activeCell="N90" sqref="N90"/>
    </sheetView>
  </sheetViews>
  <sheetFormatPr baseColWidth="10" defaultRowHeight="14.4" x14ac:dyDescent="0.3"/>
  <cols>
    <col min="1" max="6" width="11.77734375" style="1" customWidth="1"/>
    <col min="7" max="17" width="11.77734375" style="2" customWidth="1"/>
    <col min="18" max="18" width="11.77734375" customWidth="1"/>
    <col min="19" max="25" width="11.77734375" style="100" customWidth="1"/>
    <col min="27" max="27" width="11.5546875" style="357"/>
  </cols>
  <sheetData>
    <row r="1" spans="1:27" ht="15" thickTop="1" x14ac:dyDescent="0.3">
      <c r="A1" s="106"/>
      <c r="B1" s="25"/>
      <c r="C1" s="25"/>
      <c r="D1" s="25"/>
      <c r="E1" s="25"/>
      <c r="F1" s="25"/>
      <c r="G1" s="26"/>
      <c r="H1" s="26"/>
      <c r="I1" s="26"/>
      <c r="J1" s="26"/>
      <c r="K1" s="154"/>
      <c r="S1" s="114"/>
      <c r="T1" s="115"/>
      <c r="U1" s="115"/>
      <c r="V1" s="115"/>
      <c r="W1" s="115"/>
      <c r="X1" s="115"/>
      <c r="Y1" s="116"/>
    </row>
    <row r="2" spans="1:27" ht="46.2" x14ac:dyDescent="0.85">
      <c r="A2" s="425" t="s">
        <v>50</v>
      </c>
      <c r="B2" s="426"/>
      <c r="C2" s="426"/>
      <c r="D2" s="426"/>
      <c r="E2" s="426"/>
      <c r="F2" s="426"/>
      <c r="G2" s="426"/>
      <c r="H2" s="426"/>
      <c r="I2" s="426"/>
      <c r="J2" s="426"/>
      <c r="K2" s="434"/>
      <c r="L2" s="101"/>
      <c r="M2" s="101"/>
      <c r="N2" s="101"/>
      <c r="O2" s="101"/>
      <c r="P2" s="101"/>
      <c r="Q2" s="101"/>
      <c r="S2" s="117"/>
      <c r="T2" s="104"/>
      <c r="U2" s="104"/>
      <c r="V2" s="104"/>
      <c r="W2" s="104"/>
      <c r="X2" s="104"/>
      <c r="Y2" s="118"/>
    </row>
    <row r="3" spans="1:27" x14ac:dyDescent="0.3">
      <c r="A3" s="147"/>
      <c r="B3" s="146"/>
      <c r="C3" s="146"/>
      <c r="D3" s="146"/>
      <c r="E3" s="146"/>
      <c r="F3" s="146"/>
      <c r="G3" s="5"/>
      <c r="H3" s="5"/>
      <c r="I3" s="5"/>
      <c r="J3" s="5"/>
      <c r="K3" s="155"/>
      <c r="S3" s="117"/>
      <c r="T3" s="104"/>
      <c r="U3" s="104"/>
      <c r="V3" s="104"/>
      <c r="W3" s="104"/>
      <c r="X3" s="104"/>
      <c r="Y3" s="118"/>
    </row>
    <row r="4" spans="1:27" ht="28.8" x14ac:dyDescent="0.55000000000000004">
      <c r="A4" s="428" t="s">
        <v>51</v>
      </c>
      <c r="B4" s="429"/>
      <c r="C4" s="429"/>
      <c r="D4" s="429"/>
      <c r="E4" s="429"/>
      <c r="F4" s="429"/>
      <c r="G4" s="429"/>
      <c r="H4" s="429"/>
      <c r="I4" s="429"/>
      <c r="J4" s="429"/>
      <c r="K4" s="434"/>
      <c r="L4" s="102"/>
      <c r="M4" s="102"/>
      <c r="N4" s="102"/>
      <c r="O4" s="102"/>
      <c r="P4" s="102"/>
      <c r="Q4" s="102"/>
      <c r="S4" s="117"/>
      <c r="T4" s="104"/>
      <c r="U4" s="104"/>
      <c r="V4" s="104"/>
      <c r="W4" s="104"/>
      <c r="X4" s="104"/>
      <c r="Y4" s="118"/>
    </row>
    <row r="5" spans="1:27" ht="21" x14ac:dyDescent="0.4">
      <c r="A5" s="430" t="s">
        <v>265</v>
      </c>
      <c r="B5" s="431"/>
      <c r="C5" s="431"/>
      <c r="D5" s="431"/>
      <c r="E5" s="431"/>
      <c r="F5" s="431"/>
      <c r="G5" s="431"/>
      <c r="H5" s="431"/>
      <c r="I5" s="431"/>
      <c r="J5" s="431"/>
      <c r="K5" s="434"/>
      <c r="L5" s="103"/>
      <c r="M5" s="103"/>
      <c r="N5" s="103"/>
      <c r="O5" s="103"/>
      <c r="P5" s="103"/>
      <c r="Q5" s="103"/>
      <c r="S5" s="117"/>
      <c r="T5" s="104"/>
      <c r="U5" s="104"/>
      <c r="V5" s="104"/>
      <c r="W5" s="104"/>
      <c r="X5" s="104"/>
      <c r="Y5" s="118"/>
    </row>
    <row r="6" spans="1:27" x14ac:dyDescent="0.3">
      <c r="A6" s="147"/>
      <c r="B6" s="67"/>
      <c r="C6" s="146"/>
      <c r="D6" s="146"/>
      <c r="E6" s="146"/>
      <c r="F6" s="146"/>
      <c r="G6" s="5"/>
      <c r="H6" s="5"/>
      <c r="I6" s="5"/>
      <c r="J6" s="5"/>
      <c r="K6" s="155"/>
      <c r="S6" s="117"/>
      <c r="T6" s="104"/>
      <c r="U6" s="104"/>
      <c r="V6" s="104"/>
      <c r="W6" s="104"/>
      <c r="X6" s="104"/>
      <c r="Y6" s="118"/>
    </row>
    <row r="7" spans="1:27" x14ac:dyDescent="0.3">
      <c r="A7" s="432" t="s">
        <v>49</v>
      </c>
      <c r="B7" s="424"/>
      <c r="C7" s="424"/>
      <c r="D7" s="424"/>
      <c r="E7" s="424"/>
      <c r="F7" s="424"/>
      <c r="G7" s="424"/>
      <c r="H7" s="424"/>
      <c r="I7" s="424"/>
      <c r="J7" s="424"/>
      <c r="K7" s="434"/>
      <c r="L7" s="100"/>
      <c r="M7" s="100"/>
      <c r="N7" s="100"/>
      <c r="O7" s="100"/>
      <c r="P7" s="100"/>
      <c r="Q7" s="100"/>
      <c r="S7" s="117"/>
      <c r="T7" s="104"/>
      <c r="U7" s="104"/>
      <c r="V7" s="104"/>
      <c r="W7" s="104"/>
      <c r="X7" s="104"/>
      <c r="Y7" s="118"/>
    </row>
    <row r="8" spans="1:27" x14ac:dyDescent="0.3">
      <c r="A8" s="147"/>
      <c r="B8" s="146"/>
      <c r="C8" s="146"/>
      <c r="D8" s="146"/>
      <c r="E8" s="146"/>
      <c r="F8" s="146"/>
      <c r="G8" s="146"/>
      <c r="H8" s="146"/>
      <c r="I8" s="146"/>
      <c r="J8" s="146"/>
      <c r="K8" s="93"/>
      <c r="L8" s="100"/>
      <c r="M8" s="100"/>
      <c r="N8" s="100"/>
      <c r="O8" s="100"/>
      <c r="P8" s="100"/>
      <c r="Q8" s="100"/>
      <c r="S8" s="117"/>
      <c r="T8" s="104"/>
      <c r="U8" s="104"/>
      <c r="V8" s="104"/>
      <c r="W8" s="104"/>
      <c r="X8" s="104"/>
      <c r="Y8" s="118"/>
    </row>
    <row r="9" spans="1:27" x14ac:dyDescent="0.3">
      <c r="A9" s="147"/>
      <c r="B9" s="146"/>
      <c r="C9" s="146"/>
      <c r="D9" s="146"/>
      <c r="E9" s="146"/>
      <c r="F9" s="146"/>
      <c r="G9" s="146"/>
      <c r="H9" s="146"/>
      <c r="I9" s="146"/>
      <c r="J9" s="146"/>
      <c r="K9" s="93"/>
      <c r="L9" s="100"/>
      <c r="M9" s="100"/>
      <c r="N9" s="100"/>
      <c r="O9" s="100"/>
      <c r="P9" s="100"/>
      <c r="Q9" s="100"/>
      <c r="S9" s="117"/>
      <c r="T9" s="104"/>
      <c r="U9" s="104"/>
      <c r="V9" s="104"/>
      <c r="W9" s="104"/>
      <c r="X9" s="104"/>
      <c r="Y9" s="118"/>
    </row>
    <row r="10" spans="1:27" ht="21" x14ac:dyDescent="0.4">
      <c r="A10" s="147"/>
      <c r="B10" s="146"/>
      <c r="C10" s="146"/>
      <c r="D10" s="146"/>
      <c r="E10" s="146"/>
      <c r="F10" s="145" t="s">
        <v>28</v>
      </c>
      <c r="G10" s="5"/>
      <c r="H10" s="5"/>
      <c r="I10" s="5"/>
      <c r="J10" s="5"/>
      <c r="K10" s="155"/>
      <c r="S10" s="117"/>
      <c r="T10" s="104"/>
      <c r="U10" s="104"/>
      <c r="V10" s="104"/>
      <c r="W10" s="104"/>
      <c r="X10" s="104"/>
      <c r="Y10" s="118"/>
    </row>
    <row r="11" spans="1:27" x14ac:dyDescent="0.3">
      <c r="A11" s="147"/>
      <c r="B11" s="146"/>
      <c r="C11" s="146"/>
      <c r="D11" s="146"/>
      <c r="E11" s="146"/>
      <c r="F11" s="146"/>
      <c r="G11" s="5"/>
      <c r="H11" s="5"/>
      <c r="I11" s="5"/>
      <c r="J11" s="5"/>
      <c r="K11" s="155"/>
      <c r="S11" s="117"/>
      <c r="T11" s="104"/>
      <c r="U11" s="104"/>
      <c r="V11" s="104"/>
      <c r="W11" s="104"/>
      <c r="X11" s="104"/>
      <c r="Y11" s="118"/>
    </row>
    <row r="12" spans="1:27" x14ac:dyDescent="0.3">
      <c r="A12" s="147"/>
      <c r="B12" s="146"/>
      <c r="C12" s="40">
        <v>12566</v>
      </c>
      <c r="D12" s="66" t="s">
        <v>37</v>
      </c>
      <c r="E12" s="66" t="s">
        <v>20</v>
      </c>
      <c r="F12" s="33">
        <v>7</v>
      </c>
      <c r="G12" s="33">
        <v>1</v>
      </c>
      <c r="H12" s="146"/>
      <c r="I12" s="5" t="s">
        <v>38</v>
      </c>
      <c r="J12" s="5"/>
      <c r="K12" s="155"/>
      <c r="S12" s="122" t="s">
        <v>37</v>
      </c>
      <c r="T12" s="17" t="s">
        <v>20</v>
      </c>
      <c r="U12" s="17">
        <v>7</v>
      </c>
      <c r="V12" s="17">
        <v>1</v>
      </c>
      <c r="X12" s="126">
        <f>(IF(U12&gt;V12,3,IF(U12=V12,1,2)))</f>
        <v>3</v>
      </c>
      <c r="Y12" s="125">
        <f>(IF(V12&gt;U12,3,IF(U12=V12,1,2)))</f>
        <v>2</v>
      </c>
      <c r="AA12" s="357" t="s">
        <v>37</v>
      </c>
    </row>
    <row r="13" spans="1:27" ht="15" thickBot="1" x14ac:dyDescent="0.35">
      <c r="A13" s="147"/>
      <c r="B13" s="146"/>
      <c r="C13" s="58"/>
      <c r="D13" s="367"/>
      <c r="E13" s="367"/>
      <c r="F13" s="59" t="s">
        <v>264</v>
      </c>
      <c r="G13" s="59" t="s">
        <v>171</v>
      </c>
      <c r="H13" s="149"/>
      <c r="I13" s="8"/>
      <c r="J13" s="5"/>
      <c r="K13" s="155"/>
      <c r="S13" s="117" t="s">
        <v>45</v>
      </c>
      <c r="T13" s="104" t="s">
        <v>16</v>
      </c>
      <c r="U13" s="104">
        <v>2</v>
      </c>
      <c r="V13" s="104">
        <v>1</v>
      </c>
      <c r="X13" s="126">
        <f t="shared" ref="X13:X19" si="0">(IF(U13&gt;V13,3,IF(U13=V13,1,2)))</f>
        <v>3</v>
      </c>
      <c r="Y13" s="125">
        <f t="shared" ref="Y13:Y19" si="1">(IF(V13&gt;U13,3,IF(U13=V13,1,2)))</f>
        <v>2</v>
      </c>
      <c r="AA13" s="357" t="s">
        <v>39</v>
      </c>
    </row>
    <row r="14" spans="1:27" x14ac:dyDescent="0.3">
      <c r="A14" s="147"/>
      <c r="B14" s="146"/>
      <c r="C14" s="40">
        <v>12566</v>
      </c>
      <c r="D14" s="66" t="s">
        <v>45</v>
      </c>
      <c r="E14" s="66" t="s">
        <v>16</v>
      </c>
      <c r="F14" s="33">
        <v>2</v>
      </c>
      <c r="G14" s="33">
        <v>1</v>
      </c>
      <c r="H14" s="146"/>
      <c r="I14" s="5" t="s">
        <v>46</v>
      </c>
      <c r="J14" s="5"/>
      <c r="K14" s="155"/>
      <c r="S14" s="117" t="s">
        <v>39</v>
      </c>
      <c r="T14" s="104" t="s">
        <v>21</v>
      </c>
      <c r="U14" s="104">
        <v>5</v>
      </c>
      <c r="V14" s="104">
        <v>2</v>
      </c>
      <c r="X14" s="126">
        <f t="shared" si="0"/>
        <v>3</v>
      </c>
      <c r="Y14" s="125">
        <f t="shared" si="1"/>
        <v>2</v>
      </c>
      <c r="AA14" s="357" t="s">
        <v>45</v>
      </c>
    </row>
    <row r="15" spans="1:27" ht="15" thickBot="1" x14ac:dyDescent="0.35">
      <c r="A15" s="147"/>
      <c r="B15" s="146"/>
      <c r="C15" s="58"/>
      <c r="D15" s="367"/>
      <c r="E15" s="367"/>
      <c r="F15" s="59" t="s">
        <v>170</v>
      </c>
      <c r="G15" s="59" t="s">
        <v>183</v>
      </c>
      <c r="H15" s="149"/>
      <c r="I15" s="8"/>
      <c r="J15" s="5"/>
      <c r="K15" s="155"/>
      <c r="S15" s="117" t="s">
        <v>29</v>
      </c>
      <c r="T15" s="104" t="s">
        <v>3</v>
      </c>
      <c r="U15" s="104">
        <v>3</v>
      </c>
      <c r="V15" s="104">
        <v>2</v>
      </c>
      <c r="X15" s="126">
        <f t="shared" si="0"/>
        <v>3</v>
      </c>
      <c r="Y15" s="125">
        <f t="shared" si="1"/>
        <v>2</v>
      </c>
      <c r="AA15" s="357" t="s">
        <v>29</v>
      </c>
    </row>
    <row r="16" spans="1:27" x14ac:dyDescent="0.3">
      <c r="A16" s="147"/>
      <c r="B16" s="146"/>
      <c r="C16" s="40">
        <v>12566</v>
      </c>
      <c r="D16" s="66" t="s">
        <v>39</v>
      </c>
      <c r="E16" s="66" t="s">
        <v>21</v>
      </c>
      <c r="F16" s="33">
        <v>5</v>
      </c>
      <c r="G16" s="33">
        <v>2</v>
      </c>
      <c r="H16" s="146"/>
      <c r="I16" s="5" t="s">
        <v>40</v>
      </c>
      <c r="J16" s="5"/>
      <c r="K16" s="155"/>
      <c r="S16" s="117" t="s">
        <v>35</v>
      </c>
      <c r="T16" s="17" t="s">
        <v>9</v>
      </c>
      <c r="U16" s="104">
        <v>3</v>
      </c>
      <c r="V16" s="104">
        <v>1</v>
      </c>
      <c r="X16" s="126">
        <f t="shared" si="0"/>
        <v>3</v>
      </c>
      <c r="Y16" s="125">
        <f t="shared" si="1"/>
        <v>2</v>
      </c>
      <c r="AA16" s="357" t="s">
        <v>35</v>
      </c>
    </row>
    <row r="17" spans="1:27" ht="15" thickBot="1" x14ac:dyDescent="0.35">
      <c r="A17" s="147"/>
      <c r="B17" s="146"/>
      <c r="C17" s="58"/>
      <c r="D17" s="367"/>
      <c r="E17" s="367"/>
      <c r="F17" s="59" t="s">
        <v>172</v>
      </c>
      <c r="G17" s="59" t="s">
        <v>173</v>
      </c>
      <c r="H17" s="149"/>
      <c r="I17" s="8"/>
      <c r="J17" s="5"/>
      <c r="K17" s="155"/>
      <c r="S17" s="117" t="s">
        <v>43</v>
      </c>
      <c r="T17" s="104" t="s">
        <v>63</v>
      </c>
      <c r="U17" s="104">
        <v>3</v>
      </c>
      <c r="V17" s="104">
        <v>2</v>
      </c>
      <c r="X17" s="126">
        <f t="shared" si="0"/>
        <v>3</v>
      </c>
      <c r="Y17" s="125">
        <f t="shared" si="1"/>
        <v>2</v>
      </c>
      <c r="AA17" s="357" t="s">
        <v>32</v>
      </c>
    </row>
    <row r="18" spans="1:27" x14ac:dyDescent="0.3">
      <c r="A18" s="147"/>
      <c r="B18" s="146"/>
      <c r="C18" s="40">
        <v>12566</v>
      </c>
      <c r="D18" s="66" t="s">
        <v>29</v>
      </c>
      <c r="E18" s="66" t="s">
        <v>3</v>
      </c>
      <c r="F18" s="33">
        <v>3</v>
      </c>
      <c r="G18" s="33">
        <v>2</v>
      </c>
      <c r="H18" s="146" t="s">
        <v>30</v>
      </c>
      <c r="I18" s="5" t="s">
        <v>31</v>
      </c>
      <c r="J18" s="5"/>
      <c r="K18" s="155"/>
      <c r="S18" s="117" t="s">
        <v>41</v>
      </c>
      <c r="T18" s="104" t="s">
        <v>5</v>
      </c>
      <c r="U18" s="104">
        <v>3</v>
      </c>
      <c r="V18" s="104">
        <v>2</v>
      </c>
      <c r="W18" s="104"/>
      <c r="X18" s="104">
        <f t="shared" si="0"/>
        <v>3</v>
      </c>
      <c r="Y18" s="118">
        <f t="shared" si="1"/>
        <v>2</v>
      </c>
      <c r="AA18" s="357" t="s">
        <v>43</v>
      </c>
    </row>
    <row r="19" spans="1:27" x14ac:dyDescent="0.3">
      <c r="A19" s="147"/>
      <c r="B19" s="146"/>
      <c r="C19" s="40"/>
      <c r="D19" s="66"/>
      <c r="E19" s="66"/>
      <c r="F19" s="33">
        <v>1</v>
      </c>
      <c r="G19" s="33">
        <v>1</v>
      </c>
      <c r="H19" s="146"/>
      <c r="I19" s="5"/>
      <c r="J19" s="5"/>
      <c r="K19" s="155"/>
      <c r="S19" s="117" t="s">
        <v>32</v>
      </c>
      <c r="T19" s="104" t="s">
        <v>33</v>
      </c>
      <c r="U19" s="104">
        <v>4</v>
      </c>
      <c r="V19" s="104">
        <v>2</v>
      </c>
      <c r="W19" s="104"/>
      <c r="X19" s="104">
        <f t="shared" si="0"/>
        <v>3</v>
      </c>
      <c r="Y19" s="118">
        <f t="shared" si="1"/>
        <v>2</v>
      </c>
      <c r="AA19" s="357" t="s">
        <v>41</v>
      </c>
    </row>
    <row r="20" spans="1:27" ht="15" thickBot="1" x14ac:dyDescent="0.35">
      <c r="A20" s="147"/>
      <c r="B20" s="146"/>
      <c r="C20" s="149"/>
      <c r="D20" s="59"/>
      <c r="E20" s="59"/>
      <c r="F20" s="92" t="s">
        <v>172</v>
      </c>
      <c r="G20" s="92" t="s">
        <v>183</v>
      </c>
      <c r="H20" s="8"/>
      <c r="I20" s="8"/>
      <c r="J20" s="5"/>
      <c r="K20" s="155"/>
      <c r="S20" s="117"/>
      <c r="T20" s="104"/>
      <c r="U20" s="104"/>
      <c r="V20" s="104"/>
      <c r="W20" s="104"/>
      <c r="X20" s="104"/>
      <c r="Y20" s="118"/>
      <c r="AA20" s="357" t="s">
        <v>3</v>
      </c>
    </row>
    <row r="21" spans="1:27" x14ac:dyDescent="0.3">
      <c r="A21" s="147"/>
      <c r="B21" s="146"/>
      <c r="C21" s="40">
        <v>12566</v>
      </c>
      <c r="D21" s="66" t="s">
        <v>35</v>
      </c>
      <c r="E21" s="66" t="s">
        <v>9</v>
      </c>
      <c r="F21" s="33">
        <v>3</v>
      </c>
      <c r="G21" s="33">
        <v>1</v>
      </c>
      <c r="H21" s="146"/>
      <c r="I21" s="5" t="s">
        <v>36</v>
      </c>
      <c r="J21" s="5"/>
      <c r="K21" s="155"/>
      <c r="S21" s="117"/>
      <c r="T21" s="104"/>
      <c r="U21" s="104"/>
      <c r="V21" s="104"/>
      <c r="W21" s="104"/>
      <c r="X21" s="104"/>
      <c r="Y21" s="118"/>
      <c r="AA21" s="357" t="s">
        <v>63</v>
      </c>
    </row>
    <row r="22" spans="1:27" ht="15" thickBot="1" x14ac:dyDescent="0.35">
      <c r="A22" s="147"/>
      <c r="B22" s="146"/>
      <c r="C22" s="149"/>
      <c r="D22" s="59"/>
      <c r="E22" s="59"/>
      <c r="F22" s="59" t="s">
        <v>264</v>
      </c>
      <c r="G22" s="92" t="s">
        <v>171</v>
      </c>
      <c r="H22" s="8"/>
      <c r="I22" s="8"/>
      <c r="J22" s="5"/>
      <c r="K22" s="155"/>
      <c r="S22" s="117"/>
      <c r="T22" s="104"/>
      <c r="U22" s="104"/>
      <c r="V22" s="104"/>
      <c r="W22" s="104"/>
      <c r="X22" s="104"/>
      <c r="Y22" s="118"/>
      <c r="AA22" s="357" t="s">
        <v>5</v>
      </c>
    </row>
    <row r="23" spans="1:27" x14ac:dyDescent="0.3">
      <c r="A23" s="147"/>
      <c r="B23" s="146"/>
      <c r="C23" s="40">
        <v>12566</v>
      </c>
      <c r="D23" s="66" t="s">
        <v>43</v>
      </c>
      <c r="E23" s="66" t="s">
        <v>63</v>
      </c>
      <c r="F23" s="33">
        <v>3</v>
      </c>
      <c r="G23" s="33">
        <v>2</v>
      </c>
      <c r="H23" s="146"/>
      <c r="I23" s="5" t="s">
        <v>44</v>
      </c>
      <c r="J23" s="5"/>
      <c r="K23" s="155"/>
      <c r="S23" s="117"/>
      <c r="T23" s="104"/>
      <c r="U23" s="104"/>
      <c r="V23" s="104"/>
      <c r="W23" s="104"/>
      <c r="X23" s="104"/>
      <c r="Y23" s="118"/>
      <c r="AA23" s="357" t="s">
        <v>33</v>
      </c>
    </row>
    <row r="24" spans="1:27" ht="15" thickBot="1" x14ac:dyDescent="0.35">
      <c r="A24" s="147"/>
      <c r="B24" s="146"/>
      <c r="C24" s="58"/>
      <c r="D24" s="367"/>
      <c r="E24" s="367"/>
      <c r="F24" s="59" t="s">
        <v>215</v>
      </c>
      <c r="G24" s="59" t="s">
        <v>183</v>
      </c>
      <c r="H24" s="149"/>
      <c r="I24" s="8"/>
      <c r="J24" s="5"/>
      <c r="K24" s="155"/>
      <c r="S24" s="117"/>
      <c r="T24" s="104"/>
      <c r="U24" s="104"/>
      <c r="V24" s="104"/>
      <c r="W24" s="104"/>
      <c r="X24" s="104"/>
      <c r="Y24" s="118"/>
      <c r="AA24" s="357" t="s">
        <v>21</v>
      </c>
    </row>
    <row r="25" spans="1:27" x14ac:dyDescent="0.3">
      <c r="A25" s="147"/>
      <c r="B25" s="146"/>
      <c r="C25" s="40">
        <v>12566</v>
      </c>
      <c r="D25" s="66" t="s">
        <v>41</v>
      </c>
      <c r="E25" s="66" t="s">
        <v>5</v>
      </c>
      <c r="F25" s="33">
        <v>3</v>
      </c>
      <c r="G25" s="33">
        <v>2</v>
      </c>
      <c r="H25" s="146"/>
      <c r="I25" s="5" t="s">
        <v>42</v>
      </c>
      <c r="J25" s="5"/>
      <c r="K25" s="155"/>
      <c r="S25" s="117"/>
      <c r="T25" s="104"/>
      <c r="U25" s="104"/>
      <c r="V25" s="104"/>
      <c r="W25" s="104"/>
      <c r="X25" s="5"/>
      <c r="Y25" s="127"/>
      <c r="AA25" s="357" t="s">
        <v>16</v>
      </c>
    </row>
    <row r="26" spans="1:27" ht="15" thickBot="1" x14ac:dyDescent="0.35">
      <c r="A26" s="147"/>
      <c r="B26" s="146"/>
      <c r="C26" s="149"/>
      <c r="D26" s="59"/>
      <c r="E26" s="59"/>
      <c r="F26" s="59" t="s">
        <v>172</v>
      </c>
      <c r="G26" s="92" t="s">
        <v>183</v>
      </c>
      <c r="H26" s="8"/>
      <c r="I26" s="8"/>
      <c r="J26" s="5"/>
      <c r="K26" s="155"/>
      <c r="S26" s="122"/>
      <c r="T26" s="17"/>
      <c r="U26" s="17"/>
      <c r="V26" s="17"/>
      <c r="W26" s="17"/>
      <c r="X26" s="18"/>
      <c r="Y26" s="128"/>
      <c r="AA26" s="357" t="s">
        <v>9</v>
      </c>
    </row>
    <row r="27" spans="1:27" x14ac:dyDescent="0.3">
      <c r="A27" s="147"/>
      <c r="B27" s="146"/>
      <c r="C27" s="40">
        <v>12566</v>
      </c>
      <c r="D27" s="66" t="s">
        <v>32</v>
      </c>
      <c r="E27" s="66" t="s">
        <v>33</v>
      </c>
      <c r="F27" s="33">
        <v>4</v>
      </c>
      <c r="G27" s="33">
        <v>2</v>
      </c>
      <c r="H27" s="146"/>
      <c r="I27" s="5" t="s">
        <v>34</v>
      </c>
      <c r="J27" s="5"/>
      <c r="K27" s="155"/>
      <c r="S27" s="122"/>
      <c r="T27" s="17"/>
      <c r="U27" s="17"/>
      <c r="V27" s="17"/>
      <c r="W27" s="17"/>
      <c r="X27" s="18"/>
      <c r="Y27" s="128"/>
      <c r="AA27" s="357" t="s">
        <v>20</v>
      </c>
    </row>
    <row r="28" spans="1:27" x14ac:dyDescent="0.3">
      <c r="A28" s="147"/>
      <c r="B28" s="146"/>
      <c r="C28" s="146"/>
      <c r="D28" s="33"/>
      <c r="E28" s="33"/>
      <c r="F28" s="33" t="s">
        <v>215</v>
      </c>
      <c r="G28" s="309" t="s">
        <v>183</v>
      </c>
      <c r="H28" s="5"/>
      <c r="I28" s="5"/>
      <c r="J28" s="5"/>
      <c r="K28" s="155"/>
      <c r="S28" s="122"/>
      <c r="T28" s="17"/>
      <c r="U28" s="17"/>
      <c r="V28" s="17"/>
      <c r="W28" s="17"/>
      <c r="X28" s="18"/>
      <c r="Y28" s="128"/>
    </row>
    <row r="29" spans="1:27" x14ac:dyDescent="0.3">
      <c r="A29" s="147"/>
      <c r="B29" s="146"/>
      <c r="C29" s="146"/>
      <c r="D29" s="146"/>
      <c r="E29" s="146"/>
      <c r="F29" s="146"/>
      <c r="G29" s="5"/>
      <c r="H29" s="5"/>
      <c r="I29" s="5"/>
      <c r="J29" s="5"/>
      <c r="K29" s="155"/>
      <c r="S29" s="122"/>
      <c r="T29" s="17"/>
      <c r="U29" s="17"/>
      <c r="V29" s="17"/>
      <c r="W29" s="17"/>
      <c r="X29" s="18"/>
      <c r="Y29" s="128"/>
    </row>
    <row r="30" spans="1:27" x14ac:dyDescent="0.3">
      <c r="A30" s="156"/>
      <c r="B30" s="146"/>
      <c r="C30" s="146"/>
      <c r="D30" s="146"/>
      <c r="E30" s="146"/>
      <c r="F30" s="146"/>
      <c r="G30" s="5"/>
      <c r="H30" s="5"/>
      <c r="I30" s="5"/>
      <c r="J30" s="5"/>
      <c r="K30" s="155"/>
      <c r="S30" s="117"/>
      <c r="T30" s="104"/>
      <c r="U30" s="104"/>
      <c r="V30" s="104"/>
      <c r="W30" s="104"/>
      <c r="X30" s="104"/>
      <c r="Y30" s="118"/>
    </row>
    <row r="31" spans="1:27" ht="21" x14ac:dyDescent="0.4">
      <c r="A31" s="156"/>
      <c r="B31" s="146"/>
      <c r="C31" s="146"/>
      <c r="D31" s="146"/>
      <c r="E31" s="146"/>
      <c r="F31" s="145" t="s">
        <v>47</v>
      </c>
      <c r="G31" s="5"/>
      <c r="H31" s="5"/>
      <c r="I31" s="5"/>
      <c r="J31" s="5"/>
      <c r="K31" s="155"/>
      <c r="S31" s="117"/>
      <c r="T31" s="104"/>
      <c r="U31" s="104"/>
      <c r="V31" s="104"/>
      <c r="W31" s="104"/>
      <c r="X31" s="104"/>
      <c r="Y31" s="118"/>
    </row>
    <row r="32" spans="1:27" x14ac:dyDescent="0.3">
      <c r="A32" s="156"/>
      <c r="B32" s="146"/>
      <c r="C32" s="146"/>
      <c r="D32" s="146"/>
      <c r="E32" s="146"/>
      <c r="F32" s="146"/>
      <c r="G32" s="5"/>
      <c r="H32" s="5"/>
      <c r="I32" s="5"/>
      <c r="J32" s="5"/>
      <c r="K32" s="155"/>
      <c r="S32" s="117"/>
      <c r="T32" s="104"/>
      <c r="U32" s="104"/>
      <c r="V32" s="104"/>
      <c r="W32" s="104"/>
      <c r="X32" s="104"/>
      <c r="Y32" s="118"/>
    </row>
    <row r="33" spans="1:25" x14ac:dyDescent="0.3">
      <c r="A33" s="147"/>
      <c r="B33" s="146"/>
      <c r="C33" s="40">
        <v>12570</v>
      </c>
      <c r="D33" s="33" t="s">
        <v>29</v>
      </c>
      <c r="E33" s="33" t="s">
        <v>32</v>
      </c>
      <c r="F33" s="33">
        <v>2</v>
      </c>
      <c r="G33" s="33">
        <v>1</v>
      </c>
      <c r="H33" s="146"/>
      <c r="I33" s="5" t="s">
        <v>42</v>
      </c>
      <c r="J33" s="5"/>
      <c r="K33" s="155"/>
      <c r="S33" s="117" t="s">
        <v>29</v>
      </c>
      <c r="T33" s="104" t="s">
        <v>32</v>
      </c>
      <c r="U33" s="104">
        <v>2</v>
      </c>
      <c r="V33" s="104">
        <v>1</v>
      </c>
      <c r="W33" s="104"/>
      <c r="X33" s="126">
        <f>(IF(U33&gt;V33,3,IF(U33=V33,1,2)))</f>
        <v>3</v>
      </c>
      <c r="Y33" s="125">
        <f t="shared" ref="Y33" si="2">(IF(V33&gt;U33,3,IF(U33=V33,1,2)))</f>
        <v>2</v>
      </c>
    </row>
    <row r="34" spans="1:25" ht="15" thickBot="1" x14ac:dyDescent="0.35">
      <c r="A34" s="147"/>
      <c r="B34" s="146"/>
      <c r="C34" s="58"/>
      <c r="D34" s="59"/>
      <c r="E34" s="59"/>
      <c r="F34" s="59" t="s">
        <v>172</v>
      </c>
      <c r="G34" s="59" t="s">
        <v>171</v>
      </c>
      <c r="H34" s="356"/>
      <c r="I34" s="8"/>
      <c r="J34" s="5"/>
      <c r="K34" s="155"/>
      <c r="S34" s="117" t="s">
        <v>37</v>
      </c>
      <c r="T34" s="104" t="s">
        <v>35</v>
      </c>
      <c r="U34" s="104">
        <v>1</v>
      </c>
      <c r="V34" s="104">
        <v>1</v>
      </c>
      <c r="W34" s="104"/>
      <c r="X34" s="126">
        <f>(IF(U34&gt;V34,3,IF(U34=V34,1,2)))</f>
        <v>1</v>
      </c>
      <c r="Y34" s="125">
        <f t="shared" ref="Y34:Y36" si="3">(IF(V34&gt;U34,3,IF(U34=V34,1,2)))</f>
        <v>1</v>
      </c>
    </row>
    <row r="35" spans="1:25" x14ac:dyDescent="0.3">
      <c r="A35" s="147"/>
      <c r="B35" s="146"/>
      <c r="C35" s="40">
        <v>12570</v>
      </c>
      <c r="D35" s="33" t="s">
        <v>37</v>
      </c>
      <c r="E35" s="33" t="s">
        <v>35</v>
      </c>
      <c r="F35" s="33">
        <v>1</v>
      </c>
      <c r="G35" s="33">
        <v>1</v>
      </c>
      <c r="H35" s="146" t="s">
        <v>30</v>
      </c>
      <c r="I35" s="5" t="s">
        <v>40</v>
      </c>
      <c r="J35" s="5"/>
      <c r="K35" s="155"/>
      <c r="S35" s="117" t="s">
        <v>39</v>
      </c>
      <c r="T35" s="104" t="s">
        <v>41</v>
      </c>
      <c r="U35" s="104">
        <v>2</v>
      </c>
      <c r="V35" s="104">
        <v>1</v>
      </c>
      <c r="W35" s="104"/>
      <c r="X35" s="126">
        <f t="shared" ref="X35:X36" si="4">(IF(U35&gt;V35,3,IF(U35=V35,1,2)))</f>
        <v>3</v>
      </c>
      <c r="Y35" s="125">
        <f t="shared" si="3"/>
        <v>2</v>
      </c>
    </row>
    <row r="36" spans="1:25" x14ac:dyDescent="0.3">
      <c r="A36" s="147"/>
      <c r="B36" s="146"/>
      <c r="C36" s="40"/>
      <c r="D36" s="33"/>
      <c r="E36" s="33"/>
      <c r="F36" s="33">
        <v>1</v>
      </c>
      <c r="G36" s="309">
        <v>1</v>
      </c>
      <c r="H36" s="146"/>
      <c r="I36" s="5"/>
      <c r="J36" s="5"/>
      <c r="K36" s="155"/>
      <c r="S36" s="117" t="s">
        <v>45</v>
      </c>
      <c r="T36" s="104" t="s">
        <v>43</v>
      </c>
      <c r="U36" s="104">
        <v>3</v>
      </c>
      <c r="V36" s="104">
        <v>2</v>
      </c>
      <c r="W36" s="104"/>
      <c r="X36" s="126">
        <f t="shared" si="4"/>
        <v>3</v>
      </c>
      <c r="Y36" s="125">
        <f t="shared" si="3"/>
        <v>2</v>
      </c>
    </row>
    <row r="37" spans="1:25" ht="15" thickBot="1" x14ac:dyDescent="0.35">
      <c r="A37" s="147"/>
      <c r="B37" s="146"/>
      <c r="C37" s="58"/>
      <c r="D37" s="59"/>
      <c r="E37" s="59"/>
      <c r="F37" s="59" t="s">
        <v>172</v>
      </c>
      <c r="G37" s="92" t="s">
        <v>183</v>
      </c>
      <c r="H37" s="356"/>
      <c r="I37" s="8"/>
      <c r="J37" s="5"/>
      <c r="K37" s="155"/>
      <c r="S37" s="117"/>
      <c r="T37" s="104"/>
      <c r="U37" s="104"/>
      <c r="V37" s="104"/>
      <c r="W37" s="104"/>
      <c r="X37" s="104"/>
      <c r="Y37" s="118"/>
    </row>
    <row r="38" spans="1:25" x14ac:dyDescent="0.3">
      <c r="A38" s="147"/>
      <c r="B38" s="146"/>
      <c r="C38" s="40">
        <v>12570</v>
      </c>
      <c r="D38" s="33" t="s">
        <v>39</v>
      </c>
      <c r="E38" s="33" t="s">
        <v>41</v>
      </c>
      <c r="F38" s="33">
        <v>2</v>
      </c>
      <c r="G38" s="33">
        <v>1</v>
      </c>
      <c r="H38" s="146"/>
      <c r="I38" s="5" t="s">
        <v>44</v>
      </c>
      <c r="J38" s="157"/>
      <c r="K38" s="158"/>
      <c r="L38" s="11"/>
      <c r="M38" s="11"/>
      <c r="N38" s="11"/>
      <c r="O38" s="11"/>
      <c r="P38" s="11"/>
      <c r="Q38" s="11"/>
      <c r="S38" s="117"/>
      <c r="T38" s="104"/>
      <c r="U38" s="104"/>
      <c r="V38" s="104"/>
      <c r="W38" s="104"/>
      <c r="X38" s="104"/>
      <c r="Y38" s="118"/>
    </row>
    <row r="39" spans="1:25" ht="15" thickBot="1" x14ac:dyDescent="0.35">
      <c r="A39" s="147"/>
      <c r="B39" s="146"/>
      <c r="C39" s="356"/>
      <c r="D39" s="59"/>
      <c r="E39" s="59"/>
      <c r="F39" s="59" t="s">
        <v>170</v>
      </c>
      <c r="G39" s="92" t="s">
        <v>171</v>
      </c>
      <c r="H39" s="8"/>
      <c r="I39" s="8"/>
      <c r="J39" s="5"/>
      <c r="K39" s="155"/>
      <c r="S39" s="117"/>
      <c r="T39" s="104"/>
      <c r="U39" s="104"/>
      <c r="V39" s="104"/>
      <c r="W39" s="104"/>
      <c r="X39" s="104"/>
      <c r="Y39" s="118"/>
    </row>
    <row r="40" spans="1:25" x14ac:dyDescent="0.3">
      <c r="A40" s="147"/>
      <c r="B40" s="146"/>
      <c r="C40" s="40">
        <v>12570</v>
      </c>
      <c r="D40" s="33" t="s">
        <v>45</v>
      </c>
      <c r="E40" s="33" t="s">
        <v>43</v>
      </c>
      <c r="F40" s="33">
        <v>3</v>
      </c>
      <c r="G40" s="33">
        <v>2</v>
      </c>
      <c r="H40" s="146"/>
      <c r="I40" s="5" t="s">
        <v>31</v>
      </c>
      <c r="J40" s="5"/>
      <c r="K40" s="155"/>
      <c r="S40" s="117"/>
      <c r="T40" s="104"/>
      <c r="U40" s="104"/>
      <c r="V40" s="104"/>
      <c r="W40" s="104"/>
      <c r="X40" s="104"/>
      <c r="Y40" s="118"/>
    </row>
    <row r="41" spans="1:25" x14ac:dyDescent="0.3">
      <c r="A41" s="147"/>
      <c r="B41" s="146"/>
      <c r="C41" s="40"/>
      <c r="D41" s="33"/>
      <c r="E41" s="33"/>
      <c r="F41" s="33" t="s">
        <v>172</v>
      </c>
      <c r="G41" s="33" t="s">
        <v>183</v>
      </c>
      <c r="H41" s="146"/>
      <c r="I41" s="5"/>
      <c r="J41" s="5"/>
      <c r="K41" s="155"/>
      <c r="S41" s="117"/>
      <c r="T41" s="104"/>
      <c r="U41" s="104"/>
      <c r="V41" s="104"/>
      <c r="W41" s="104"/>
      <c r="X41" s="104"/>
      <c r="Y41" s="118"/>
    </row>
    <row r="42" spans="1:25" x14ac:dyDescent="0.3">
      <c r="A42" s="147"/>
      <c r="B42" s="146"/>
      <c r="C42" s="40"/>
      <c r="D42" s="33"/>
      <c r="E42" s="146"/>
      <c r="F42" s="146"/>
      <c r="G42" s="146"/>
      <c r="H42" s="146"/>
      <c r="I42" s="5"/>
      <c r="J42" s="5"/>
      <c r="K42" s="155"/>
      <c r="S42" s="117"/>
      <c r="T42" s="104"/>
      <c r="U42" s="104"/>
      <c r="V42" s="104"/>
      <c r="W42" s="104"/>
      <c r="X42" s="104"/>
      <c r="Y42" s="118"/>
    </row>
    <row r="43" spans="1:25" x14ac:dyDescent="0.3">
      <c r="A43" s="147"/>
      <c r="B43" s="146"/>
      <c r="C43" s="146"/>
      <c r="D43" s="146"/>
      <c r="E43" s="146"/>
      <c r="F43" s="146"/>
      <c r="G43" s="5"/>
      <c r="H43" s="5"/>
      <c r="I43" s="5"/>
      <c r="J43" s="5"/>
      <c r="K43" s="155"/>
      <c r="S43" s="117"/>
      <c r="T43" s="104"/>
      <c r="U43" s="104"/>
      <c r="V43" s="104"/>
      <c r="W43" s="104"/>
      <c r="X43" s="104"/>
      <c r="Y43" s="118"/>
    </row>
    <row r="44" spans="1:25" ht="21" x14ac:dyDescent="0.4">
      <c r="A44" s="147"/>
      <c r="B44" s="146"/>
      <c r="C44" s="146"/>
      <c r="D44" s="146"/>
      <c r="E44" s="146"/>
      <c r="F44" s="145" t="s">
        <v>273</v>
      </c>
      <c r="G44" s="5"/>
      <c r="H44" s="5"/>
      <c r="I44" s="5"/>
      <c r="J44" s="5"/>
      <c r="K44" s="155"/>
      <c r="S44" s="117"/>
      <c r="T44" s="104"/>
      <c r="U44" s="104"/>
      <c r="V44" s="104"/>
      <c r="W44" s="104"/>
      <c r="X44" s="104"/>
      <c r="Y44" s="118"/>
    </row>
    <row r="45" spans="1:25" x14ac:dyDescent="0.3">
      <c r="A45" s="147"/>
      <c r="B45" s="146"/>
      <c r="C45" s="146"/>
      <c r="D45" s="146"/>
      <c r="E45" s="146"/>
      <c r="F45" s="146"/>
      <c r="G45" s="5"/>
      <c r="H45" s="5"/>
      <c r="I45" s="5"/>
      <c r="J45" s="5"/>
      <c r="K45" s="155"/>
      <c r="S45" s="117"/>
      <c r="T45" s="104"/>
      <c r="U45" s="104"/>
      <c r="V45" s="104"/>
      <c r="W45" s="104"/>
      <c r="X45" s="104"/>
      <c r="Y45" s="118"/>
    </row>
    <row r="46" spans="1:25" x14ac:dyDescent="0.3">
      <c r="A46" s="147"/>
      <c r="B46" s="146"/>
      <c r="C46" s="40">
        <v>12571</v>
      </c>
      <c r="D46" s="33" t="s">
        <v>37</v>
      </c>
      <c r="E46" s="33" t="s">
        <v>35</v>
      </c>
      <c r="F46" s="33">
        <v>1</v>
      </c>
      <c r="G46" s="146">
        <v>0</v>
      </c>
      <c r="H46" s="146"/>
      <c r="I46" s="5" t="s">
        <v>40</v>
      </c>
      <c r="J46" s="157"/>
      <c r="K46" s="158"/>
      <c r="L46" s="11"/>
      <c r="M46" s="11"/>
      <c r="N46" s="11"/>
      <c r="O46" s="11"/>
      <c r="P46" s="11"/>
      <c r="Q46" s="11"/>
      <c r="S46" s="117" t="s">
        <v>37</v>
      </c>
      <c r="T46" s="104" t="s">
        <v>35</v>
      </c>
      <c r="U46" s="104">
        <v>1</v>
      </c>
      <c r="V46" s="104">
        <v>0</v>
      </c>
      <c r="W46" s="104"/>
      <c r="X46" s="126">
        <f t="shared" ref="X46" si="5">(IF(U46&gt;V46,3,IF(U46=V46,1,2)))</f>
        <v>3</v>
      </c>
      <c r="Y46" s="125">
        <f t="shared" ref="Y46" si="6">(IF(V46&gt;U46,3,IF(U46=V46,1,2)))</f>
        <v>2</v>
      </c>
    </row>
    <row r="47" spans="1:25" x14ac:dyDescent="0.3">
      <c r="A47" s="147"/>
      <c r="B47" s="146"/>
      <c r="C47" s="146"/>
      <c r="D47" s="146"/>
      <c r="E47" s="146"/>
      <c r="F47" s="146" t="s">
        <v>172</v>
      </c>
      <c r="G47" s="5" t="s">
        <v>171</v>
      </c>
      <c r="H47" s="5"/>
      <c r="I47" s="5"/>
      <c r="J47" s="5"/>
      <c r="K47" s="155"/>
      <c r="S47" s="117"/>
      <c r="T47" s="104"/>
      <c r="U47" s="104"/>
      <c r="V47" s="104"/>
      <c r="W47" s="104"/>
      <c r="X47" s="104"/>
      <c r="Y47" s="118"/>
    </row>
    <row r="48" spans="1:25" x14ac:dyDescent="0.3">
      <c r="A48" s="147"/>
      <c r="B48" s="146"/>
      <c r="C48" s="146"/>
      <c r="D48" s="146"/>
      <c r="E48" s="146"/>
      <c r="F48" s="146"/>
      <c r="G48" s="5"/>
      <c r="H48" s="5"/>
      <c r="I48" s="5"/>
      <c r="J48" s="5"/>
      <c r="K48" s="155"/>
      <c r="S48" s="117"/>
      <c r="T48" s="104"/>
      <c r="U48" s="104"/>
      <c r="V48" s="104"/>
      <c r="W48" s="104"/>
      <c r="X48" s="104"/>
      <c r="Y48" s="118"/>
    </row>
    <row r="49" spans="1:25" x14ac:dyDescent="0.3">
      <c r="A49" s="156"/>
      <c r="B49" s="146"/>
      <c r="C49" s="146"/>
      <c r="D49" s="146"/>
      <c r="E49" s="146"/>
      <c r="F49" s="146"/>
      <c r="G49" s="5"/>
      <c r="H49" s="5"/>
      <c r="I49" s="5"/>
      <c r="J49" s="5"/>
      <c r="K49" s="155"/>
      <c r="S49" s="117"/>
      <c r="T49" s="104"/>
      <c r="U49" s="104"/>
      <c r="V49" s="104"/>
      <c r="W49" s="104"/>
      <c r="X49" s="126"/>
      <c r="Y49" s="125"/>
    </row>
    <row r="50" spans="1:25" ht="21" x14ac:dyDescent="0.4">
      <c r="A50" s="156"/>
      <c r="B50" s="146"/>
      <c r="C50" s="146"/>
      <c r="D50" s="146"/>
      <c r="E50" s="146"/>
      <c r="F50" s="145" t="s">
        <v>48</v>
      </c>
      <c r="G50" s="5"/>
      <c r="H50" s="5"/>
      <c r="I50" s="5"/>
      <c r="J50" s="5"/>
      <c r="K50" s="155"/>
      <c r="S50" s="117"/>
      <c r="T50" s="104"/>
      <c r="U50" s="104"/>
      <c r="V50" s="104"/>
      <c r="W50" s="104"/>
      <c r="X50" s="126"/>
      <c r="Y50" s="125"/>
    </row>
    <row r="51" spans="1:25" x14ac:dyDescent="0.3">
      <c r="A51" s="156"/>
      <c r="B51" s="146"/>
      <c r="C51" s="146"/>
      <c r="D51" s="146"/>
      <c r="E51" s="146"/>
      <c r="F51" s="146"/>
      <c r="G51" s="5"/>
      <c r="H51" s="5"/>
      <c r="I51" s="5"/>
      <c r="J51" s="5"/>
      <c r="K51" s="155"/>
      <c r="S51" s="117"/>
      <c r="T51" s="104"/>
      <c r="U51" s="104"/>
      <c r="V51" s="104"/>
      <c r="W51" s="104"/>
      <c r="X51" s="126"/>
      <c r="Y51" s="125"/>
    </row>
    <row r="52" spans="1:25" x14ac:dyDescent="0.3">
      <c r="A52" s="147"/>
      <c r="B52" s="146"/>
      <c r="C52" s="40">
        <v>12573</v>
      </c>
      <c r="D52" s="33" t="s">
        <v>29</v>
      </c>
      <c r="E52" s="33" t="s">
        <v>37</v>
      </c>
      <c r="F52" s="33">
        <v>0</v>
      </c>
      <c r="G52" s="33">
        <v>1</v>
      </c>
      <c r="H52" s="33"/>
      <c r="I52" s="5" t="s">
        <v>44</v>
      </c>
      <c r="J52" s="5"/>
      <c r="K52" s="155"/>
      <c r="S52" s="117" t="s">
        <v>29</v>
      </c>
      <c r="T52" s="104" t="s">
        <v>37</v>
      </c>
      <c r="U52" s="104">
        <v>0</v>
      </c>
      <c r="V52" s="104">
        <v>1</v>
      </c>
      <c r="W52" s="104"/>
      <c r="X52" s="126">
        <f t="shared" ref="X52:X53" si="7">(IF(U52&gt;V52,3,IF(U52=V52,1,2)))</f>
        <v>2</v>
      </c>
      <c r="Y52" s="125">
        <f t="shared" ref="Y52:Y53" si="8">(IF(V52&gt;U52,3,IF(U52=V52,1,2)))</f>
        <v>3</v>
      </c>
    </row>
    <row r="53" spans="1:25" ht="15" thickBot="1" x14ac:dyDescent="0.35">
      <c r="A53" s="147"/>
      <c r="B53" s="146"/>
      <c r="C53" s="58"/>
      <c r="D53" s="60"/>
      <c r="E53" s="59"/>
      <c r="F53" s="59" t="s">
        <v>170</v>
      </c>
      <c r="G53" s="59" t="s">
        <v>183</v>
      </c>
      <c r="H53" s="59"/>
      <c r="I53" s="8"/>
      <c r="J53" s="5"/>
      <c r="K53" s="155"/>
      <c r="S53" s="117" t="s">
        <v>39</v>
      </c>
      <c r="T53" s="104" t="s">
        <v>45</v>
      </c>
      <c r="U53" s="104">
        <v>1</v>
      </c>
      <c r="V53" s="104">
        <v>3</v>
      </c>
      <c r="W53" s="104"/>
      <c r="X53" s="126">
        <f t="shared" si="7"/>
        <v>2</v>
      </c>
      <c r="Y53" s="125">
        <f t="shared" si="8"/>
        <v>3</v>
      </c>
    </row>
    <row r="54" spans="1:25" x14ac:dyDescent="0.3">
      <c r="A54" s="147"/>
      <c r="B54" s="146"/>
      <c r="C54" s="40">
        <v>12573</v>
      </c>
      <c r="D54" s="33" t="s">
        <v>39</v>
      </c>
      <c r="E54" s="33" t="s">
        <v>45</v>
      </c>
      <c r="F54" s="33">
        <v>1</v>
      </c>
      <c r="G54" s="33">
        <v>3</v>
      </c>
      <c r="H54" s="33"/>
      <c r="I54" s="5" t="s">
        <v>38</v>
      </c>
      <c r="J54" s="5"/>
      <c r="K54" s="155"/>
      <c r="S54" s="117"/>
      <c r="T54" s="104"/>
      <c r="U54" s="104"/>
      <c r="V54" s="104"/>
      <c r="W54" s="104"/>
      <c r="X54" s="104"/>
      <c r="Y54" s="118"/>
    </row>
    <row r="55" spans="1:25" x14ac:dyDescent="0.3">
      <c r="A55" s="156"/>
      <c r="B55" s="146"/>
      <c r="C55" s="146"/>
      <c r="D55" s="146"/>
      <c r="E55" s="33"/>
      <c r="F55" s="33" t="s">
        <v>170</v>
      </c>
      <c r="G55" s="309" t="s">
        <v>183</v>
      </c>
      <c r="H55" s="309"/>
      <c r="I55" s="5"/>
      <c r="J55" s="5"/>
      <c r="K55" s="155"/>
      <c r="S55" s="117"/>
      <c r="T55" s="104"/>
      <c r="U55" s="104"/>
      <c r="V55" s="104"/>
      <c r="W55" s="104"/>
      <c r="X55" s="104"/>
      <c r="Y55" s="118"/>
    </row>
    <row r="56" spans="1:25" x14ac:dyDescent="0.3">
      <c r="A56" s="156"/>
      <c r="B56" s="146"/>
      <c r="C56" s="146"/>
      <c r="D56" s="146"/>
      <c r="E56" s="146"/>
      <c r="F56" s="146"/>
      <c r="G56" s="5"/>
      <c r="H56" s="5"/>
      <c r="I56" s="5"/>
      <c r="J56" s="5"/>
      <c r="K56" s="155"/>
      <c r="S56" s="117"/>
      <c r="T56" s="104"/>
      <c r="U56" s="104"/>
      <c r="V56" s="104"/>
      <c r="W56" s="104"/>
      <c r="X56" s="104"/>
      <c r="Y56" s="118"/>
    </row>
    <row r="57" spans="1:25" ht="15" thickBot="1" x14ac:dyDescent="0.35">
      <c r="A57" s="156"/>
      <c r="B57" s="146"/>
      <c r="C57" s="146"/>
      <c r="D57" s="146"/>
      <c r="E57" s="146"/>
      <c r="F57" s="146"/>
      <c r="G57" s="5"/>
      <c r="H57" s="5"/>
      <c r="I57" s="5"/>
      <c r="J57" s="5"/>
      <c r="K57" s="155"/>
      <c r="S57" s="117"/>
      <c r="T57" s="104"/>
      <c r="U57" s="104"/>
      <c r="V57" s="104"/>
      <c r="W57" s="104"/>
      <c r="X57" s="104"/>
      <c r="Y57" s="118"/>
    </row>
    <row r="58" spans="1:25" ht="21" x14ac:dyDescent="0.4">
      <c r="A58" s="156"/>
      <c r="B58" s="146"/>
      <c r="C58" s="420" t="s">
        <v>329</v>
      </c>
      <c r="D58" s="421"/>
      <c r="E58" s="421"/>
      <c r="F58" s="421"/>
      <c r="G58" s="421"/>
      <c r="H58" s="421"/>
      <c r="I58" s="422"/>
      <c r="J58" s="5"/>
      <c r="K58" s="155"/>
      <c r="S58" s="117"/>
      <c r="T58" s="104"/>
      <c r="U58" s="104"/>
      <c r="V58" s="104"/>
      <c r="W58" s="104"/>
      <c r="X58" s="104"/>
      <c r="Y58" s="118"/>
    </row>
    <row r="59" spans="1:25" ht="14.4" customHeight="1" x14ac:dyDescent="0.4">
      <c r="A59" s="156"/>
      <c r="B59" s="352"/>
      <c r="C59" s="364"/>
      <c r="D59" s="351"/>
      <c r="E59" s="351"/>
      <c r="F59" s="351"/>
      <c r="G59" s="351"/>
      <c r="H59" s="351"/>
      <c r="I59" s="355"/>
      <c r="J59" s="5"/>
      <c r="K59" s="155"/>
      <c r="S59" s="117"/>
      <c r="T59" s="352"/>
      <c r="U59" s="352"/>
      <c r="V59" s="352"/>
      <c r="W59" s="352"/>
      <c r="X59" s="352"/>
      <c r="Y59" s="118"/>
    </row>
    <row r="60" spans="1:25" x14ac:dyDescent="0.3">
      <c r="A60" s="156"/>
      <c r="B60" s="146"/>
      <c r="C60" s="3"/>
      <c r="D60" s="146" t="s">
        <v>29</v>
      </c>
      <c r="E60" s="55" t="s">
        <v>39</v>
      </c>
      <c r="F60" s="33">
        <v>2</v>
      </c>
      <c r="G60" s="5">
        <v>3</v>
      </c>
      <c r="I60" s="6"/>
      <c r="J60" s="5"/>
      <c r="K60" s="155"/>
      <c r="S60" s="117" t="s">
        <v>29</v>
      </c>
      <c r="T60" s="104" t="s">
        <v>39</v>
      </c>
      <c r="U60" s="104">
        <v>2</v>
      </c>
      <c r="V60" s="104">
        <v>3</v>
      </c>
      <c r="W60" s="104"/>
      <c r="X60" s="126">
        <f t="shared" ref="X60" si="9">(IF(U60&gt;V60,3,IF(U60=V60,1,2)))</f>
        <v>2</v>
      </c>
      <c r="Y60" s="125">
        <f t="shared" ref="Y60" si="10">(IF(V60&gt;U60,3,IF(U60=V60,1,2)))</f>
        <v>3</v>
      </c>
    </row>
    <row r="61" spans="1:25" x14ac:dyDescent="0.3">
      <c r="A61" s="156"/>
      <c r="B61" s="146"/>
      <c r="C61" s="3"/>
      <c r="D61" s="33"/>
      <c r="E61" s="146"/>
      <c r="F61" s="33" t="s">
        <v>172</v>
      </c>
      <c r="G61" s="5" t="s">
        <v>274</v>
      </c>
      <c r="I61" s="6"/>
      <c r="J61" s="5"/>
      <c r="K61" s="155"/>
      <c r="S61" s="117"/>
      <c r="T61" s="104"/>
      <c r="U61" s="104"/>
      <c r="V61" s="104"/>
      <c r="W61" s="104"/>
      <c r="X61" s="104"/>
      <c r="Y61" s="118"/>
    </row>
    <row r="62" spans="1:25" ht="15" thickBot="1" x14ac:dyDescent="0.35">
      <c r="A62" s="156"/>
      <c r="B62" s="146"/>
      <c r="C62" s="7"/>
      <c r="D62" s="149"/>
      <c r="E62" s="149"/>
      <c r="F62" s="149"/>
      <c r="G62" s="149"/>
      <c r="H62" s="8"/>
      <c r="I62" s="9"/>
      <c r="J62" s="5"/>
      <c r="K62" s="155"/>
      <c r="S62" s="117"/>
      <c r="T62" s="104"/>
      <c r="U62" s="104"/>
      <c r="V62" s="104"/>
      <c r="W62" s="104"/>
      <c r="X62" s="104"/>
      <c r="Y62" s="118"/>
    </row>
    <row r="63" spans="1:25" x14ac:dyDescent="0.3">
      <c r="A63" s="156"/>
      <c r="B63" s="146"/>
      <c r="C63" s="146"/>
      <c r="D63" s="146"/>
      <c r="E63" s="146"/>
      <c r="F63" s="146"/>
      <c r="G63" s="5"/>
      <c r="H63" s="5"/>
      <c r="I63" s="5"/>
      <c r="J63" s="5"/>
      <c r="K63" s="155"/>
      <c r="S63" s="117"/>
      <c r="T63" s="104"/>
      <c r="U63" s="104"/>
      <c r="V63" s="104"/>
      <c r="W63" s="104"/>
      <c r="X63" s="104"/>
      <c r="Y63" s="118"/>
    </row>
    <row r="64" spans="1:25" x14ac:dyDescent="0.3">
      <c r="A64" s="156"/>
      <c r="B64" s="146"/>
      <c r="C64" s="146"/>
      <c r="D64" s="146"/>
      <c r="E64" s="146"/>
      <c r="F64" s="146"/>
      <c r="G64" s="5"/>
      <c r="H64" s="5"/>
      <c r="I64" s="5"/>
      <c r="J64" s="5"/>
      <c r="K64" s="155"/>
      <c r="S64" s="117"/>
      <c r="T64" s="104"/>
      <c r="U64" s="104"/>
      <c r="V64" s="104"/>
      <c r="W64" s="104"/>
      <c r="X64" s="104"/>
      <c r="Y64" s="118"/>
    </row>
    <row r="65" spans="1:27" x14ac:dyDescent="0.3">
      <c r="A65" s="156"/>
      <c r="B65" s="146"/>
      <c r="C65" s="146"/>
      <c r="D65" s="146"/>
      <c r="E65" s="146"/>
      <c r="F65" s="146"/>
      <c r="G65" s="5"/>
      <c r="H65" s="5"/>
      <c r="I65" s="5"/>
      <c r="J65" s="5"/>
      <c r="K65" s="155"/>
      <c r="S65" s="117"/>
      <c r="T65" s="104"/>
      <c r="U65" s="104"/>
      <c r="V65" s="104"/>
      <c r="W65" s="104"/>
      <c r="X65" s="126"/>
      <c r="Y65" s="125"/>
    </row>
    <row r="66" spans="1:27" ht="15" thickBot="1" x14ac:dyDescent="0.35">
      <c r="A66" s="156"/>
      <c r="B66" s="146"/>
      <c r="C66" s="146"/>
      <c r="D66" s="146"/>
      <c r="E66" s="146"/>
      <c r="F66" s="146"/>
      <c r="G66" s="5"/>
      <c r="H66" s="5"/>
      <c r="I66" s="5"/>
      <c r="J66" s="5"/>
      <c r="K66" s="155"/>
      <c r="S66" s="117"/>
      <c r="T66" s="104"/>
      <c r="U66" s="104"/>
      <c r="V66" s="104"/>
      <c r="W66" s="104"/>
      <c r="X66" s="126"/>
      <c r="Y66" s="125"/>
    </row>
    <row r="67" spans="1:27" ht="21" x14ac:dyDescent="0.4">
      <c r="A67" s="156"/>
      <c r="B67" s="146"/>
      <c r="C67" s="420" t="s">
        <v>330</v>
      </c>
      <c r="D67" s="421"/>
      <c r="E67" s="421"/>
      <c r="F67" s="421"/>
      <c r="G67" s="421"/>
      <c r="H67" s="421"/>
      <c r="I67" s="422"/>
      <c r="J67" s="5"/>
      <c r="K67" s="155"/>
      <c r="S67" s="117"/>
      <c r="T67" s="104"/>
      <c r="U67" s="104"/>
      <c r="V67" s="104"/>
      <c r="W67" s="104"/>
      <c r="X67" s="126"/>
      <c r="Y67" s="125"/>
    </row>
    <row r="68" spans="1:27" ht="14.4" customHeight="1" x14ac:dyDescent="0.4">
      <c r="A68" s="156"/>
      <c r="B68" s="352"/>
      <c r="C68" s="364"/>
      <c r="D68" s="351"/>
      <c r="E68" s="351"/>
      <c r="F68" s="351"/>
      <c r="G68" s="351"/>
      <c r="H68" s="351"/>
      <c r="I68" s="355"/>
      <c r="J68" s="5"/>
      <c r="K68" s="155"/>
      <c r="S68" s="117"/>
      <c r="T68" s="352"/>
      <c r="U68" s="352"/>
      <c r="V68" s="352"/>
      <c r="W68" s="352"/>
      <c r="X68" s="126"/>
      <c r="Y68" s="125"/>
    </row>
    <row r="69" spans="1:27" x14ac:dyDescent="0.3">
      <c r="A69" s="156"/>
      <c r="B69" s="146"/>
      <c r="C69" s="3"/>
      <c r="D69" s="33" t="s">
        <v>37</v>
      </c>
      <c r="E69" s="55" t="s">
        <v>45</v>
      </c>
      <c r="F69" s="146">
        <v>2</v>
      </c>
      <c r="G69" s="5">
        <v>1</v>
      </c>
      <c r="H69" s="2" t="s">
        <v>30</v>
      </c>
      <c r="I69" s="6"/>
      <c r="J69" s="5"/>
      <c r="K69" s="155"/>
      <c r="S69" s="117" t="s">
        <v>37</v>
      </c>
      <c r="T69" s="104" t="s">
        <v>45</v>
      </c>
      <c r="U69" s="104">
        <v>2</v>
      </c>
      <c r="V69" s="104">
        <v>1</v>
      </c>
      <c r="W69" s="104"/>
      <c r="X69" s="126">
        <f t="shared" ref="X69" si="11">(IF(U69&gt;V69,3,IF(U69=V69,1,2)))</f>
        <v>3</v>
      </c>
      <c r="Y69" s="125">
        <f t="shared" ref="Y69" si="12">(IF(V69&gt;U69,3,IF(U69=V69,1,2)))</f>
        <v>2</v>
      </c>
    </row>
    <row r="70" spans="1:27" x14ac:dyDescent="0.3">
      <c r="A70" s="156"/>
      <c r="B70" s="146"/>
      <c r="C70" s="3"/>
      <c r="D70" s="33"/>
      <c r="E70" s="146"/>
      <c r="F70" s="33">
        <v>1</v>
      </c>
      <c r="G70" s="146">
        <v>1</v>
      </c>
      <c r="I70" s="6"/>
      <c r="J70" s="5"/>
      <c r="K70" s="155"/>
      <c r="S70" s="117"/>
      <c r="T70" s="104"/>
      <c r="U70" s="104"/>
      <c r="V70" s="104"/>
      <c r="W70" s="104"/>
      <c r="X70" s="104"/>
      <c r="Y70" s="118"/>
    </row>
    <row r="71" spans="1:27" ht="15" thickBot="1" x14ac:dyDescent="0.35">
      <c r="A71" s="147"/>
      <c r="B71" s="146"/>
      <c r="C71" s="3"/>
      <c r="D71" s="146"/>
      <c r="E71" s="146"/>
      <c r="F71" s="146" t="s">
        <v>170</v>
      </c>
      <c r="G71" s="146" t="s">
        <v>171</v>
      </c>
      <c r="I71" s="6"/>
      <c r="J71" s="5"/>
      <c r="K71" s="155"/>
      <c r="S71" s="117"/>
      <c r="T71" s="104"/>
      <c r="U71" s="104"/>
      <c r="V71" s="104"/>
      <c r="W71" s="104"/>
      <c r="X71" s="104"/>
      <c r="Y71" s="118"/>
    </row>
    <row r="72" spans="1:27" ht="15" thickBot="1" x14ac:dyDescent="0.35">
      <c r="A72" s="147"/>
      <c r="B72" s="146"/>
      <c r="C72" s="7"/>
      <c r="D72" s="149"/>
      <c r="E72" s="149"/>
      <c r="F72" s="149"/>
      <c r="G72" s="149"/>
      <c r="H72" s="149"/>
      <c r="I72" s="9"/>
      <c r="J72" s="5"/>
      <c r="K72" s="155"/>
      <c r="S72" s="141"/>
      <c r="T72" s="141"/>
      <c r="U72" s="141"/>
      <c r="V72" s="141"/>
      <c r="W72" s="141"/>
      <c r="X72" s="141"/>
      <c r="Y72" s="141"/>
    </row>
    <row r="73" spans="1:27" x14ac:dyDescent="0.3">
      <c r="A73" s="147"/>
      <c r="B73" s="146"/>
      <c r="C73" s="146"/>
      <c r="D73" s="146"/>
      <c r="E73" s="146"/>
      <c r="F73" s="146"/>
      <c r="G73" s="146"/>
      <c r="H73" s="5"/>
      <c r="I73" s="5"/>
      <c r="J73" s="5"/>
      <c r="K73" s="155"/>
      <c r="S73" s="17"/>
      <c r="T73" s="17"/>
      <c r="U73" s="17"/>
      <c r="V73" s="17"/>
      <c r="W73" s="17"/>
      <c r="X73" s="17"/>
      <c r="Y73" s="17"/>
    </row>
    <row r="74" spans="1:27" x14ac:dyDescent="0.3">
      <c r="A74" s="147"/>
      <c r="B74" s="146"/>
      <c r="C74" s="146"/>
      <c r="D74" s="146"/>
      <c r="E74" s="41"/>
      <c r="F74" s="41"/>
      <c r="G74" s="41"/>
      <c r="H74" s="5"/>
      <c r="I74" s="5"/>
      <c r="J74" s="5"/>
      <c r="K74" s="155"/>
      <c r="S74" s="17"/>
      <c r="T74" s="17"/>
      <c r="U74" s="17"/>
      <c r="V74" s="17"/>
      <c r="W74" s="17"/>
      <c r="X74" s="17"/>
      <c r="Y74" s="17"/>
    </row>
    <row r="75" spans="1:27" x14ac:dyDescent="0.3">
      <c r="A75" s="147"/>
      <c r="B75" s="146"/>
      <c r="C75" s="146"/>
      <c r="D75" s="146"/>
      <c r="E75" s="146"/>
      <c r="F75" s="146"/>
      <c r="G75" s="146"/>
      <c r="H75" s="5"/>
      <c r="I75" s="5"/>
      <c r="J75" s="5"/>
      <c r="K75" s="155"/>
      <c r="S75" s="17"/>
      <c r="T75" s="17"/>
      <c r="U75" s="17"/>
      <c r="V75" s="17"/>
      <c r="W75" s="17"/>
      <c r="X75" s="17"/>
      <c r="Y75" s="17"/>
    </row>
    <row r="76" spans="1:27" x14ac:dyDescent="0.3">
      <c r="A76" s="147"/>
      <c r="B76" s="146"/>
      <c r="C76" s="146"/>
      <c r="D76" s="146"/>
      <c r="E76" s="146"/>
      <c r="F76" s="146"/>
      <c r="G76" s="5"/>
      <c r="H76" s="5"/>
      <c r="I76" s="5"/>
      <c r="J76" s="5"/>
      <c r="K76" s="155"/>
      <c r="S76" s="17"/>
      <c r="T76" s="17"/>
      <c r="U76" s="17"/>
      <c r="V76" s="17"/>
      <c r="W76" s="17"/>
      <c r="X76" s="17"/>
      <c r="Y76" s="17"/>
    </row>
    <row r="77" spans="1:27" ht="15" thickBot="1" x14ac:dyDescent="0.35">
      <c r="A77" s="147"/>
      <c r="B77" s="146" t="s">
        <v>298</v>
      </c>
      <c r="C77" s="146" t="s">
        <v>12</v>
      </c>
      <c r="D77" s="146" t="s">
        <v>13</v>
      </c>
      <c r="E77" s="146" t="s">
        <v>14</v>
      </c>
      <c r="F77" s="146" t="s">
        <v>15</v>
      </c>
      <c r="G77" s="5" t="s">
        <v>24</v>
      </c>
      <c r="H77" s="5" t="s">
        <v>25</v>
      </c>
      <c r="I77" s="5" t="s">
        <v>26</v>
      </c>
      <c r="J77" s="5" t="s">
        <v>27</v>
      </c>
      <c r="K77" s="155"/>
      <c r="S77" s="17"/>
      <c r="T77" s="17"/>
      <c r="U77" s="17"/>
      <c r="V77" s="17"/>
      <c r="W77" s="17"/>
      <c r="X77" s="17"/>
      <c r="Y77" s="17"/>
    </row>
    <row r="78" spans="1:27" s="13" customFormat="1" x14ac:dyDescent="0.3">
      <c r="A78" s="24"/>
      <c r="B78" s="14" t="s">
        <v>37</v>
      </c>
      <c r="C78" s="150">
        <f>COUNTIF($S$12:$T$69,"Italien")</f>
        <v>5</v>
      </c>
      <c r="D78" s="124">
        <f t="shared" ref="D78:D93" si="13">SUMPRODUCT(($S$12:$T$69=B78)*($X$12:$Y$69=3))</f>
        <v>4</v>
      </c>
      <c r="E78" s="124">
        <f t="shared" ref="E78:E93" si="14">SUMPRODUCT(($S$12:$T$69=B78)*($X$12:$Y$69=1))</f>
        <v>1</v>
      </c>
      <c r="F78" s="124">
        <f t="shared" ref="F78:F93" si="15">SUMPRODUCT(($S$12:$T$69=B78)*($X$12:$Y$69=2))</f>
        <v>0</v>
      </c>
      <c r="G78" s="124">
        <f t="shared" ref="G78:G93" si="16">SUMPRODUCT(($S$12:$S$69=B78)*($U$12:$U$69))+SUMPRODUCT(($T$12:$T$69=B78)*($V$12:$V$69))</f>
        <v>12</v>
      </c>
      <c r="H78" s="124">
        <f t="shared" ref="H78:H93" si="17">SUMPRODUCT(($S$12:$S$69=B78)*($V$12:$V$69))+SUMPRODUCT(($T$12:$T$69=B78)*($U$12:$U$69))</f>
        <v>3</v>
      </c>
      <c r="I78" s="15">
        <f t="shared" ref="I78:I93" si="18">(D78*2)+E78</f>
        <v>9</v>
      </c>
      <c r="J78" s="16">
        <f t="shared" ref="J78:J93" si="19">(F78*2)+E78</f>
        <v>1</v>
      </c>
      <c r="K78" s="159"/>
      <c r="L78" s="18"/>
      <c r="M78" s="18"/>
      <c r="N78" s="18"/>
      <c r="O78" s="18"/>
      <c r="P78" s="18"/>
      <c r="Q78" s="18"/>
      <c r="S78" s="17"/>
      <c r="T78" s="17"/>
      <c r="U78" s="17"/>
      <c r="V78" s="17"/>
      <c r="W78" s="17"/>
      <c r="X78" s="17"/>
      <c r="Y78" s="17"/>
      <c r="AA78" s="10"/>
    </row>
    <row r="79" spans="1:27" s="13" customFormat="1" x14ac:dyDescent="0.3">
      <c r="A79" s="24"/>
      <c r="B79" s="21" t="s">
        <v>39</v>
      </c>
      <c r="C79" s="17">
        <f>COUNTIF($S$12:$T$69,"Deutschland")</f>
        <v>4</v>
      </c>
      <c r="D79" s="43">
        <f t="shared" si="13"/>
        <v>3</v>
      </c>
      <c r="E79" s="43">
        <f t="shared" si="14"/>
        <v>0</v>
      </c>
      <c r="F79" s="43">
        <f t="shared" si="15"/>
        <v>1</v>
      </c>
      <c r="G79" s="43">
        <f t="shared" si="16"/>
        <v>11</v>
      </c>
      <c r="H79" s="43">
        <f t="shared" si="17"/>
        <v>8</v>
      </c>
      <c r="I79" s="18">
        <f t="shared" si="18"/>
        <v>6</v>
      </c>
      <c r="J79" s="22">
        <f t="shared" si="19"/>
        <v>2</v>
      </c>
      <c r="K79" s="159"/>
      <c r="L79" s="18"/>
      <c r="M79" s="18"/>
      <c r="N79" s="18"/>
      <c r="O79" s="18"/>
      <c r="P79" s="18"/>
      <c r="Q79" s="18"/>
      <c r="S79" s="17"/>
      <c r="T79" s="17"/>
      <c r="U79" s="17"/>
      <c r="V79" s="17"/>
      <c r="W79" s="17"/>
      <c r="X79" s="17"/>
      <c r="Y79" s="17"/>
      <c r="AA79" s="10"/>
    </row>
    <row r="80" spans="1:27" s="13" customFormat="1" x14ac:dyDescent="0.3">
      <c r="A80" s="24"/>
      <c r="B80" s="21" t="s">
        <v>45</v>
      </c>
      <c r="C80" s="17">
        <f>COUNTIF($S$12:$T$69,"CSSR")</f>
        <v>4</v>
      </c>
      <c r="D80" s="43">
        <f t="shared" si="13"/>
        <v>3</v>
      </c>
      <c r="E80" s="43">
        <f t="shared" si="14"/>
        <v>0</v>
      </c>
      <c r="F80" s="43">
        <f t="shared" si="15"/>
        <v>1</v>
      </c>
      <c r="G80" s="43">
        <f t="shared" si="16"/>
        <v>9</v>
      </c>
      <c r="H80" s="43">
        <f t="shared" si="17"/>
        <v>6</v>
      </c>
      <c r="I80" s="18">
        <f t="shared" si="18"/>
        <v>6</v>
      </c>
      <c r="J80" s="22">
        <f t="shared" si="19"/>
        <v>2</v>
      </c>
      <c r="K80" s="159"/>
      <c r="L80" s="18"/>
      <c r="M80" s="18"/>
      <c r="N80" s="18"/>
      <c r="O80" s="18"/>
      <c r="P80" s="18"/>
      <c r="Q80" s="18"/>
      <c r="S80" s="17"/>
      <c r="T80" s="17"/>
      <c r="U80" s="17"/>
      <c r="V80" s="17"/>
      <c r="W80" s="17"/>
      <c r="X80" s="17"/>
      <c r="Y80" s="17"/>
      <c r="AA80" s="10"/>
    </row>
    <row r="81" spans="1:27" s="13" customFormat="1" x14ac:dyDescent="0.3">
      <c r="A81" s="24"/>
      <c r="B81" s="21" t="s">
        <v>29</v>
      </c>
      <c r="C81" s="17">
        <f>COUNTIF($S$12:$T$69,"Österreich")</f>
        <v>4</v>
      </c>
      <c r="D81" s="43">
        <f t="shared" si="13"/>
        <v>2</v>
      </c>
      <c r="E81" s="43">
        <f t="shared" si="14"/>
        <v>0</v>
      </c>
      <c r="F81" s="43">
        <f t="shared" si="15"/>
        <v>2</v>
      </c>
      <c r="G81" s="43">
        <f t="shared" si="16"/>
        <v>7</v>
      </c>
      <c r="H81" s="43">
        <f t="shared" si="17"/>
        <v>7</v>
      </c>
      <c r="I81" s="18">
        <f t="shared" si="18"/>
        <v>4</v>
      </c>
      <c r="J81" s="22">
        <f t="shared" si="19"/>
        <v>4</v>
      </c>
      <c r="K81" s="159"/>
      <c r="L81" s="18"/>
      <c r="M81" s="18"/>
      <c r="N81" s="18"/>
      <c r="O81" s="18"/>
      <c r="P81" s="18"/>
      <c r="Q81" s="18"/>
      <c r="S81" s="17"/>
      <c r="T81" s="17"/>
      <c r="U81" s="17"/>
      <c r="V81" s="17"/>
      <c r="W81" s="17"/>
      <c r="X81" s="143"/>
      <c r="Y81" s="143"/>
      <c r="AA81" s="10"/>
    </row>
    <row r="82" spans="1:27" s="13" customFormat="1" x14ac:dyDescent="0.3">
      <c r="A82" s="24"/>
      <c r="B82" s="21" t="s">
        <v>35</v>
      </c>
      <c r="C82" s="17">
        <f>COUNTIF($S$12:$T$69,"Spanien")</f>
        <v>3</v>
      </c>
      <c r="D82" s="43">
        <f t="shared" si="13"/>
        <v>1</v>
      </c>
      <c r="E82" s="43">
        <f t="shared" si="14"/>
        <v>1</v>
      </c>
      <c r="F82" s="43">
        <f t="shared" si="15"/>
        <v>1</v>
      </c>
      <c r="G82" s="43">
        <f t="shared" si="16"/>
        <v>4</v>
      </c>
      <c r="H82" s="43">
        <f t="shared" si="17"/>
        <v>3</v>
      </c>
      <c r="I82" s="18">
        <f t="shared" si="18"/>
        <v>3</v>
      </c>
      <c r="J82" s="22">
        <f t="shared" si="19"/>
        <v>3</v>
      </c>
      <c r="K82" s="159"/>
      <c r="L82" s="18"/>
      <c r="M82" s="18"/>
      <c r="N82" s="18"/>
      <c r="O82" s="18"/>
      <c r="P82" s="18"/>
      <c r="Q82" s="18"/>
      <c r="S82" s="17"/>
      <c r="T82" s="17"/>
      <c r="U82" s="17"/>
      <c r="V82" s="17"/>
      <c r="W82" s="17"/>
      <c r="X82" s="143"/>
      <c r="Y82" s="143"/>
      <c r="AA82" s="10"/>
    </row>
    <row r="83" spans="1:27" s="13" customFormat="1" x14ac:dyDescent="0.3">
      <c r="A83" s="24"/>
      <c r="B83" s="21" t="s">
        <v>32</v>
      </c>
      <c r="C83" s="17">
        <f>COUNTIF($S$12:$T$69,"Ungarn")</f>
        <v>2</v>
      </c>
      <c r="D83" s="43">
        <f t="shared" si="13"/>
        <v>1</v>
      </c>
      <c r="E83" s="43">
        <f t="shared" si="14"/>
        <v>0</v>
      </c>
      <c r="F83" s="43">
        <f t="shared" si="15"/>
        <v>1</v>
      </c>
      <c r="G83" s="43">
        <f t="shared" si="16"/>
        <v>5</v>
      </c>
      <c r="H83" s="43">
        <f t="shared" si="17"/>
        <v>4</v>
      </c>
      <c r="I83" s="18">
        <f t="shared" si="18"/>
        <v>2</v>
      </c>
      <c r="J83" s="22">
        <f t="shared" si="19"/>
        <v>2</v>
      </c>
      <c r="K83" s="159"/>
      <c r="L83" s="18"/>
      <c r="M83" s="18"/>
      <c r="N83" s="18"/>
      <c r="O83" s="18"/>
      <c r="P83" s="18"/>
      <c r="Q83" s="18"/>
      <c r="S83" s="17"/>
      <c r="T83" s="17"/>
      <c r="U83" s="17"/>
      <c r="V83" s="17"/>
      <c r="W83" s="17"/>
      <c r="X83" s="17"/>
      <c r="Y83" s="17"/>
      <c r="AA83" s="10"/>
    </row>
    <row r="84" spans="1:27" s="13" customFormat="1" x14ac:dyDescent="0.3">
      <c r="A84" s="24"/>
      <c r="B84" s="21" t="s">
        <v>43</v>
      </c>
      <c r="C84" s="17">
        <f>COUNTIF($S$12:$T$69,"Schweiz")</f>
        <v>2</v>
      </c>
      <c r="D84" s="43">
        <f t="shared" si="13"/>
        <v>1</v>
      </c>
      <c r="E84" s="43">
        <f t="shared" si="14"/>
        <v>0</v>
      </c>
      <c r="F84" s="43">
        <f t="shared" si="15"/>
        <v>1</v>
      </c>
      <c r="G84" s="43">
        <f t="shared" si="16"/>
        <v>5</v>
      </c>
      <c r="H84" s="43">
        <f t="shared" si="17"/>
        <v>5</v>
      </c>
      <c r="I84" s="18">
        <f t="shared" si="18"/>
        <v>2</v>
      </c>
      <c r="J84" s="22">
        <f t="shared" si="19"/>
        <v>2</v>
      </c>
      <c r="K84" s="159"/>
      <c r="L84" s="18"/>
      <c r="M84" s="18"/>
      <c r="N84" s="18"/>
      <c r="O84" s="18"/>
      <c r="P84" s="18"/>
      <c r="Q84" s="18"/>
      <c r="S84" s="17"/>
      <c r="T84" s="17"/>
      <c r="U84" s="17"/>
      <c r="V84" s="17"/>
      <c r="W84" s="17"/>
      <c r="X84" s="17"/>
      <c r="Y84" s="17"/>
      <c r="AA84" s="10"/>
    </row>
    <row r="85" spans="1:27" s="13" customFormat="1" x14ac:dyDescent="0.3">
      <c r="A85" s="24"/>
      <c r="B85" s="21" t="s">
        <v>41</v>
      </c>
      <c r="C85" s="17">
        <f>COUNTIF($S$12:$T$69,"Schweden")</f>
        <v>2</v>
      </c>
      <c r="D85" s="43">
        <f t="shared" si="13"/>
        <v>1</v>
      </c>
      <c r="E85" s="43">
        <f t="shared" si="14"/>
        <v>0</v>
      </c>
      <c r="F85" s="43">
        <f t="shared" si="15"/>
        <v>1</v>
      </c>
      <c r="G85" s="43">
        <f t="shared" si="16"/>
        <v>4</v>
      </c>
      <c r="H85" s="43">
        <f t="shared" si="17"/>
        <v>4</v>
      </c>
      <c r="I85" s="18">
        <f t="shared" si="18"/>
        <v>2</v>
      </c>
      <c r="J85" s="22">
        <f t="shared" si="19"/>
        <v>2</v>
      </c>
      <c r="K85" s="159"/>
      <c r="L85" s="18"/>
      <c r="M85" s="18"/>
      <c r="N85" s="18"/>
      <c r="O85" s="18"/>
      <c r="P85" s="18"/>
      <c r="Q85" s="18"/>
      <c r="S85" s="17"/>
      <c r="T85" s="17"/>
      <c r="U85" s="17"/>
      <c r="V85" s="17"/>
      <c r="W85" s="17"/>
      <c r="X85" s="17"/>
      <c r="Y85" s="17"/>
      <c r="AA85" s="10"/>
    </row>
    <row r="86" spans="1:27" s="13" customFormat="1" x14ac:dyDescent="0.3">
      <c r="A86" s="24"/>
      <c r="B86" s="21" t="s">
        <v>3</v>
      </c>
      <c r="C86" s="17">
        <f>COUNTIF($S$12:$T$69,"Frankreich")</f>
        <v>1</v>
      </c>
      <c r="D86" s="43">
        <f t="shared" si="13"/>
        <v>0</v>
      </c>
      <c r="E86" s="43">
        <f t="shared" si="14"/>
        <v>0</v>
      </c>
      <c r="F86" s="43">
        <f t="shared" si="15"/>
        <v>1</v>
      </c>
      <c r="G86" s="43">
        <f t="shared" si="16"/>
        <v>2</v>
      </c>
      <c r="H86" s="43">
        <f t="shared" si="17"/>
        <v>3</v>
      </c>
      <c r="I86" s="18">
        <f t="shared" si="18"/>
        <v>0</v>
      </c>
      <c r="J86" s="22">
        <f t="shared" si="19"/>
        <v>2</v>
      </c>
      <c r="K86" s="159"/>
      <c r="L86" s="18"/>
      <c r="M86" s="18"/>
      <c r="N86" s="18"/>
      <c r="O86" s="18"/>
      <c r="P86" s="18"/>
      <c r="Q86" s="18"/>
      <c r="S86" s="17"/>
      <c r="T86" s="17"/>
      <c r="U86" s="17"/>
      <c r="V86" s="17"/>
      <c r="W86" s="17"/>
      <c r="X86" s="17"/>
      <c r="Y86" s="17"/>
      <c r="AA86" s="10"/>
    </row>
    <row r="87" spans="1:27" s="13" customFormat="1" x14ac:dyDescent="0.3">
      <c r="A87" s="24"/>
      <c r="B87" s="21" t="s">
        <v>63</v>
      </c>
      <c r="C87" s="17">
        <f>COUNTIF($S$12:$T$69,"Niederlande")</f>
        <v>1</v>
      </c>
      <c r="D87" s="43">
        <f t="shared" si="13"/>
        <v>0</v>
      </c>
      <c r="E87" s="43">
        <f t="shared" si="14"/>
        <v>0</v>
      </c>
      <c r="F87" s="43">
        <f t="shared" si="15"/>
        <v>1</v>
      </c>
      <c r="G87" s="43">
        <f t="shared" si="16"/>
        <v>2</v>
      </c>
      <c r="H87" s="43">
        <f t="shared" si="17"/>
        <v>3</v>
      </c>
      <c r="I87" s="18">
        <f t="shared" si="18"/>
        <v>0</v>
      </c>
      <c r="J87" s="22">
        <f t="shared" si="19"/>
        <v>2</v>
      </c>
      <c r="K87" s="159"/>
      <c r="L87" s="18"/>
      <c r="M87" s="18"/>
      <c r="N87" s="18"/>
      <c r="O87" s="18"/>
      <c r="P87" s="18"/>
      <c r="Q87" s="18"/>
      <c r="S87" s="17"/>
      <c r="T87" s="17"/>
      <c r="U87" s="17"/>
      <c r="V87" s="17"/>
      <c r="W87" s="17"/>
      <c r="X87" s="17"/>
      <c r="Y87" s="17"/>
      <c r="AA87" s="10"/>
    </row>
    <row r="88" spans="1:27" s="13" customFormat="1" x14ac:dyDescent="0.3">
      <c r="A88" s="24"/>
      <c r="B88" s="21" t="s">
        <v>5</v>
      </c>
      <c r="C88" s="17">
        <f>COUNTIF($S$12:$T$69,"Argentinien")</f>
        <v>1</v>
      </c>
      <c r="D88" s="43">
        <f t="shared" si="13"/>
        <v>0</v>
      </c>
      <c r="E88" s="43">
        <f t="shared" si="14"/>
        <v>0</v>
      </c>
      <c r="F88" s="43">
        <f t="shared" si="15"/>
        <v>1</v>
      </c>
      <c r="G88" s="43">
        <f t="shared" si="16"/>
        <v>2</v>
      </c>
      <c r="H88" s="43">
        <f t="shared" si="17"/>
        <v>3</v>
      </c>
      <c r="I88" s="18">
        <f t="shared" si="18"/>
        <v>0</v>
      </c>
      <c r="J88" s="22">
        <f t="shared" si="19"/>
        <v>2</v>
      </c>
      <c r="K88" s="159"/>
      <c r="L88" s="18"/>
      <c r="M88" s="18"/>
      <c r="N88" s="18"/>
      <c r="O88" s="18"/>
      <c r="P88" s="18"/>
      <c r="Q88" s="18"/>
      <c r="S88" s="17"/>
      <c r="T88" s="17"/>
      <c r="U88" s="17"/>
      <c r="V88" s="17"/>
      <c r="W88" s="17"/>
      <c r="X88" s="17"/>
      <c r="Y88" s="17"/>
      <c r="AA88" s="10"/>
    </row>
    <row r="89" spans="1:27" s="13" customFormat="1" x14ac:dyDescent="0.3">
      <c r="A89" s="24"/>
      <c r="B89" s="21" t="s">
        <v>33</v>
      </c>
      <c r="C89" s="17">
        <f>COUNTIF($S$12:$T$69,"Ägypten")</f>
        <v>1</v>
      </c>
      <c r="D89" s="43">
        <f t="shared" si="13"/>
        <v>0</v>
      </c>
      <c r="E89" s="43">
        <f t="shared" si="14"/>
        <v>0</v>
      </c>
      <c r="F89" s="43">
        <f t="shared" si="15"/>
        <v>1</v>
      </c>
      <c r="G89" s="43">
        <f t="shared" si="16"/>
        <v>2</v>
      </c>
      <c r="H89" s="43">
        <f t="shared" si="17"/>
        <v>4</v>
      </c>
      <c r="I89" s="18">
        <f t="shared" si="18"/>
        <v>0</v>
      </c>
      <c r="J89" s="22">
        <f t="shared" si="19"/>
        <v>2</v>
      </c>
      <c r="K89" s="159"/>
      <c r="L89" s="18"/>
      <c r="M89" s="18"/>
      <c r="N89" s="18"/>
      <c r="O89" s="18"/>
      <c r="P89" s="18"/>
      <c r="Q89" s="18"/>
      <c r="S89" s="17"/>
      <c r="T89" s="17"/>
      <c r="U89" s="17"/>
      <c r="V89" s="17"/>
      <c r="W89" s="17"/>
      <c r="X89" s="17"/>
      <c r="Y89" s="17"/>
      <c r="AA89" s="10"/>
    </row>
    <row r="90" spans="1:27" s="13" customFormat="1" x14ac:dyDescent="0.3">
      <c r="A90" s="24"/>
      <c r="B90" s="21" t="s">
        <v>21</v>
      </c>
      <c r="C90" s="17">
        <f>COUNTIF($S$12:$T$69,"Belgien")</f>
        <v>1</v>
      </c>
      <c r="D90" s="43">
        <f t="shared" si="13"/>
        <v>0</v>
      </c>
      <c r="E90" s="43">
        <f t="shared" si="14"/>
        <v>0</v>
      </c>
      <c r="F90" s="43">
        <f t="shared" si="15"/>
        <v>1</v>
      </c>
      <c r="G90" s="43">
        <f t="shared" si="16"/>
        <v>2</v>
      </c>
      <c r="H90" s="43">
        <f t="shared" si="17"/>
        <v>5</v>
      </c>
      <c r="I90" s="18">
        <f t="shared" si="18"/>
        <v>0</v>
      </c>
      <c r="J90" s="22">
        <f t="shared" si="19"/>
        <v>2</v>
      </c>
      <c r="K90" s="159"/>
      <c r="L90" s="18"/>
      <c r="M90" s="18"/>
      <c r="N90" s="18"/>
      <c r="O90" s="18"/>
      <c r="P90" s="18"/>
      <c r="Q90" s="18"/>
      <c r="S90" s="17"/>
      <c r="T90" s="17"/>
      <c r="U90" s="17"/>
      <c r="V90" s="17"/>
      <c r="W90" s="17"/>
      <c r="X90" s="17"/>
      <c r="Y90" s="17"/>
      <c r="AA90" s="10"/>
    </row>
    <row r="91" spans="1:27" s="13" customFormat="1" x14ac:dyDescent="0.3">
      <c r="A91" s="24"/>
      <c r="B91" s="21" t="s">
        <v>16</v>
      </c>
      <c r="C91" s="17">
        <f>COUNTIF($S$12:$T$69,"Rumänien")</f>
        <v>1</v>
      </c>
      <c r="D91" s="43">
        <f t="shared" si="13"/>
        <v>0</v>
      </c>
      <c r="E91" s="43">
        <f t="shared" si="14"/>
        <v>0</v>
      </c>
      <c r="F91" s="43">
        <f t="shared" si="15"/>
        <v>1</v>
      </c>
      <c r="G91" s="43">
        <f t="shared" si="16"/>
        <v>1</v>
      </c>
      <c r="H91" s="43">
        <f t="shared" si="17"/>
        <v>2</v>
      </c>
      <c r="I91" s="18">
        <f t="shared" si="18"/>
        <v>0</v>
      </c>
      <c r="J91" s="22">
        <f t="shared" si="19"/>
        <v>2</v>
      </c>
      <c r="K91" s="159"/>
      <c r="L91" s="18"/>
      <c r="M91" s="18"/>
      <c r="N91" s="18"/>
      <c r="O91" s="18"/>
      <c r="P91" s="18"/>
      <c r="Q91" s="18"/>
      <c r="S91" s="17"/>
      <c r="T91" s="17"/>
      <c r="U91" s="17"/>
      <c r="V91" s="17"/>
      <c r="W91" s="17"/>
      <c r="X91" s="17"/>
      <c r="Y91" s="17"/>
      <c r="AA91" s="10"/>
    </row>
    <row r="92" spans="1:27" s="13" customFormat="1" x14ac:dyDescent="0.3">
      <c r="A92" s="24"/>
      <c r="B92" s="21" t="s">
        <v>9</v>
      </c>
      <c r="C92" s="17">
        <f>COUNTIF($S$12:$T$69,"Brasilien")</f>
        <v>1</v>
      </c>
      <c r="D92" s="43">
        <f t="shared" si="13"/>
        <v>0</v>
      </c>
      <c r="E92" s="43">
        <f t="shared" si="14"/>
        <v>0</v>
      </c>
      <c r="F92" s="43">
        <f t="shared" si="15"/>
        <v>1</v>
      </c>
      <c r="G92" s="43">
        <f t="shared" si="16"/>
        <v>1</v>
      </c>
      <c r="H92" s="43">
        <f t="shared" si="17"/>
        <v>3</v>
      </c>
      <c r="I92" s="18">
        <f t="shared" si="18"/>
        <v>0</v>
      </c>
      <c r="J92" s="22">
        <f t="shared" si="19"/>
        <v>2</v>
      </c>
      <c r="K92" s="159"/>
      <c r="L92" s="18"/>
      <c r="M92" s="18"/>
      <c r="N92" s="18"/>
      <c r="O92" s="18"/>
      <c r="P92" s="18"/>
      <c r="Q92" s="18"/>
      <c r="S92" s="17"/>
      <c r="T92" s="17"/>
      <c r="U92" s="17"/>
      <c r="V92" s="17"/>
      <c r="W92" s="17"/>
      <c r="X92" s="17"/>
      <c r="Y92" s="17"/>
      <c r="AA92" s="10"/>
    </row>
    <row r="93" spans="1:27" s="13" customFormat="1" ht="15" thickBot="1" x14ac:dyDescent="0.35">
      <c r="A93" s="24"/>
      <c r="B93" s="29" t="s">
        <v>20</v>
      </c>
      <c r="C93" s="30">
        <f>COUNTIF($S$12:$T$69,"USA")</f>
        <v>1</v>
      </c>
      <c r="D93" s="80">
        <f t="shared" si="13"/>
        <v>0</v>
      </c>
      <c r="E93" s="80">
        <f t="shared" si="14"/>
        <v>0</v>
      </c>
      <c r="F93" s="80">
        <f t="shared" si="15"/>
        <v>1</v>
      </c>
      <c r="G93" s="80">
        <f t="shared" si="16"/>
        <v>1</v>
      </c>
      <c r="H93" s="80">
        <f t="shared" si="17"/>
        <v>7</v>
      </c>
      <c r="I93" s="31">
        <f t="shared" si="18"/>
        <v>0</v>
      </c>
      <c r="J93" s="32">
        <f t="shared" si="19"/>
        <v>2</v>
      </c>
      <c r="K93" s="159"/>
      <c r="L93" s="18"/>
      <c r="M93" s="18"/>
      <c r="N93" s="18"/>
      <c r="O93" s="18"/>
      <c r="P93" s="18"/>
      <c r="Q93" s="18"/>
      <c r="S93" s="17"/>
      <c r="T93" s="17"/>
      <c r="U93" s="17"/>
      <c r="V93" s="17"/>
      <c r="W93" s="17"/>
      <c r="X93" s="17"/>
      <c r="Y93" s="17"/>
      <c r="AA93" s="10"/>
    </row>
    <row r="94" spans="1:27" x14ac:dyDescent="0.3">
      <c r="A94" s="147"/>
      <c r="B94" s="146"/>
      <c r="C94" s="146"/>
      <c r="D94" s="146"/>
      <c r="E94" s="146"/>
      <c r="F94" s="146"/>
      <c r="G94" s="5"/>
      <c r="H94" s="5"/>
      <c r="I94" s="5"/>
      <c r="J94" s="5"/>
      <c r="K94" s="155"/>
      <c r="S94" s="17"/>
      <c r="T94" s="17"/>
      <c r="U94" s="17"/>
      <c r="V94" s="17"/>
      <c r="W94" s="17"/>
      <c r="X94" s="17"/>
      <c r="Y94" s="17"/>
    </row>
    <row r="95" spans="1:27" ht="15" thickBot="1" x14ac:dyDescent="0.35">
      <c r="A95" s="110"/>
      <c r="B95" s="36"/>
      <c r="C95" s="36"/>
      <c r="D95" s="36"/>
      <c r="E95" s="36"/>
      <c r="F95" s="36"/>
      <c r="G95" s="37"/>
      <c r="H95" s="37"/>
      <c r="I95" s="37"/>
      <c r="J95" s="37"/>
      <c r="K95" s="160"/>
      <c r="S95" s="17"/>
      <c r="T95" s="17"/>
      <c r="U95" s="17"/>
      <c r="V95" s="17"/>
      <c r="W95" s="17"/>
      <c r="X95" s="143"/>
      <c r="Y95" s="143"/>
    </row>
    <row r="96" spans="1:27" ht="15" thickTop="1" x14ac:dyDescent="0.3">
      <c r="S96" s="17"/>
      <c r="T96" s="17"/>
      <c r="U96" s="17"/>
      <c r="V96" s="17"/>
      <c r="W96" s="17"/>
      <c r="X96" s="17"/>
      <c r="Y96" s="17"/>
    </row>
    <row r="97" spans="19:25" x14ac:dyDescent="0.3">
      <c r="S97" s="17"/>
      <c r="T97" s="17"/>
      <c r="U97" s="17"/>
      <c r="V97" s="17"/>
      <c r="W97" s="17"/>
      <c r="X97" s="17"/>
      <c r="Y97" s="17"/>
    </row>
    <row r="98" spans="19:25" x14ac:dyDescent="0.3">
      <c r="S98" s="17"/>
      <c r="T98" s="17"/>
      <c r="U98" s="17"/>
      <c r="V98" s="17"/>
      <c r="W98" s="17"/>
      <c r="X98" s="17"/>
      <c r="Y98" s="17"/>
    </row>
    <row r="99" spans="19:25" x14ac:dyDescent="0.3">
      <c r="S99" s="17"/>
      <c r="T99" s="17"/>
      <c r="U99" s="17"/>
      <c r="V99" s="17"/>
      <c r="W99" s="17"/>
      <c r="X99" s="17"/>
      <c r="Y99" s="17"/>
    </row>
    <row r="100" spans="19:25" x14ac:dyDescent="0.3">
      <c r="S100" s="17"/>
      <c r="T100" s="17"/>
      <c r="U100" s="17"/>
      <c r="V100" s="17"/>
      <c r="W100" s="17"/>
      <c r="X100" s="17"/>
      <c r="Y100" s="17"/>
    </row>
    <row r="101" spans="19:25" x14ac:dyDescent="0.3">
      <c r="S101" s="17"/>
      <c r="T101" s="17"/>
      <c r="U101" s="17"/>
      <c r="V101" s="17"/>
      <c r="W101" s="17"/>
      <c r="X101" s="17"/>
      <c r="Y101" s="17"/>
    </row>
    <row r="102" spans="19:25" x14ac:dyDescent="0.3">
      <c r="S102" s="17"/>
      <c r="T102" s="17"/>
      <c r="U102" s="17"/>
      <c r="V102" s="17"/>
      <c r="W102" s="17"/>
      <c r="X102" s="17"/>
      <c r="Y102" s="17"/>
    </row>
    <row r="103" spans="19:25" x14ac:dyDescent="0.3">
      <c r="S103" s="17"/>
      <c r="T103" s="17"/>
      <c r="U103" s="17"/>
      <c r="V103" s="17"/>
      <c r="W103" s="17"/>
      <c r="X103" s="17"/>
      <c r="Y103" s="17"/>
    </row>
    <row r="104" spans="19:25" x14ac:dyDescent="0.3">
      <c r="S104" s="17"/>
      <c r="T104" s="17"/>
      <c r="U104" s="17"/>
      <c r="V104" s="17"/>
      <c r="W104" s="17"/>
      <c r="X104" s="17"/>
      <c r="Y104" s="17"/>
    </row>
    <row r="105" spans="19:25" x14ac:dyDescent="0.3">
      <c r="S105" s="17"/>
      <c r="T105" s="17"/>
      <c r="U105" s="17"/>
      <c r="V105" s="17"/>
      <c r="W105" s="17"/>
      <c r="X105" s="17"/>
      <c r="Y105" s="17"/>
    </row>
    <row r="106" spans="19:25" x14ac:dyDescent="0.3">
      <c r="S106" s="17"/>
      <c r="T106" s="17"/>
      <c r="U106" s="17"/>
      <c r="V106" s="17"/>
      <c r="W106" s="17"/>
      <c r="X106" s="17"/>
      <c r="Y106" s="17"/>
    </row>
    <row r="107" spans="19:25" x14ac:dyDescent="0.3">
      <c r="S107" s="17"/>
      <c r="T107" s="17"/>
      <c r="U107" s="17"/>
      <c r="V107" s="17"/>
      <c r="W107" s="17"/>
      <c r="X107" s="17"/>
      <c r="Y107" s="17"/>
    </row>
    <row r="108" spans="19:25" x14ac:dyDescent="0.3">
      <c r="S108" s="17"/>
      <c r="T108" s="17"/>
      <c r="U108" s="17"/>
      <c r="V108" s="17"/>
      <c r="W108" s="17"/>
      <c r="X108" s="17"/>
      <c r="Y108" s="17"/>
    </row>
    <row r="109" spans="19:25" x14ac:dyDescent="0.3">
      <c r="S109" s="17"/>
      <c r="T109" s="17"/>
      <c r="U109" s="17"/>
      <c r="V109" s="17"/>
      <c r="W109" s="17"/>
      <c r="X109" s="17"/>
      <c r="Y109" s="17"/>
    </row>
    <row r="110" spans="19:25" x14ac:dyDescent="0.3">
      <c r="S110" s="17"/>
      <c r="T110" s="17"/>
      <c r="U110" s="17"/>
      <c r="V110" s="17"/>
      <c r="W110" s="17"/>
      <c r="X110" s="17"/>
      <c r="Y110" s="17"/>
    </row>
    <row r="111" spans="19:25" x14ac:dyDescent="0.3">
      <c r="S111" s="17"/>
      <c r="T111" s="17"/>
      <c r="U111" s="17"/>
      <c r="V111" s="17"/>
      <c r="W111" s="17"/>
      <c r="X111" s="17"/>
      <c r="Y111" s="17"/>
    </row>
    <row r="112" spans="19:25" x14ac:dyDescent="0.3">
      <c r="S112" s="17"/>
      <c r="T112" s="17"/>
      <c r="U112" s="17"/>
      <c r="V112" s="17"/>
      <c r="W112" s="17"/>
      <c r="X112" s="17"/>
      <c r="Y112" s="17"/>
    </row>
    <row r="113" spans="19:25" x14ac:dyDescent="0.3">
      <c r="S113" s="17"/>
      <c r="T113" s="17"/>
      <c r="U113" s="17"/>
      <c r="V113" s="17"/>
      <c r="W113" s="17"/>
      <c r="X113" s="17"/>
      <c r="Y113" s="17"/>
    </row>
    <row r="114" spans="19:25" x14ac:dyDescent="0.3">
      <c r="S114" s="17"/>
      <c r="T114" s="17"/>
      <c r="U114" s="17"/>
      <c r="V114" s="17"/>
      <c r="W114" s="17"/>
      <c r="X114" s="17"/>
      <c r="Y114" s="17"/>
    </row>
    <row r="115" spans="19:25" x14ac:dyDescent="0.3">
      <c r="S115" s="17"/>
      <c r="T115" s="17"/>
      <c r="U115" s="17"/>
      <c r="V115" s="17"/>
      <c r="W115" s="17"/>
      <c r="X115" s="17"/>
      <c r="Y115" s="17"/>
    </row>
    <row r="116" spans="19:25" x14ac:dyDescent="0.3">
      <c r="S116" s="17"/>
      <c r="T116" s="17"/>
      <c r="U116" s="17"/>
      <c r="V116" s="17"/>
      <c r="W116" s="17"/>
      <c r="X116" s="17"/>
      <c r="Y116" s="17"/>
    </row>
    <row r="117" spans="19:25" x14ac:dyDescent="0.3">
      <c r="S117" s="17"/>
      <c r="T117" s="17"/>
      <c r="U117" s="17"/>
      <c r="V117" s="17"/>
      <c r="W117" s="17"/>
      <c r="X117" s="17"/>
      <c r="Y117" s="17"/>
    </row>
    <row r="118" spans="19:25" x14ac:dyDescent="0.3">
      <c r="S118" s="17"/>
      <c r="T118" s="17"/>
      <c r="U118" s="17"/>
      <c r="V118" s="17"/>
      <c r="W118" s="17"/>
      <c r="X118" s="17"/>
      <c r="Y118" s="17"/>
    </row>
    <row r="119" spans="19:25" x14ac:dyDescent="0.3">
      <c r="S119" s="17"/>
      <c r="T119" s="17"/>
      <c r="U119" s="17"/>
      <c r="V119" s="17"/>
      <c r="W119" s="17"/>
      <c r="X119" s="17"/>
      <c r="Y119" s="17"/>
    </row>
    <row r="120" spans="19:25" x14ac:dyDescent="0.3">
      <c r="S120" s="17"/>
      <c r="T120" s="17"/>
      <c r="U120" s="17"/>
      <c r="V120" s="17"/>
      <c r="W120" s="17"/>
      <c r="X120" s="17"/>
      <c r="Y120" s="17"/>
    </row>
    <row r="121" spans="19:25" x14ac:dyDescent="0.3">
      <c r="S121" s="17"/>
      <c r="T121" s="17"/>
      <c r="U121" s="17"/>
      <c r="V121" s="17"/>
      <c r="W121" s="17"/>
      <c r="X121" s="17"/>
      <c r="Y121" s="17"/>
    </row>
    <row r="122" spans="19:25" x14ac:dyDescent="0.3">
      <c r="S122" s="17"/>
      <c r="T122" s="17"/>
      <c r="U122" s="17"/>
      <c r="V122" s="17"/>
      <c r="W122" s="17"/>
      <c r="X122" s="17"/>
      <c r="Y122" s="17"/>
    </row>
    <row r="123" spans="19:25" x14ac:dyDescent="0.3">
      <c r="S123" s="17"/>
      <c r="T123" s="17"/>
      <c r="U123" s="17"/>
      <c r="V123" s="17"/>
      <c r="W123" s="17"/>
      <c r="X123" s="17"/>
      <c r="Y123" s="17"/>
    </row>
    <row r="124" spans="19:25" x14ac:dyDescent="0.3">
      <c r="S124" s="17"/>
      <c r="T124" s="17"/>
      <c r="U124" s="17"/>
      <c r="V124" s="17"/>
      <c r="W124" s="17"/>
      <c r="X124" s="17"/>
      <c r="Y124" s="17"/>
    </row>
    <row r="125" spans="19:25" x14ac:dyDescent="0.3">
      <c r="S125" s="17"/>
      <c r="T125" s="17"/>
      <c r="U125" s="17"/>
      <c r="V125" s="17"/>
      <c r="W125" s="17"/>
      <c r="X125" s="17"/>
      <c r="Y125" s="17"/>
    </row>
    <row r="126" spans="19:25" x14ac:dyDescent="0.3">
      <c r="S126" s="17"/>
      <c r="T126" s="17"/>
      <c r="U126" s="17"/>
      <c r="V126" s="17"/>
      <c r="W126" s="17"/>
      <c r="X126" s="17"/>
      <c r="Y126" s="17"/>
    </row>
    <row r="127" spans="19:25" x14ac:dyDescent="0.3">
      <c r="S127" s="17"/>
      <c r="T127" s="17"/>
      <c r="U127" s="17"/>
      <c r="V127" s="17"/>
      <c r="W127" s="17"/>
      <c r="X127" s="17"/>
      <c r="Y127" s="17"/>
    </row>
    <row r="128" spans="19:25" x14ac:dyDescent="0.3">
      <c r="S128" s="17"/>
      <c r="T128" s="17"/>
      <c r="U128" s="17"/>
      <c r="V128" s="17"/>
      <c r="W128" s="17"/>
      <c r="X128" s="17"/>
      <c r="Y128" s="17"/>
    </row>
  </sheetData>
  <sortState ref="A75:Y91">
    <sortCondition descending="1" ref="I75:I91"/>
    <sortCondition ref="J75:J91"/>
    <sortCondition descending="1" ref="G75:G91"/>
    <sortCondition ref="H75:H91"/>
  </sortState>
  <mergeCells count="6">
    <mergeCell ref="C67:I67"/>
    <mergeCell ref="C58:I58"/>
    <mergeCell ref="A2:K2"/>
    <mergeCell ref="A4:K4"/>
    <mergeCell ref="A5:K5"/>
    <mergeCell ref="A7:K7"/>
  </mergeCells>
  <pageMargins left="0.7" right="0.7" top="0.78740157499999996" bottom="0.78740157499999996" header="0.3" footer="0.3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A279"/>
  <sheetViews>
    <sheetView topLeftCell="A242" workbookViewId="0">
      <selection activeCell="N257" sqref="N257"/>
    </sheetView>
  </sheetViews>
  <sheetFormatPr baseColWidth="10" defaultRowHeight="14.4" x14ac:dyDescent="0.3"/>
  <cols>
    <col min="1" max="1" width="11.77734375" style="1" customWidth="1"/>
    <col min="2" max="2" width="12.77734375" style="1" customWidth="1"/>
    <col min="3" max="6" width="11.77734375" style="1" customWidth="1"/>
    <col min="7" max="10" width="11.77734375" style="2" customWidth="1"/>
    <col min="11" max="27" width="11.77734375" customWidth="1"/>
  </cols>
  <sheetData>
    <row r="1" spans="1:27" ht="15" thickTop="1" x14ac:dyDescent="0.3">
      <c r="A1" s="106"/>
      <c r="B1" s="25"/>
      <c r="C1" s="25"/>
      <c r="D1" s="25"/>
      <c r="E1" s="25"/>
      <c r="F1" s="25"/>
      <c r="G1" s="26"/>
      <c r="H1" s="26"/>
      <c r="I1" s="26"/>
      <c r="J1" s="26"/>
      <c r="K1" s="107"/>
      <c r="S1" s="289"/>
      <c r="T1" s="39"/>
      <c r="U1" s="39"/>
      <c r="V1" s="39"/>
      <c r="W1" s="39"/>
      <c r="X1" s="39"/>
      <c r="Y1" s="290"/>
    </row>
    <row r="2" spans="1:27" ht="46.2" x14ac:dyDescent="0.85">
      <c r="A2" s="425" t="s">
        <v>235</v>
      </c>
      <c r="B2" s="426"/>
      <c r="C2" s="426"/>
      <c r="D2" s="426"/>
      <c r="E2" s="426"/>
      <c r="F2" s="426"/>
      <c r="G2" s="426"/>
      <c r="H2" s="426"/>
      <c r="I2" s="426"/>
      <c r="J2" s="426"/>
      <c r="K2" s="108"/>
      <c r="S2" s="289"/>
      <c r="T2" s="39"/>
      <c r="U2" s="39"/>
      <c r="V2" s="39"/>
      <c r="W2" s="39"/>
      <c r="X2" s="39"/>
      <c r="Y2" s="290"/>
    </row>
    <row r="3" spans="1:27" x14ac:dyDescent="0.3">
      <c r="A3" s="302"/>
      <c r="B3" s="301"/>
      <c r="C3" s="301"/>
      <c r="D3" s="301"/>
      <c r="E3" s="301"/>
      <c r="F3" s="301"/>
      <c r="G3" s="5"/>
      <c r="H3" s="5"/>
      <c r="I3" s="5"/>
      <c r="J3" s="5"/>
      <c r="K3" s="108"/>
      <c r="S3" s="289"/>
      <c r="T3" s="39"/>
      <c r="U3" s="39"/>
      <c r="V3" s="39"/>
      <c r="W3" s="39"/>
      <c r="X3" s="39"/>
      <c r="Y3" s="290"/>
    </row>
    <row r="4" spans="1:27" ht="28.8" x14ac:dyDescent="0.55000000000000004">
      <c r="A4" s="428" t="s">
        <v>239</v>
      </c>
      <c r="B4" s="429"/>
      <c r="C4" s="429"/>
      <c r="D4" s="429"/>
      <c r="E4" s="429"/>
      <c r="F4" s="429"/>
      <c r="G4" s="429"/>
      <c r="H4" s="429"/>
      <c r="I4" s="429"/>
      <c r="J4" s="429"/>
      <c r="K4" s="108"/>
      <c r="S4" s="289"/>
      <c r="T4" s="39"/>
      <c r="U4" s="39"/>
      <c r="V4" s="39"/>
      <c r="W4" s="39"/>
      <c r="X4" s="39"/>
      <c r="Y4" s="290"/>
    </row>
    <row r="5" spans="1:27" ht="21" x14ac:dyDescent="0.4">
      <c r="A5" s="430" t="s">
        <v>395</v>
      </c>
      <c r="B5" s="431"/>
      <c r="C5" s="431"/>
      <c r="D5" s="431"/>
      <c r="E5" s="431"/>
      <c r="F5" s="431"/>
      <c r="G5" s="431"/>
      <c r="H5" s="431"/>
      <c r="I5" s="431"/>
      <c r="J5" s="431"/>
      <c r="K5" s="108"/>
      <c r="S5" s="289"/>
      <c r="T5" s="39"/>
      <c r="U5" s="39"/>
      <c r="V5" s="39"/>
      <c r="W5" s="39"/>
      <c r="X5" s="39"/>
      <c r="Y5" s="290"/>
    </row>
    <row r="6" spans="1:27" x14ac:dyDescent="0.3">
      <c r="A6" s="302"/>
      <c r="B6" s="301"/>
      <c r="C6" s="301"/>
      <c r="D6" s="301"/>
      <c r="E6" s="301"/>
      <c r="F6" s="301"/>
      <c r="G6" s="5"/>
      <c r="H6" s="5"/>
      <c r="I6" s="5"/>
      <c r="J6" s="5"/>
      <c r="K6" s="108"/>
      <c r="S6" s="289"/>
      <c r="T6" s="39"/>
      <c r="U6" s="39"/>
      <c r="V6" s="39"/>
      <c r="W6" s="39"/>
      <c r="X6" s="39"/>
      <c r="Y6" s="290"/>
    </row>
    <row r="7" spans="1:27" x14ac:dyDescent="0.3">
      <c r="A7" s="302"/>
      <c r="B7" s="301"/>
      <c r="C7" s="301"/>
      <c r="D7" s="301"/>
      <c r="E7" s="301"/>
      <c r="F7" s="301"/>
      <c r="G7" s="5"/>
      <c r="H7" s="5"/>
      <c r="I7" s="5"/>
      <c r="J7" s="5"/>
      <c r="K7" s="108"/>
      <c r="S7" s="289"/>
      <c r="T7" s="39"/>
      <c r="U7" s="39"/>
      <c r="V7" s="39"/>
      <c r="W7" s="39"/>
      <c r="X7" s="39"/>
      <c r="Y7" s="290"/>
    </row>
    <row r="8" spans="1:27" x14ac:dyDescent="0.3">
      <c r="A8" s="308"/>
      <c r="B8" s="33"/>
      <c r="C8" s="33"/>
      <c r="D8" s="33"/>
      <c r="E8" s="33"/>
      <c r="F8" s="33"/>
      <c r="G8" s="309"/>
      <c r="H8" s="309"/>
      <c r="I8" s="309"/>
      <c r="J8" s="5"/>
      <c r="K8" s="108"/>
      <c r="S8" s="289"/>
      <c r="T8" s="39"/>
      <c r="U8" s="39"/>
      <c r="V8" s="39"/>
      <c r="W8" s="39"/>
      <c r="X8" s="39"/>
      <c r="Y8" s="290"/>
    </row>
    <row r="9" spans="1:27" x14ac:dyDescent="0.3">
      <c r="A9" s="156"/>
      <c r="B9" s="301"/>
      <c r="C9" s="301"/>
      <c r="D9" s="301"/>
      <c r="E9" s="301"/>
      <c r="F9" s="301"/>
      <c r="G9" s="301"/>
      <c r="H9" s="5"/>
      <c r="I9" s="5"/>
      <c r="J9" s="5"/>
      <c r="K9" s="108"/>
      <c r="S9" s="117"/>
      <c r="T9" s="287"/>
      <c r="U9" s="287"/>
      <c r="V9" s="287"/>
      <c r="W9" s="287"/>
      <c r="X9" s="287"/>
      <c r="Y9" s="118"/>
    </row>
    <row r="10" spans="1:27" ht="21" x14ac:dyDescent="0.4">
      <c r="A10" s="302"/>
      <c r="B10" s="301"/>
      <c r="C10" s="301"/>
      <c r="D10" s="301"/>
      <c r="E10" s="301"/>
      <c r="F10" s="300" t="s">
        <v>119</v>
      </c>
      <c r="G10" s="5"/>
      <c r="H10" s="5"/>
      <c r="I10" s="5"/>
      <c r="J10" s="5"/>
      <c r="K10" s="108"/>
      <c r="S10" s="117"/>
      <c r="T10" s="287"/>
      <c r="U10" s="287"/>
      <c r="V10" s="287"/>
      <c r="W10" s="287"/>
      <c r="X10" s="287"/>
      <c r="Y10" s="118"/>
    </row>
    <row r="11" spans="1:27" x14ac:dyDescent="0.3">
      <c r="A11" s="302"/>
      <c r="B11" s="301"/>
      <c r="C11" s="301"/>
      <c r="D11" s="301"/>
      <c r="E11" s="301"/>
      <c r="F11" s="28"/>
      <c r="G11" s="5"/>
      <c r="H11" s="5"/>
      <c r="I11" s="5"/>
      <c r="J11" s="5"/>
      <c r="K11" s="108"/>
      <c r="S11" s="117"/>
      <c r="T11" s="287"/>
      <c r="U11" s="287"/>
      <c r="V11" s="287"/>
      <c r="W11" s="287"/>
      <c r="X11" s="287"/>
      <c r="Y11" s="118"/>
    </row>
    <row r="12" spans="1:27" x14ac:dyDescent="0.3">
      <c r="A12" s="302"/>
      <c r="B12" s="301"/>
      <c r="C12" s="40">
        <v>40340</v>
      </c>
      <c r="D12" s="49" t="s">
        <v>348</v>
      </c>
      <c r="E12" s="49" t="s">
        <v>4</v>
      </c>
      <c r="F12" s="49">
        <v>1</v>
      </c>
      <c r="G12" s="49">
        <v>1</v>
      </c>
      <c r="H12" s="301"/>
      <c r="I12" s="301" t="s">
        <v>396</v>
      </c>
      <c r="J12" s="5"/>
      <c r="K12" s="108"/>
      <c r="S12" s="117" t="s">
        <v>348</v>
      </c>
      <c r="T12" s="287" t="s">
        <v>4</v>
      </c>
      <c r="U12" s="287">
        <v>1</v>
      </c>
      <c r="V12" s="287">
        <v>1</v>
      </c>
      <c r="W12" s="287"/>
      <c r="X12" s="126">
        <f t="shared" ref="X12:X16" si="0">(IF(U12&gt;V12,3,IF(U12=V12,1,2)))</f>
        <v>1</v>
      </c>
      <c r="Y12" s="125">
        <f t="shared" ref="Y12:Y16" si="1">(IF(V12&gt;U12,3,IF(U12=V12,1,2)))</f>
        <v>1</v>
      </c>
      <c r="AA12" t="s">
        <v>348</v>
      </c>
    </row>
    <row r="13" spans="1:27" ht="15" thickBot="1" x14ac:dyDescent="0.35">
      <c r="A13" s="302"/>
      <c r="B13" s="301"/>
      <c r="C13" s="58"/>
      <c r="D13" s="79"/>
      <c r="E13" s="79"/>
      <c r="F13" s="79" t="s">
        <v>170</v>
      </c>
      <c r="G13" s="79" t="s">
        <v>171</v>
      </c>
      <c r="H13" s="304"/>
      <c r="I13" s="304" t="s">
        <v>405</v>
      </c>
      <c r="J13" s="5"/>
      <c r="K13" s="108"/>
      <c r="S13" s="117" t="s">
        <v>18</v>
      </c>
      <c r="T13" s="250" t="s">
        <v>3</v>
      </c>
      <c r="U13" s="298">
        <v>0</v>
      </c>
      <c r="V13" s="298">
        <v>0</v>
      </c>
      <c r="W13" s="287"/>
      <c r="X13" s="126">
        <f t="shared" si="0"/>
        <v>1</v>
      </c>
      <c r="Y13" s="125">
        <f t="shared" si="1"/>
        <v>1</v>
      </c>
      <c r="AA13" t="s">
        <v>4</v>
      </c>
    </row>
    <row r="14" spans="1:27" ht="15" thickBot="1" x14ac:dyDescent="0.35">
      <c r="A14" s="302"/>
      <c r="B14" s="301"/>
      <c r="C14" s="88">
        <v>40340</v>
      </c>
      <c r="D14" s="89" t="s">
        <v>18</v>
      </c>
      <c r="E14" s="89" t="s">
        <v>3</v>
      </c>
      <c r="F14" s="89">
        <v>0</v>
      </c>
      <c r="G14" s="89">
        <v>0</v>
      </c>
      <c r="H14" s="286"/>
      <c r="I14" s="91" t="s">
        <v>397</v>
      </c>
      <c r="J14" s="5"/>
      <c r="K14" s="108"/>
      <c r="S14" s="117" t="s">
        <v>348</v>
      </c>
      <c r="T14" s="250" t="s">
        <v>18</v>
      </c>
      <c r="U14" s="298">
        <v>0</v>
      </c>
      <c r="V14" s="298">
        <v>3</v>
      </c>
      <c r="W14" s="287"/>
      <c r="X14" s="126">
        <f t="shared" si="0"/>
        <v>2</v>
      </c>
      <c r="Y14" s="125">
        <f t="shared" si="1"/>
        <v>3</v>
      </c>
      <c r="AA14" t="s">
        <v>18</v>
      </c>
    </row>
    <row r="15" spans="1:27" x14ac:dyDescent="0.3">
      <c r="A15" s="302"/>
      <c r="B15" s="301"/>
      <c r="C15" s="40">
        <v>40345</v>
      </c>
      <c r="D15" s="49" t="s">
        <v>348</v>
      </c>
      <c r="E15" s="49" t="s">
        <v>18</v>
      </c>
      <c r="F15" s="49">
        <v>0</v>
      </c>
      <c r="G15" s="49">
        <v>3</v>
      </c>
      <c r="H15" s="301"/>
      <c r="I15" s="5" t="s">
        <v>398</v>
      </c>
      <c r="J15" s="5"/>
      <c r="K15" s="108"/>
      <c r="S15" s="117" t="s">
        <v>3</v>
      </c>
      <c r="T15" s="298" t="s">
        <v>4</v>
      </c>
      <c r="U15" s="298">
        <v>0</v>
      </c>
      <c r="V15" s="298">
        <v>2</v>
      </c>
      <c r="W15" s="287"/>
      <c r="X15" s="126">
        <f t="shared" si="0"/>
        <v>2</v>
      </c>
      <c r="Y15" s="125">
        <f t="shared" si="1"/>
        <v>3</v>
      </c>
      <c r="AA15" t="s">
        <v>3</v>
      </c>
    </row>
    <row r="16" spans="1:27" ht="15" thickBot="1" x14ac:dyDescent="0.35">
      <c r="A16" s="302"/>
      <c r="B16" s="301"/>
      <c r="C16" s="58"/>
      <c r="D16" s="79"/>
      <c r="E16" s="79"/>
      <c r="F16" s="79" t="s">
        <v>170</v>
      </c>
      <c r="G16" s="79" t="s">
        <v>183</v>
      </c>
      <c r="H16" s="304"/>
      <c r="I16" s="8"/>
      <c r="J16" s="5"/>
      <c r="K16" s="108"/>
      <c r="S16" s="117" t="s">
        <v>4</v>
      </c>
      <c r="T16" s="298" t="s">
        <v>18</v>
      </c>
      <c r="U16" s="298">
        <v>0</v>
      </c>
      <c r="V16" s="298">
        <v>1</v>
      </c>
      <c r="W16" s="287"/>
      <c r="X16" s="126">
        <f t="shared" si="0"/>
        <v>2</v>
      </c>
      <c r="Y16" s="125">
        <f t="shared" si="1"/>
        <v>3</v>
      </c>
      <c r="AA16" t="s">
        <v>90</v>
      </c>
    </row>
    <row r="17" spans="1:27" x14ac:dyDescent="0.3">
      <c r="A17" s="302"/>
      <c r="B17" s="301"/>
      <c r="C17" s="40">
        <v>40346</v>
      </c>
      <c r="D17" s="49" t="s">
        <v>3</v>
      </c>
      <c r="E17" s="49" t="s">
        <v>4</v>
      </c>
      <c r="F17" s="49">
        <v>0</v>
      </c>
      <c r="G17" s="49">
        <v>2</v>
      </c>
      <c r="H17" s="301"/>
      <c r="I17" s="5" t="s">
        <v>399</v>
      </c>
      <c r="J17" s="5"/>
      <c r="K17" s="108"/>
      <c r="S17" s="117" t="s">
        <v>3</v>
      </c>
      <c r="T17" s="298" t="s">
        <v>348</v>
      </c>
      <c r="U17" s="298">
        <v>1</v>
      </c>
      <c r="V17" s="298">
        <v>2</v>
      </c>
      <c r="W17" s="287"/>
      <c r="X17" s="126">
        <f t="shared" ref="X17" si="2">(IF(U17&gt;V17,3,IF(U17=V17,1,2)))</f>
        <v>2</v>
      </c>
      <c r="Y17" s="125">
        <f t="shared" ref="Y17" si="3">(IF(V17&gt;U17,3,IF(U17=V17,1,2)))</f>
        <v>3</v>
      </c>
      <c r="AA17" t="s">
        <v>306</v>
      </c>
    </row>
    <row r="18" spans="1:27" ht="15" thickBot="1" x14ac:dyDescent="0.35">
      <c r="A18" s="302"/>
      <c r="B18" s="301"/>
      <c r="C18" s="58"/>
      <c r="D18" s="79"/>
      <c r="E18" s="79"/>
      <c r="F18" s="79" t="s">
        <v>170</v>
      </c>
      <c r="G18" s="79" t="s">
        <v>171</v>
      </c>
      <c r="H18" s="304"/>
      <c r="I18" s="8"/>
      <c r="J18" s="5"/>
      <c r="K18" s="108"/>
      <c r="S18" s="117"/>
      <c r="T18" s="298"/>
      <c r="U18" s="298"/>
      <c r="V18" s="298"/>
      <c r="W18" s="287"/>
      <c r="X18" s="126"/>
      <c r="Y18" s="125"/>
      <c r="AA18" t="s">
        <v>5</v>
      </c>
    </row>
    <row r="19" spans="1:27" x14ac:dyDescent="0.3">
      <c r="A19" s="302"/>
      <c r="B19" s="301"/>
      <c r="C19" s="40">
        <v>40351</v>
      </c>
      <c r="D19" s="49" t="s">
        <v>4</v>
      </c>
      <c r="E19" s="49" t="s">
        <v>18</v>
      </c>
      <c r="F19" s="49">
        <v>0</v>
      </c>
      <c r="G19" s="49">
        <v>1</v>
      </c>
      <c r="H19" s="301"/>
      <c r="I19" s="5" t="s">
        <v>400</v>
      </c>
      <c r="J19" s="5"/>
      <c r="K19" s="108"/>
      <c r="S19" s="117"/>
      <c r="T19" s="298"/>
      <c r="U19" s="298"/>
      <c r="V19" s="298"/>
      <c r="W19" s="287"/>
      <c r="X19" s="287"/>
      <c r="Y19" s="118"/>
      <c r="AA19" t="s">
        <v>307</v>
      </c>
    </row>
    <row r="20" spans="1:27" ht="15" thickBot="1" x14ac:dyDescent="0.35">
      <c r="A20" s="302"/>
      <c r="B20" s="301"/>
      <c r="C20" s="58"/>
      <c r="D20" s="79"/>
      <c r="E20" s="79"/>
      <c r="F20" s="79" t="s">
        <v>170</v>
      </c>
      <c r="G20" s="79" t="s">
        <v>183</v>
      </c>
      <c r="H20" s="304"/>
      <c r="I20" s="8"/>
      <c r="J20" s="5"/>
      <c r="K20" s="108"/>
      <c r="S20" s="117"/>
      <c r="T20" s="298"/>
      <c r="U20" s="298"/>
      <c r="V20" s="298"/>
      <c r="W20" s="287"/>
      <c r="X20" s="287"/>
      <c r="Y20" s="118"/>
      <c r="AA20" t="s">
        <v>74</v>
      </c>
    </row>
    <row r="21" spans="1:27" x14ac:dyDescent="0.3">
      <c r="A21" s="302"/>
      <c r="B21" s="301"/>
      <c r="C21" s="40">
        <v>40351</v>
      </c>
      <c r="D21" s="49" t="s">
        <v>3</v>
      </c>
      <c r="E21" s="49" t="s">
        <v>348</v>
      </c>
      <c r="F21" s="49">
        <v>1</v>
      </c>
      <c r="G21" s="49">
        <v>2</v>
      </c>
      <c r="H21" s="301"/>
      <c r="I21" s="5" t="s">
        <v>401</v>
      </c>
      <c r="J21" s="5"/>
      <c r="K21" s="108"/>
      <c r="S21" s="117"/>
      <c r="T21" s="287"/>
      <c r="U21" s="287"/>
      <c r="V21" s="287"/>
      <c r="W21" s="287"/>
      <c r="X21" s="287"/>
      <c r="Y21" s="118"/>
      <c r="AA21" t="s">
        <v>20</v>
      </c>
    </row>
    <row r="22" spans="1:27" x14ac:dyDescent="0.3">
      <c r="A22" s="302"/>
      <c r="B22" s="301"/>
      <c r="C22" s="40"/>
      <c r="D22" s="49"/>
      <c r="E22" s="49"/>
      <c r="F22" s="49" t="s">
        <v>170</v>
      </c>
      <c r="G22" s="49" t="s">
        <v>173</v>
      </c>
      <c r="H22" s="301"/>
      <c r="I22" s="5"/>
      <c r="J22" s="5"/>
      <c r="K22" s="108"/>
      <c r="S22" s="117"/>
      <c r="T22" s="287"/>
      <c r="U22" s="287"/>
      <c r="V22" s="287"/>
      <c r="W22" s="287"/>
      <c r="X22" s="287"/>
      <c r="Y22" s="118"/>
      <c r="AA22" t="s">
        <v>192</v>
      </c>
    </row>
    <row r="23" spans="1:27" x14ac:dyDescent="0.3">
      <c r="A23" s="302"/>
      <c r="B23" s="301"/>
      <c r="C23" s="40"/>
      <c r="D23" s="301"/>
      <c r="E23" s="301"/>
      <c r="F23" s="301"/>
      <c r="G23" s="301"/>
      <c r="H23" s="301"/>
      <c r="I23" s="5"/>
      <c r="J23" s="5"/>
      <c r="K23" s="108"/>
      <c r="S23" s="117"/>
      <c r="T23" s="287"/>
      <c r="U23" s="287"/>
      <c r="V23" s="287"/>
      <c r="W23" s="287"/>
      <c r="X23" s="287"/>
      <c r="Y23" s="118"/>
      <c r="AA23" t="s">
        <v>362</v>
      </c>
    </row>
    <row r="24" spans="1:27" ht="15" thickBot="1" x14ac:dyDescent="0.35">
      <c r="A24" s="302"/>
      <c r="B24" s="301" t="s">
        <v>298</v>
      </c>
      <c r="C24" s="301" t="s">
        <v>12</v>
      </c>
      <c r="D24" s="301" t="s">
        <v>13</v>
      </c>
      <c r="E24" s="301" t="s">
        <v>14</v>
      </c>
      <c r="F24" s="301" t="s">
        <v>15</v>
      </c>
      <c r="G24" s="5" t="s">
        <v>24</v>
      </c>
      <c r="H24" s="5" t="s">
        <v>25</v>
      </c>
      <c r="I24" s="5" t="s">
        <v>301</v>
      </c>
      <c r="J24" s="5"/>
      <c r="K24" s="108"/>
      <c r="S24" s="117"/>
      <c r="T24" s="287"/>
      <c r="U24" s="287"/>
      <c r="V24" s="287"/>
      <c r="W24" s="287"/>
      <c r="X24" s="126"/>
      <c r="Y24" s="125"/>
      <c r="AA24" t="s">
        <v>408</v>
      </c>
    </row>
    <row r="25" spans="1:27" x14ac:dyDescent="0.3">
      <c r="A25" s="302" t="s">
        <v>113</v>
      </c>
      <c r="B25" s="14" t="s">
        <v>348</v>
      </c>
      <c r="C25" s="303">
        <f>COUNTIF($S$12:$T$16,"Rumänien")</f>
        <v>0</v>
      </c>
      <c r="D25" s="124">
        <f>SUMPRODUCT(($S$12:$T$16=B25)*($X$12:$Y$16=3))</f>
        <v>0</v>
      </c>
      <c r="E25" s="124">
        <f>SUMPRODUCT(($S$12:$T$16=B25)*($X$12:$Y$16=1))</f>
        <v>1</v>
      </c>
      <c r="F25" s="124">
        <f>SUMPRODUCT(($S$12:$T$16=B25)*($X$12:$Y$16=2))</f>
        <v>1</v>
      </c>
      <c r="G25" s="124">
        <f>SUMPRODUCT(($S$12:$S$16=B25)*($U$12:$U$16))+SUMPRODUCT(($T$12:$T$16=B25)*($V$12:$V$16))</f>
        <v>1</v>
      </c>
      <c r="H25" s="124">
        <f>SUMPRODUCT(($S$12:$S$16=B25)*($V$12:$V$16))+SUMPRODUCT(($T$12:$T$16=B25)*($U$12:$U$16))</f>
        <v>4</v>
      </c>
      <c r="I25" s="16">
        <f>(D25*3)+E25</f>
        <v>1</v>
      </c>
      <c r="J25" s="18"/>
      <c r="K25" s="108"/>
      <c r="S25" s="117"/>
      <c r="T25" s="287"/>
      <c r="U25" s="287"/>
      <c r="V25" s="287"/>
      <c r="W25" s="287"/>
      <c r="X25" s="287"/>
      <c r="Y25" s="118"/>
      <c r="AA25" t="s">
        <v>390</v>
      </c>
    </row>
    <row r="26" spans="1:27" x14ac:dyDescent="0.3">
      <c r="A26" s="302"/>
      <c r="B26" s="21" t="s">
        <v>4</v>
      </c>
      <c r="C26" s="301"/>
      <c r="D26" s="43"/>
      <c r="E26" s="43"/>
      <c r="F26" s="43"/>
      <c r="G26" s="43"/>
      <c r="H26" s="43"/>
      <c r="I26" s="22"/>
      <c r="J26" s="18"/>
      <c r="K26" s="108"/>
      <c r="S26" s="117"/>
      <c r="T26" s="287"/>
      <c r="U26" s="287"/>
      <c r="V26" s="287"/>
      <c r="W26" s="287"/>
      <c r="X26" s="287"/>
      <c r="Y26" s="118"/>
      <c r="AA26" t="s">
        <v>88</v>
      </c>
    </row>
    <row r="27" spans="1:27" x14ac:dyDescent="0.3">
      <c r="A27" s="302"/>
      <c r="B27" s="3" t="s">
        <v>18</v>
      </c>
      <c r="C27" s="301"/>
      <c r="D27" s="43"/>
      <c r="E27" s="43"/>
      <c r="F27" s="43"/>
      <c r="G27" s="43"/>
      <c r="H27" s="43"/>
      <c r="I27" s="22"/>
      <c r="J27" s="5"/>
      <c r="K27" s="108"/>
      <c r="S27" s="117"/>
      <c r="T27" s="287"/>
      <c r="U27" s="287"/>
      <c r="V27" s="287"/>
      <c r="W27" s="287"/>
      <c r="X27" s="126"/>
      <c r="Y27" s="125"/>
      <c r="AA27" t="s">
        <v>152</v>
      </c>
    </row>
    <row r="28" spans="1:27" ht="15" thickBot="1" x14ac:dyDescent="0.35">
      <c r="A28" s="302"/>
      <c r="B28" s="7" t="s">
        <v>3</v>
      </c>
      <c r="C28" s="304"/>
      <c r="D28" s="80"/>
      <c r="E28" s="80"/>
      <c r="F28" s="80"/>
      <c r="G28" s="80"/>
      <c r="H28" s="80"/>
      <c r="I28" s="32"/>
      <c r="J28" s="5"/>
      <c r="K28" s="108"/>
      <c r="S28" s="117"/>
      <c r="T28" s="287"/>
      <c r="U28" s="287"/>
      <c r="V28" s="287"/>
      <c r="W28" s="287"/>
      <c r="X28" s="126"/>
      <c r="Y28" s="125"/>
      <c r="AA28" t="s">
        <v>63</v>
      </c>
    </row>
    <row r="29" spans="1:27" ht="15" thickBot="1" x14ac:dyDescent="0.35">
      <c r="A29" s="302"/>
      <c r="B29" s="301"/>
      <c r="C29" s="301"/>
      <c r="D29" s="301"/>
      <c r="E29" s="301"/>
      <c r="F29" s="301"/>
      <c r="G29" s="5"/>
      <c r="H29" s="5"/>
      <c r="I29" s="5"/>
      <c r="J29" s="5"/>
      <c r="K29" s="193"/>
      <c r="S29" s="117"/>
      <c r="T29" s="287"/>
      <c r="U29" s="287"/>
      <c r="V29" s="287"/>
      <c r="W29" s="287"/>
      <c r="X29" s="126"/>
      <c r="Y29" s="125"/>
      <c r="AA29" t="s">
        <v>258</v>
      </c>
    </row>
    <row r="30" spans="1:27" ht="15" thickTop="1" x14ac:dyDescent="0.3">
      <c r="A30" s="106"/>
      <c r="B30" s="25"/>
      <c r="C30" s="25"/>
      <c r="D30" s="25"/>
      <c r="E30" s="25"/>
      <c r="F30" s="25"/>
      <c r="G30" s="26"/>
      <c r="H30" s="26"/>
      <c r="I30" s="26"/>
      <c r="J30" s="26"/>
      <c r="K30" s="108"/>
      <c r="S30" s="122"/>
      <c r="T30" s="17"/>
      <c r="U30" s="17"/>
      <c r="V30" s="17"/>
      <c r="W30" s="288"/>
      <c r="X30" s="126"/>
      <c r="Y30" s="125"/>
      <c r="AA30" t="s">
        <v>351</v>
      </c>
    </row>
    <row r="31" spans="1:27" ht="21" x14ac:dyDescent="0.4">
      <c r="A31" s="302"/>
      <c r="B31" s="301"/>
      <c r="C31" s="301"/>
      <c r="D31" s="301"/>
      <c r="E31" s="301"/>
      <c r="F31" s="300" t="s">
        <v>120</v>
      </c>
      <c r="G31" s="5"/>
      <c r="H31" s="5"/>
      <c r="I31" s="5"/>
      <c r="J31" s="5"/>
      <c r="K31" s="108"/>
      <c r="S31" s="117"/>
      <c r="T31" s="287"/>
      <c r="U31" s="287"/>
      <c r="V31" s="287"/>
      <c r="W31" s="288"/>
      <c r="X31" s="126"/>
      <c r="Y31" s="125"/>
      <c r="AA31" t="s">
        <v>190</v>
      </c>
    </row>
    <row r="32" spans="1:27" x14ac:dyDescent="0.3">
      <c r="A32" s="302"/>
      <c r="B32" s="301"/>
      <c r="C32" s="301"/>
      <c r="D32" s="301"/>
      <c r="E32" s="301"/>
      <c r="F32" s="28"/>
      <c r="G32" s="5"/>
      <c r="H32" s="5"/>
      <c r="I32" s="5"/>
      <c r="J32" s="5"/>
      <c r="K32" s="108"/>
      <c r="S32" s="117"/>
      <c r="T32" s="287"/>
      <c r="U32" s="287"/>
      <c r="V32" s="287"/>
      <c r="W32" s="288"/>
      <c r="X32" s="126"/>
      <c r="Y32" s="125"/>
      <c r="AA32" t="s">
        <v>37</v>
      </c>
    </row>
    <row r="33" spans="1:27" x14ac:dyDescent="0.3">
      <c r="A33" s="302"/>
      <c r="B33" s="301"/>
      <c r="C33" s="40">
        <v>40341</v>
      </c>
      <c r="D33" s="49" t="s">
        <v>90</v>
      </c>
      <c r="E33" s="49" t="s">
        <v>306</v>
      </c>
      <c r="F33" s="49">
        <v>2</v>
      </c>
      <c r="G33" s="49">
        <v>0</v>
      </c>
      <c r="H33" s="301"/>
      <c r="I33" s="5" t="s">
        <v>402</v>
      </c>
      <c r="J33" s="5"/>
      <c r="K33" s="108"/>
      <c r="S33" s="117" t="s">
        <v>90</v>
      </c>
      <c r="T33" s="287" t="s">
        <v>306</v>
      </c>
      <c r="U33" s="287">
        <v>2</v>
      </c>
      <c r="V33" s="287">
        <v>0</v>
      </c>
      <c r="W33" s="288"/>
      <c r="X33" s="126">
        <f t="shared" ref="X33:X37" si="4">(IF(U33&gt;V33,3,IF(U33=V33,1,2)))</f>
        <v>3</v>
      </c>
      <c r="Y33" s="125">
        <f t="shared" ref="Y33:Y37" si="5">(IF(V33&gt;U33,3,IF(U33=V33,1,2)))</f>
        <v>2</v>
      </c>
      <c r="AA33" t="s">
        <v>22</v>
      </c>
    </row>
    <row r="34" spans="1:27" ht="15" thickBot="1" x14ac:dyDescent="0.35">
      <c r="A34" s="302"/>
      <c r="B34" s="301"/>
      <c r="C34" s="58"/>
      <c r="D34" s="79"/>
      <c r="E34" s="79"/>
      <c r="F34" s="79" t="s">
        <v>172</v>
      </c>
      <c r="G34" s="79" t="s">
        <v>171</v>
      </c>
      <c r="H34" s="304"/>
      <c r="I34" s="8"/>
      <c r="J34" s="5"/>
      <c r="K34" s="108"/>
      <c r="S34" s="117" t="s">
        <v>5</v>
      </c>
      <c r="T34" s="298" t="s">
        <v>307</v>
      </c>
      <c r="U34" s="298">
        <v>1</v>
      </c>
      <c r="V34" s="298">
        <v>0</v>
      </c>
      <c r="W34" s="288"/>
      <c r="X34" s="126">
        <f t="shared" si="4"/>
        <v>3</v>
      </c>
      <c r="Y34" s="125">
        <f t="shared" si="5"/>
        <v>2</v>
      </c>
      <c r="AA34" t="s">
        <v>205</v>
      </c>
    </row>
    <row r="35" spans="1:27" x14ac:dyDescent="0.3">
      <c r="A35" s="302"/>
      <c r="B35" s="301"/>
      <c r="C35" s="40">
        <v>40341</v>
      </c>
      <c r="D35" s="49" t="s">
        <v>5</v>
      </c>
      <c r="E35" s="49" t="s">
        <v>307</v>
      </c>
      <c r="F35" s="49">
        <v>1</v>
      </c>
      <c r="G35" s="49">
        <v>0</v>
      </c>
      <c r="H35" s="301"/>
      <c r="I35" s="5" t="s">
        <v>396</v>
      </c>
      <c r="J35" s="5"/>
      <c r="K35" s="108"/>
      <c r="S35" s="117" t="s">
        <v>5</v>
      </c>
      <c r="T35" s="298" t="s">
        <v>90</v>
      </c>
      <c r="U35" s="298">
        <v>4</v>
      </c>
      <c r="V35" s="298">
        <v>1</v>
      </c>
      <c r="W35" s="288"/>
      <c r="X35" s="126">
        <f t="shared" si="4"/>
        <v>3</v>
      </c>
      <c r="Y35" s="125">
        <f t="shared" si="5"/>
        <v>2</v>
      </c>
      <c r="AA35" t="s">
        <v>410</v>
      </c>
    </row>
    <row r="36" spans="1:27" ht="15" thickBot="1" x14ac:dyDescent="0.35">
      <c r="A36" s="302"/>
      <c r="B36" s="301"/>
      <c r="C36" s="58"/>
      <c r="D36" s="79"/>
      <c r="E36" s="79"/>
      <c r="F36" s="79" t="s">
        <v>172</v>
      </c>
      <c r="G36" s="79" t="s">
        <v>171</v>
      </c>
      <c r="H36" s="304"/>
      <c r="I36" s="8" t="s">
        <v>407</v>
      </c>
      <c r="J36" s="5"/>
      <c r="K36" s="108"/>
      <c r="S36" s="117" t="s">
        <v>306</v>
      </c>
      <c r="T36" s="298" t="s">
        <v>307</v>
      </c>
      <c r="U36" s="298">
        <v>2</v>
      </c>
      <c r="V36" s="298">
        <v>1</v>
      </c>
      <c r="W36" s="288"/>
      <c r="X36" s="126">
        <f t="shared" si="4"/>
        <v>3</v>
      </c>
      <c r="Y36" s="125">
        <f t="shared" si="5"/>
        <v>2</v>
      </c>
      <c r="AA36" t="s">
        <v>385</v>
      </c>
    </row>
    <row r="37" spans="1:27" x14ac:dyDescent="0.3">
      <c r="A37" s="302"/>
      <c r="B37" s="301"/>
      <c r="C37" s="40">
        <v>40346</v>
      </c>
      <c r="D37" s="49" t="s">
        <v>5</v>
      </c>
      <c r="E37" s="49" t="s">
        <v>90</v>
      </c>
      <c r="F37" s="49">
        <v>4</v>
      </c>
      <c r="G37" s="49">
        <v>1</v>
      </c>
      <c r="H37" s="301"/>
      <c r="I37" s="5" t="s">
        <v>396</v>
      </c>
      <c r="J37" s="5"/>
      <c r="K37" s="108"/>
      <c r="S37" s="117" t="s">
        <v>307</v>
      </c>
      <c r="T37" s="298" t="s">
        <v>90</v>
      </c>
      <c r="U37" s="298">
        <v>2</v>
      </c>
      <c r="V37" s="298">
        <v>2</v>
      </c>
      <c r="W37" s="288"/>
      <c r="X37" s="126">
        <f t="shared" si="4"/>
        <v>1</v>
      </c>
      <c r="Y37" s="125">
        <f t="shared" si="5"/>
        <v>1</v>
      </c>
      <c r="AA37" t="s">
        <v>133</v>
      </c>
    </row>
    <row r="38" spans="1:27" ht="15" thickBot="1" x14ac:dyDescent="0.35">
      <c r="A38" s="302"/>
      <c r="B38" s="301"/>
      <c r="C38" s="58"/>
      <c r="D38" s="79"/>
      <c r="E38" s="79"/>
      <c r="F38" s="79" t="s">
        <v>215</v>
      </c>
      <c r="G38" s="79" t="s">
        <v>183</v>
      </c>
      <c r="H38" s="304"/>
      <c r="I38" s="8" t="s">
        <v>405</v>
      </c>
      <c r="J38" s="5"/>
      <c r="K38" s="108"/>
      <c r="S38" s="117" t="s">
        <v>306</v>
      </c>
      <c r="T38" s="298" t="s">
        <v>5</v>
      </c>
      <c r="U38" s="298">
        <v>0</v>
      </c>
      <c r="V38" s="298">
        <v>2</v>
      </c>
      <c r="W38" s="288"/>
      <c r="X38" s="126">
        <f t="shared" ref="X38" si="6">(IF(U38&gt;V38,3,IF(U38=V38,1,2)))</f>
        <v>2</v>
      </c>
      <c r="Y38" s="125">
        <f t="shared" ref="Y38" si="7">(IF(V38&gt;U38,3,IF(U38=V38,1,2)))</f>
        <v>3</v>
      </c>
      <c r="AA38" t="s">
        <v>9</v>
      </c>
    </row>
    <row r="39" spans="1:27" x14ac:dyDescent="0.3">
      <c r="A39" s="302"/>
      <c r="B39" s="301"/>
      <c r="C39" s="40">
        <v>40346</v>
      </c>
      <c r="D39" s="49" t="s">
        <v>306</v>
      </c>
      <c r="E39" s="49" t="s">
        <v>307</v>
      </c>
      <c r="F39" s="49">
        <v>2</v>
      </c>
      <c r="G39" s="49">
        <v>1</v>
      </c>
      <c r="H39" s="301"/>
      <c r="I39" s="5" t="s">
        <v>403</v>
      </c>
      <c r="J39" s="5"/>
      <c r="K39" s="108"/>
      <c r="S39" s="117"/>
      <c r="T39" s="298"/>
      <c r="U39" s="298"/>
      <c r="V39" s="298"/>
      <c r="W39" s="288"/>
      <c r="X39" s="126"/>
      <c r="Y39" s="125"/>
      <c r="AA39" t="s">
        <v>136</v>
      </c>
    </row>
    <row r="40" spans="1:27" ht="15" thickBot="1" x14ac:dyDescent="0.35">
      <c r="A40" s="302"/>
      <c r="B40" s="301"/>
      <c r="C40" s="58"/>
      <c r="D40" s="79"/>
      <c r="E40" s="79"/>
      <c r="F40" s="79" t="s">
        <v>172</v>
      </c>
      <c r="G40" s="79" t="s">
        <v>183</v>
      </c>
      <c r="H40" s="304"/>
      <c r="I40" s="8"/>
      <c r="J40" s="5"/>
      <c r="K40" s="108"/>
      <c r="S40" s="117"/>
      <c r="T40" s="298"/>
      <c r="U40" s="298"/>
      <c r="V40" s="298"/>
      <c r="W40" s="288"/>
      <c r="X40" s="126"/>
      <c r="Y40" s="125"/>
      <c r="AA40" t="s">
        <v>200</v>
      </c>
    </row>
    <row r="41" spans="1:27" x14ac:dyDescent="0.3">
      <c r="A41" s="302"/>
      <c r="B41" s="301"/>
      <c r="C41" s="40">
        <v>40351</v>
      </c>
      <c r="D41" s="43" t="s">
        <v>307</v>
      </c>
      <c r="E41" s="43" t="s">
        <v>90</v>
      </c>
      <c r="F41" s="43">
        <v>2</v>
      </c>
      <c r="G41" s="43">
        <v>2</v>
      </c>
      <c r="H41" s="17"/>
      <c r="I41" s="5" t="s">
        <v>404</v>
      </c>
      <c r="J41" s="5"/>
      <c r="K41" s="108"/>
      <c r="S41" s="117"/>
      <c r="T41" s="298"/>
      <c r="U41" s="298"/>
      <c r="V41" s="298"/>
      <c r="W41" s="287"/>
      <c r="X41" s="126"/>
      <c r="Y41" s="125"/>
      <c r="AA41" t="s">
        <v>6</v>
      </c>
    </row>
    <row r="42" spans="1:27" ht="15" thickBot="1" x14ac:dyDescent="0.35">
      <c r="A42" s="302"/>
      <c r="B42" s="301"/>
      <c r="C42" s="58"/>
      <c r="D42" s="80"/>
      <c r="E42" s="80"/>
      <c r="F42" s="80" t="s">
        <v>172</v>
      </c>
      <c r="G42" s="80" t="s">
        <v>183</v>
      </c>
      <c r="H42" s="30"/>
      <c r="I42" s="8"/>
      <c r="J42" s="5"/>
      <c r="K42" s="108"/>
      <c r="S42" s="117"/>
      <c r="T42" s="298"/>
      <c r="U42" s="298"/>
      <c r="V42" s="298"/>
      <c r="W42" s="287"/>
      <c r="X42" s="126"/>
      <c r="Y42" s="125"/>
      <c r="AA42" t="s">
        <v>35</v>
      </c>
    </row>
    <row r="43" spans="1:27" x14ac:dyDescent="0.3">
      <c r="A43" s="302"/>
      <c r="B43" s="301"/>
      <c r="C43" s="40">
        <v>40351</v>
      </c>
      <c r="D43" s="43" t="s">
        <v>306</v>
      </c>
      <c r="E43" s="43" t="s">
        <v>5</v>
      </c>
      <c r="F43" s="43">
        <v>0</v>
      </c>
      <c r="G43" s="43">
        <v>2</v>
      </c>
      <c r="H43" s="17"/>
      <c r="I43" s="5" t="s">
        <v>399</v>
      </c>
      <c r="J43" s="5"/>
      <c r="K43" s="108"/>
      <c r="S43" s="117"/>
      <c r="T43" s="287"/>
      <c r="U43" s="287"/>
      <c r="V43" s="287"/>
      <c r="W43" s="287"/>
      <c r="X43" s="126"/>
      <c r="Y43" s="125"/>
      <c r="AA43" t="s">
        <v>43</v>
      </c>
    </row>
    <row r="44" spans="1:27" x14ac:dyDescent="0.3">
      <c r="A44" s="302"/>
      <c r="B44" s="301"/>
      <c r="C44" s="40"/>
      <c r="D44" s="43"/>
      <c r="E44" s="43"/>
      <c r="F44" s="43" t="s">
        <v>170</v>
      </c>
      <c r="G44" s="43" t="s">
        <v>171</v>
      </c>
      <c r="H44" s="17"/>
      <c r="I44" s="5"/>
      <c r="J44" s="5"/>
      <c r="K44" s="108"/>
      <c r="S44" s="117"/>
      <c r="T44" s="287"/>
      <c r="U44" s="287"/>
      <c r="V44" s="287"/>
      <c r="W44" s="287"/>
      <c r="X44" s="126"/>
      <c r="Y44" s="125"/>
    </row>
    <row r="45" spans="1:27" x14ac:dyDescent="0.3">
      <c r="A45" s="156"/>
      <c r="B45" s="17"/>
      <c r="C45" s="17"/>
      <c r="D45" s="17"/>
      <c r="E45" s="17"/>
      <c r="F45" s="17"/>
      <c r="G45" s="18"/>
      <c r="H45" s="5"/>
      <c r="I45" s="5"/>
      <c r="J45" s="5"/>
      <c r="K45" s="108"/>
      <c r="S45" s="117"/>
      <c r="T45" s="287"/>
      <c r="U45" s="287"/>
      <c r="V45" s="287"/>
      <c r="W45" s="287"/>
      <c r="X45" s="126"/>
      <c r="Y45" s="125"/>
    </row>
    <row r="46" spans="1:27" ht="15" thickBot="1" x14ac:dyDescent="0.35">
      <c r="A46" s="302"/>
      <c r="B46" s="301" t="s">
        <v>298</v>
      </c>
      <c r="C46" s="301" t="s">
        <v>12</v>
      </c>
      <c r="D46" s="301" t="s">
        <v>13</v>
      </c>
      <c r="E46" s="301" t="s">
        <v>14</v>
      </c>
      <c r="F46" s="301" t="s">
        <v>15</v>
      </c>
      <c r="G46" s="5" t="s">
        <v>24</v>
      </c>
      <c r="H46" s="5" t="s">
        <v>25</v>
      </c>
      <c r="I46" s="5" t="s">
        <v>301</v>
      </c>
      <c r="J46" s="5"/>
      <c r="K46" s="108"/>
      <c r="S46" s="117"/>
      <c r="T46" s="287"/>
      <c r="U46" s="287"/>
      <c r="V46" s="287"/>
      <c r="W46" s="287"/>
      <c r="X46" s="126"/>
      <c r="Y46" s="125"/>
    </row>
    <row r="47" spans="1:27" x14ac:dyDescent="0.3">
      <c r="A47" s="302" t="s">
        <v>113</v>
      </c>
      <c r="B47" s="14" t="s">
        <v>90</v>
      </c>
      <c r="C47" s="305">
        <v>3</v>
      </c>
      <c r="D47" s="305">
        <v>2</v>
      </c>
      <c r="E47" s="305">
        <v>1</v>
      </c>
      <c r="F47" s="305">
        <v>0</v>
      </c>
      <c r="G47" s="15">
        <v>6</v>
      </c>
      <c r="H47" s="15">
        <v>1</v>
      </c>
      <c r="I47" s="15">
        <v>7</v>
      </c>
      <c r="J47" s="86"/>
      <c r="K47" s="108"/>
      <c r="S47" s="117"/>
      <c r="T47" s="287"/>
      <c r="U47" s="287"/>
      <c r="V47" s="287"/>
      <c r="W47" s="287"/>
      <c r="X47" s="126"/>
      <c r="Y47" s="125"/>
    </row>
    <row r="48" spans="1:27" x14ac:dyDescent="0.3">
      <c r="A48" s="302"/>
      <c r="B48" s="21" t="s">
        <v>306</v>
      </c>
      <c r="C48" s="17"/>
      <c r="D48" s="17"/>
      <c r="E48" s="17"/>
      <c r="F48" s="17"/>
      <c r="G48" s="18"/>
      <c r="H48" s="18"/>
      <c r="I48" s="18"/>
      <c r="J48" s="86"/>
      <c r="K48" s="108"/>
      <c r="S48" s="117"/>
      <c r="T48" s="287"/>
      <c r="U48" s="287"/>
      <c r="V48" s="287"/>
      <c r="W48" s="287"/>
      <c r="X48" s="126"/>
      <c r="Y48" s="125"/>
    </row>
    <row r="49" spans="1:25" x14ac:dyDescent="0.3">
      <c r="A49" s="302"/>
      <c r="B49" s="3" t="s">
        <v>5</v>
      </c>
      <c r="C49" s="301"/>
      <c r="D49" s="301"/>
      <c r="E49" s="301"/>
      <c r="F49" s="301"/>
      <c r="G49" s="5"/>
      <c r="H49" s="5"/>
      <c r="I49" s="5"/>
      <c r="J49" s="87"/>
      <c r="K49" s="108"/>
      <c r="S49" s="117"/>
      <c r="T49" s="287"/>
      <c r="U49" s="287"/>
      <c r="V49" s="287"/>
      <c r="W49" s="287"/>
      <c r="X49" s="126"/>
      <c r="Y49" s="125"/>
    </row>
    <row r="50" spans="1:25" ht="15" thickBot="1" x14ac:dyDescent="0.35">
      <c r="A50" s="302"/>
      <c r="B50" s="7" t="s">
        <v>307</v>
      </c>
      <c r="C50" s="304"/>
      <c r="D50" s="304"/>
      <c r="E50" s="304"/>
      <c r="F50" s="304"/>
      <c r="G50" s="8"/>
      <c r="H50" s="8"/>
      <c r="I50" s="8"/>
      <c r="J50" s="87"/>
      <c r="K50" s="108"/>
      <c r="S50" s="117"/>
      <c r="T50" s="287"/>
      <c r="U50" s="287"/>
      <c r="V50" s="287"/>
      <c r="W50" s="287"/>
      <c r="X50" s="126"/>
      <c r="Y50" s="125"/>
    </row>
    <row r="51" spans="1:25" ht="15" thickBot="1" x14ac:dyDescent="0.35">
      <c r="A51" s="302"/>
      <c r="B51" s="301"/>
      <c r="C51" s="301"/>
      <c r="D51" s="301"/>
      <c r="E51" s="301"/>
      <c r="F51" s="301"/>
      <c r="G51" s="5"/>
      <c r="H51" s="5"/>
      <c r="I51" s="5"/>
      <c r="J51" s="5"/>
      <c r="K51" s="193"/>
      <c r="S51" s="117"/>
      <c r="T51" s="287"/>
      <c r="U51" s="287"/>
      <c r="V51" s="287"/>
      <c r="W51" s="287"/>
      <c r="X51" s="126"/>
      <c r="Y51" s="125"/>
    </row>
    <row r="52" spans="1:25" ht="15" thickTop="1" x14ac:dyDescent="0.3">
      <c r="A52" s="106"/>
      <c r="B52" s="25"/>
      <c r="C52" s="25"/>
      <c r="D52" s="25"/>
      <c r="E52" s="25"/>
      <c r="F52" s="25"/>
      <c r="G52" s="26"/>
      <c r="H52" s="26"/>
      <c r="I52" s="26"/>
      <c r="J52" s="26"/>
      <c r="K52" s="108"/>
      <c r="S52" s="117"/>
      <c r="T52" s="287"/>
      <c r="U52" s="287"/>
      <c r="V52" s="287"/>
      <c r="W52" s="287"/>
      <c r="X52" s="126"/>
      <c r="Y52" s="125"/>
    </row>
    <row r="53" spans="1:25" ht="21" x14ac:dyDescent="0.4">
      <c r="A53" s="302"/>
      <c r="B53" s="301"/>
      <c r="C53" s="301"/>
      <c r="D53" s="301"/>
      <c r="E53" s="301"/>
      <c r="F53" s="300" t="s">
        <v>121</v>
      </c>
      <c r="G53" s="5"/>
      <c r="H53" s="5"/>
      <c r="I53" s="5"/>
      <c r="J53" s="5"/>
      <c r="K53" s="108"/>
      <c r="S53" s="122"/>
      <c r="T53" s="17"/>
      <c r="U53" s="17"/>
      <c r="V53" s="17"/>
      <c r="W53" s="17"/>
      <c r="X53" s="126"/>
      <c r="Y53" s="125"/>
    </row>
    <row r="54" spans="1:25" x14ac:dyDescent="0.3">
      <c r="A54" s="302"/>
      <c r="B54" s="301"/>
      <c r="C54" s="301"/>
      <c r="D54" s="301"/>
      <c r="E54" s="301"/>
      <c r="F54" s="28"/>
      <c r="G54" s="5"/>
      <c r="H54" s="5"/>
      <c r="I54" s="5"/>
      <c r="J54" s="5"/>
      <c r="K54" s="108"/>
      <c r="S54" s="122"/>
      <c r="T54" s="17"/>
      <c r="U54" s="17"/>
      <c r="V54" s="17"/>
      <c r="W54" s="17"/>
      <c r="X54" s="126"/>
      <c r="Y54" s="125"/>
    </row>
    <row r="55" spans="1:25" x14ac:dyDescent="0.3">
      <c r="A55" s="302"/>
      <c r="B55" s="301"/>
      <c r="C55" s="40">
        <v>40341</v>
      </c>
      <c r="D55" s="49" t="s">
        <v>74</v>
      </c>
      <c r="E55" s="49" t="s">
        <v>20</v>
      </c>
      <c r="F55" s="49">
        <v>1</v>
      </c>
      <c r="G55" s="51">
        <v>1</v>
      </c>
      <c r="H55" s="5"/>
      <c r="I55" s="5" t="s">
        <v>406</v>
      </c>
      <c r="J55" s="5"/>
      <c r="K55" s="108"/>
      <c r="S55" s="122" t="s">
        <v>74</v>
      </c>
      <c r="T55" s="17" t="s">
        <v>20</v>
      </c>
      <c r="U55" s="17">
        <v>1</v>
      </c>
      <c r="V55" s="17">
        <v>1</v>
      </c>
      <c r="W55" s="17"/>
      <c r="X55" s="126">
        <f t="shared" ref="X55:X59" si="8">(IF(U55&gt;V55,3,IF(U55=V55,1,2)))</f>
        <v>1</v>
      </c>
      <c r="Y55" s="125">
        <f t="shared" ref="Y55:Y59" si="9">(IF(V55&gt;U55,3,IF(U55=V55,1,2)))</f>
        <v>1</v>
      </c>
    </row>
    <row r="56" spans="1:25" ht="15" thickBot="1" x14ac:dyDescent="0.35">
      <c r="A56" s="302"/>
      <c r="B56" s="301"/>
      <c r="C56" s="58"/>
      <c r="D56" s="79"/>
      <c r="E56" s="79"/>
      <c r="F56" s="79" t="s">
        <v>172</v>
      </c>
      <c r="G56" s="81" t="s">
        <v>183</v>
      </c>
      <c r="H56" s="8"/>
      <c r="I56" s="8"/>
      <c r="J56" s="5"/>
      <c r="K56" s="108"/>
      <c r="S56" s="122" t="s">
        <v>192</v>
      </c>
      <c r="T56" s="17" t="s">
        <v>362</v>
      </c>
      <c r="U56" s="17">
        <v>0</v>
      </c>
      <c r="V56" s="17">
        <v>1</v>
      </c>
      <c r="W56" s="17"/>
      <c r="X56" s="126">
        <f t="shared" si="8"/>
        <v>2</v>
      </c>
      <c r="Y56" s="125">
        <f t="shared" si="9"/>
        <v>3</v>
      </c>
    </row>
    <row r="57" spans="1:25" x14ac:dyDescent="0.3">
      <c r="A57" s="302"/>
      <c r="B57" s="301"/>
      <c r="C57" s="40">
        <v>40342</v>
      </c>
      <c r="D57" s="49" t="s">
        <v>192</v>
      </c>
      <c r="E57" s="49" t="s">
        <v>362</v>
      </c>
      <c r="F57" s="49">
        <v>0</v>
      </c>
      <c r="G57" s="51">
        <v>1</v>
      </c>
      <c r="H57" s="5"/>
      <c r="I57" s="5" t="s">
        <v>399</v>
      </c>
      <c r="J57" s="5"/>
      <c r="K57" s="108"/>
      <c r="S57" s="122" t="s">
        <v>362</v>
      </c>
      <c r="T57" s="17" t="s">
        <v>20</v>
      </c>
      <c r="U57" s="17">
        <v>2</v>
      </c>
      <c r="V57" s="17">
        <v>2</v>
      </c>
      <c r="W57" s="17"/>
      <c r="X57" s="126">
        <f t="shared" si="8"/>
        <v>1</v>
      </c>
      <c r="Y57" s="125">
        <f t="shared" si="9"/>
        <v>1</v>
      </c>
    </row>
    <row r="58" spans="1:25" ht="15" thickBot="1" x14ac:dyDescent="0.35">
      <c r="A58" s="302"/>
      <c r="B58" s="301"/>
      <c r="C58" s="58"/>
      <c r="D58" s="79"/>
      <c r="E58" s="79"/>
      <c r="F58" s="79" t="s">
        <v>170</v>
      </c>
      <c r="G58" s="81" t="s">
        <v>171</v>
      </c>
      <c r="H58" s="8"/>
      <c r="I58" s="8"/>
      <c r="J58" s="5"/>
      <c r="K58" s="108"/>
      <c r="S58" s="122" t="s">
        <v>74</v>
      </c>
      <c r="T58" s="17" t="s">
        <v>192</v>
      </c>
      <c r="U58" s="17">
        <v>0</v>
      </c>
      <c r="V58" s="17">
        <v>0</v>
      </c>
      <c r="W58" s="17"/>
      <c r="X58" s="126">
        <f t="shared" si="8"/>
        <v>1</v>
      </c>
      <c r="Y58" s="125">
        <f t="shared" si="9"/>
        <v>1</v>
      </c>
    </row>
    <row r="59" spans="1:25" x14ac:dyDescent="0.3">
      <c r="A59" s="302"/>
      <c r="B59" s="301"/>
      <c r="C59" s="40">
        <v>40347</v>
      </c>
      <c r="D59" s="49" t="s">
        <v>362</v>
      </c>
      <c r="E59" s="49" t="s">
        <v>20</v>
      </c>
      <c r="F59" s="49">
        <v>2</v>
      </c>
      <c r="G59" s="51">
        <v>2</v>
      </c>
      <c r="H59" s="5"/>
      <c r="I59" s="5" t="s">
        <v>396</v>
      </c>
      <c r="J59" s="5"/>
      <c r="K59" s="108"/>
      <c r="S59" s="122" t="s">
        <v>20</v>
      </c>
      <c r="T59" s="17" t="s">
        <v>192</v>
      </c>
      <c r="U59" s="17">
        <v>1</v>
      </c>
      <c r="V59" s="17">
        <v>0</v>
      </c>
      <c r="W59" s="17"/>
      <c r="X59" s="126">
        <f t="shared" si="8"/>
        <v>3</v>
      </c>
      <c r="Y59" s="125">
        <f t="shared" si="9"/>
        <v>2</v>
      </c>
    </row>
    <row r="60" spans="1:25" ht="15" thickBot="1" x14ac:dyDescent="0.35">
      <c r="A60" s="302"/>
      <c r="B60" s="301"/>
      <c r="C60" s="58"/>
      <c r="D60" s="79"/>
      <c r="E60" s="79"/>
      <c r="F60" s="79" t="s">
        <v>215</v>
      </c>
      <c r="G60" s="81" t="s">
        <v>171</v>
      </c>
      <c r="H60" s="8"/>
      <c r="I60" s="8" t="s">
        <v>407</v>
      </c>
      <c r="J60" s="5"/>
      <c r="K60" s="108"/>
      <c r="S60" s="117" t="s">
        <v>362</v>
      </c>
      <c r="T60" s="298" t="s">
        <v>74</v>
      </c>
      <c r="U60" s="298">
        <v>0</v>
      </c>
      <c r="V60" s="298">
        <v>1</v>
      </c>
      <c r="W60" s="17"/>
      <c r="X60" s="126">
        <f t="shared" ref="X60" si="10">(IF(U60&gt;V60,3,IF(U60=V60,1,2)))</f>
        <v>2</v>
      </c>
      <c r="Y60" s="125">
        <f t="shared" ref="Y60" si="11">(IF(V60&gt;U60,3,IF(U60=V60,1,2)))</f>
        <v>3</v>
      </c>
    </row>
    <row r="61" spans="1:25" ht="15" thickBot="1" x14ac:dyDescent="0.35">
      <c r="A61" s="302"/>
      <c r="B61" s="301"/>
      <c r="C61" s="88">
        <v>40347</v>
      </c>
      <c r="D61" s="89" t="s">
        <v>74</v>
      </c>
      <c r="E61" s="89" t="s">
        <v>192</v>
      </c>
      <c r="F61" s="89">
        <v>0</v>
      </c>
      <c r="G61" s="90">
        <v>0</v>
      </c>
      <c r="H61" s="91"/>
      <c r="I61" s="91" t="s">
        <v>397</v>
      </c>
      <c r="J61" s="5"/>
      <c r="K61" s="108"/>
      <c r="S61" s="117"/>
      <c r="T61" s="298"/>
      <c r="U61" s="298"/>
      <c r="V61" s="298"/>
      <c r="W61" s="17"/>
      <c r="X61" s="126"/>
      <c r="Y61" s="125"/>
    </row>
    <row r="62" spans="1:25" x14ac:dyDescent="0.3">
      <c r="A62" s="302"/>
      <c r="B62" s="301"/>
      <c r="C62" s="40">
        <v>40352</v>
      </c>
      <c r="D62" s="49" t="s">
        <v>20</v>
      </c>
      <c r="E62" s="49" t="s">
        <v>192</v>
      </c>
      <c r="F62" s="49">
        <v>1</v>
      </c>
      <c r="G62" s="51">
        <v>0</v>
      </c>
      <c r="H62" s="5"/>
      <c r="I62" s="5" t="s">
        <v>398</v>
      </c>
      <c r="J62" s="5"/>
      <c r="K62" s="108"/>
      <c r="S62" s="117"/>
      <c r="T62" s="298"/>
      <c r="U62" s="298"/>
      <c r="V62" s="298"/>
      <c r="W62" s="17"/>
      <c r="X62" s="126"/>
      <c r="Y62" s="125"/>
    </row>
    <row r="63" spans="1:25" ht="15" thickBot="1" x14ac:dyDescent="0.35">
      <c r="A63" s="302"/>
      <c r="B63" s="301"/>
      <c r="C63" s="58"/>
      <c r="D63" s="79"/>
      <c r="E63" s="79"/>
      <c r="F63" s="79" t="s">
        <v>170</v>
      </c>
      <c r="G63" s="81" t="s">
        <v>171</v>
      </c>
      <c r="H63" s="8"/>
      <c r="I63" s="8"/>
      <c r="J63" s="5"/>
      <c r="K63" s="108"/>
      <c r="S63" s="117"/>
      <c r="T63" s="298"/>
      <c r="U63" s="298"/>
      <c r="V63" s="298"/>
      <c r="W63" s="17"/>
      <c r="X63" s="126"/>
      <c r="Y63" s="125"/>
    </row>
    <row r="64" spans="1:25" x14ac:dyDescent="0.3">
      <c r="A64" s="302"/>
      <c r="B64" s="301"/>
      <c r="C64" s="40">
        <v>40352</v>
      </c>
      <c r="D64" s="49" t="s">
        <v>362</v>
      </c>
      <c r="E64" s="49" t="s">
        <v>74</v>
      </c>
      <c r="F64" s="49">
        <v>0</v>
      </c>
      <c r="G64" s="51">
        <v>1</v>
      </c>
      <c r="H64" s="5"/>
      <c r="I64" s="5" t="s">
        <v>402</v>
      </c>
      <c r="J64" s="5"/>
      <c r="K64" s="108"/>
      <c r="S64" s="117"/>
      <c r="T64" s="287"/>
      <c r="U64" s="287"/>
      <c r="V64" s="287"/>
      <c r="W64" s="287"/>
      <c r="X64" s="126"/>
      <c r="Y64" s="125"/>
    </row>
    <row r="65" spans="1:25" x14ac:dyDescent="0.3">
      <c r="A65" s="156"/>
      <c r="B65" s="301"/>
      <c r="C65" s="301"/>
      <c r="D65" s="49"/>
      <c r="E65" s="49"/>
      <c r="F65" s="49" t="s">
        <v>170</v>
      </c>
      <c r="G65" s="51" t="s">
        <v>183</v>
      </c>
      <c r="H65" s="5"/>
      <c r="I65" s="5"/>
      <c r="J65" s="5"/>
      <c r="K65" s="108"/>
      <c r="S65" s="117"/>
      <c r="T65" s="287"/>
      <c r="U65" s="287"/>
      <c r="V65" s="287"/>
      <c r="W65" s="287"/>
      <c r="X65" s="126"/>
      <c r="Y65" s="125"/>
    </row>
    <row r="66" spans="1:25" x14ac:dyDescent="0.3">
      <c r="A66" s="156"/>
      <c r="B66" s="301"/>
      <c r="C66" s="301"/>
      <c r="D66" s="301"/>
      <c r="E66" s="301"/>
      <c r="F66" s="301"/>
      <c r="G66" s="5"/>
      <c r="H66" s="5"/>
      <c r="I66" s="5"/>
      <c r="J66" s="5"/>
      <c r="K66" s="108"/>
      <c r="S66" s="117"/>
      <c r="T66" s="287"/>
      <c r="U66" s="287"/>
      <c r="V66" s="287"/>
      <c r="W66" s="287"/>
      <c r="X66" s="126"/>
      <c r="Y66" s="125"/>
    </row>
    <row r="67" spans="1:25" ht="15" thickBot="1" x14ac:dyDescent="0.35">
      <c r="A67" s="302"/>
      <c r="B67" s="301" t="s">
        <v>298</v>
      </c>
      <c r="C67" s="301" t="s">
        <v>12</v>
      </c>
      <c r="D67" s="301" t="s">
        <v>13</v>
      </c>
      <c r="E67" s="301" t="s">
        <v>14</v>
      </c>
      <c r="F67" s="301" t="s">
        <v>15</v>
      </c>
      <c r="G67" s="5" t="s">
        <v>24</v>
      </c>
      <c r="H67" s="5" t="s">
        <v>25</v>
      </c>
      <c r="I67" s="5" t="s">
        <v>301</v>
      </c>
      <c r="J67" s="5"/>
      <c r="K67" s="108"/>
      <c r="S67" s="117"/>
      <c r="T67" s="287"/>
      <c r="U67" s="287"/>
      <c r="V67" s="287"/>
      <c r="W67" s="287"/>
      <c r="X67" s="126"/>
      <c r="Y67" s="125"/>
    </row>
    <row r="68" spans="1:25" x14ac:dyDescent="0.3">
      <c r="A68" s="302" t="s">
        <v>113</v>
      </c>
      <c r="B68" s="14" t="s">
        <v>74</v>
      </c>
      <c r="C68" s="305">
        <v>3</v>
      </c>
      <c r="D68" s="305">
        <v>2</v>
      </c>
      <c r="E68" s="305">
        <v>1</v>
      </c>
      <c r="F68" s="305">
        <v>0</v>
      </c>
      <c r="G68" s="15">
        <v>5</v>
      </c>
      <c r="H68" s="15">
        <v>3</v>
      </c>
      <c r="I68" s="15">
        <v>7</v>
      </c>
      <c r="J68" s="86"/>
      <c r="K68" s="108"/>
      <c r="S68" s="117"/>
      <c r="T68" s="287"/>
      <c r="U68" s="287"/>
      <c r="V68" s="287"/>
      <c r="W68" s="287"/>
      <c r="X68" s="126"/>
      <c r="Y68" s="125"/>
    </row>
    <row r="69" spans="1:25" x14ac:dyDescent="0.3">
      <c r="A69" s="302"/>
      <c r="B69" s="21" t="s">
        <v>20</v>
      </c>
      <c r="C69" s="17"/>
      <c r="D69" s="17"/>
      <c r="E69" s="17"/>
      <c r="F69" s="17"/>
      <c r="G69" s="18"/>
      <c r="H69" s="18"/>
      <c r="I69" s="18"/>
      <c r="J69" s="86"/>
      <c r="K69" s="108"/>
      <c r="S69" s="117"/>
      <c r="T69" s="287"/>
      <c r="U69" s="287"/>
      <c r="V69" s="287"/>
      <c r="W69" s="287"/>
      <c r="X69" s="126"/>
      <c r="Y69" s="125"/>
    </row>
    <row r="70" spans="1:25" x14ac:dyDescent="0.3">
      <c r="A70" s="302"/>
      <c r="B70" s="3" t="s">
        <v>192</v>
      </c>
      <c r="C70" s="301"/>
      <c r="D70" s="301"/>
      <c r="E70" s="301"/>
      <c r="F70" s="301"/>
      <c r="G70" s="5"/>
      <c r="H70" s="5"/>
      <c r="I70" s="5"/>
      <c r="J70" s="87"/>
      <c r="K70" s="108"/>
      <c r="S70" s="117"/>
      <c r="T70" s="287"/>
      <c r="U70" s="287"/>
      <c r="V70" s="287"/>
      <c r="W70" s="287"/>
      <c r="X70" s="126"/>
      <c r="Y70" s="125"/>
    </row>
    <row r="71" spans="1:25" ht="15" thickBot="1" x14ac:dyDescent="0.35">
      <c r="A71" s="302"/>
      <c r="B71" s="7" t="s">
        <v>362</v>
      </c>
      <c r="C71" s="304"/>
      <c r="D71" s="304"/>
      <c r="E71" s="304"/>
      <c r="F71" s="304"/>
      <c r="G71" s="8"/>
      <c r="H71" s="8"/>
      <c r="I71" s="8"/>
      <c r="J71" s="87"/>
      <c r="K71" s="108"/>
      <c r="S71" s="117"/>
      <c r="T71" s="287"/>
      <c r="U71" s="287"/>
      <c r="V71" s="287"/>
      <c r="W71" s="287"/>
      <c r="X71" s="126"/>
      <c r="Y71" s="125"/>
    </row>
    <row r="72" spans="1:25" ht="15" thickBot="1" x14ac:dyDescent="0.35">
      <c r="A72" s="302"/>
      <c r="B72" s="301"/>
      <c r="C72" s="301"/>
      <c r="D72" s="301"/>
      <c r="E72" s="301"/>
      <c r="F72" s="301"/>
      <c r="G72" s="5"/>
      <c r="H72" s="5"/>
      <c r="I72" s="5"/>
      <c r="J72" s="5"/>
      <c r="K72" s="193"/>
      <c r="S72" s="117"/>
      <c r="T72" s="287"/>
      <c r="U72" s="287"/>
      <c r="V72" s="287"/>
      <c r="W72" s="287"/>
      <c r="X72" s="126"/>
      <c r="Y72" s="125"/>
    </row>
    <row r="73" spans="1:25" ht="15" thickTop="1" x14ac:dyDescent="0.3">
      <c r="A73" s="106"/>
      <c r="B73" s="25"/>
      <c r="C73" s="25"/>
      <c r="D73" s="25"/>
      <c r="E73" s="25"/>
      <c r="F73" s="25"/>
      <c r="G73" s="26"/>
      <c r="H73" s="26"/>
      <c r="I73" s="26"/>
      <c r="J73" s="26"/>
      <c r="K73" s="108"/>
      <c r="S73" s="117"/>
      <c r="T73" s="287"/>
      <c r="U73" s="287"/>
      <c r="V73" s="287"/>
      <c r="W73" s="287"/>
      <c r="X73" s="126"/>
      <c r="Y73" s="125"/>
    </row>
    <row r="74" spans="1:25" ht="21" x14ac:dyDescent="0.4">
      <c r="A74" s="302"/>
      <c r="B74" s="301"/>
      <c r="C74" s="301"/>
      <c r="D74" s="301"/>
      <c r="E74" s="301"/>
      <c r="F74" s="300" t="s">
        <v>122</v>
      </c>
      <c r="G74" s="5"/>
      <c r="H74" s="5"/>
      <c r="I74" s="5"/>
      <c r="J74" s="5"/>
      <c r="K74" s="108"/>
      <c r="S74" s="117"/>
      <c r="T74" s="287"/>
      <c r="U74" s="287"/>
      <c r="V74" s="287"/>
      <c r="W74" s="287"/>
      <c r="X74" s="126"/>
      <c r="Y74" s="125"/>
    </row>
    <row r="75" spans="1:25" x14ac:dyDescent="0.3">
      <c r="A75" s="302"/>
      <c r="B75" s="301"/>
      <c r="C75" s="301"/>
      <c r="D75" s="301"/>
      <c r="E75" s="301"/>
      <c r="F75" s="28"/>
      <c r="G75" s="5"/>
      <c r="H75" s="5"/>
      <c r="I75" s="5"/>
      <c r="J75" s="5"/>
      <c r="K75" s="108"/>
      <c r="S75" s="117"/>
      <c r="T75" s="287"/>
      <c r="U75" s="287"/>
      <c r="V75" s="287"/>
      <c r="W75" s="287"/>
      <c r="X75" s="126"/>
      <c r="Y75" s="125"/>
    </row>
    <row r="76" spans="1:25" x14ac:dyDescent="0.3">
      <c r="A76" s="302"/>
      <c r="B76" s="301"/>
      <c r="C76" s="40">
        <v>40342</v>
      </c>
      <c r="D76" s="49" t="s">
        <v>408</v>
      </c>
      <c r="E76" s="49" t="s">
        <v>390</v>
      </c>
      <c r="F76" s="49">
        <v>0</v>
      </c>
      <c r="G76" s="51">
        <v>1</v>
      </c>
      <c r="H76" s="5"/>
      <c r="I76" s="5" t="s">
        <v>398</v>
      </c>
      <c r="J76" s="5"/>
      <c r="K76" s="108"/>
      <c r="S76" s="117" t="s">
        <v>408</v>
      </c>
      <c r="T76" s="287" t="s">
        <v>390</v>
      </c>
      <c r="U76" s="287">
        <v>0</v>
      </c>
      <c r="V76" s="287">
        <v>1</v>
      </c>
      <c r="W76" s="287"/>
      <c r="X76" s="126">
        <f t="shared" ref="X76:X81" si="12">(IF(U76&gt;V76,3,IF(U76=V76,1,2)))</f>
        <v>2</v>
      </c>
      <c r="Y76" s="125">
        <f t="shared" ref="Y76:Y81" si="13">(IF(V76&gt;U76,3,IF(U76=V76,1,2)))</f>
        <v>3</v>
      </c>
    </row>
    <row r="77" spans="1:25" ht="15" thickBot="1" x14ac:dyDescent="0.35">
      <c r="A77" s="302"/>
      <c r="B77" s="301"/>
      <c r="C77" s="58"/>
      <c r="D77" s="79"/>
      <c r="E77" s="79"/>
      <c r="F77" s="79" t="s">
        <v>170</v>
      </c>
      <c r="G77" s="81" t="s">
        <v>171</v>
      </c>
      <c r="H77" s="8"/>
      <c r="I77" s="8"/>
      <c r="J77" s="5"/>
      <c r="K77" s="108"/>
      <c r="S77" s="117" t="s">
        <v>88</v>
      </c>
      <c r="T77" s="301" t="s">
        <v>152</v>
      </c>
      <c r="U77" s="301">
        <v>4</v>
      </c>
      <c r="V77" s="301">
        <v>0</v>
      </c>
      <c r="W77" s="287"/>
      <c r="X77" s="126">
        <f t="shared" si="12"/>
        <v>3</v>
      </c>
      <c r="Y77" s="125">
        <f t="shared" si="13"/>
        <v>2</v>
      </c>
    </row>
    <row r="78" spans="1:25" x14ac:dyDescent="0.3">
      <c r="A78" s="302"/>
      <c r="B78" s="301"/>
      <c r="C78" s="40">
        <v>40342</v>
      </c>
      <c r="D78" s="49" t="s">
        <v>88</v>
      </c>
      <c r="E78" s="49" t="s">
        <v>152</v>
      </c>
      <c r="F78" s="49">
        <v>4</v>
      </c>
      <c r="G78" s="51">
        <v>0</v>
      </c>
      <c r="H78" s="5"/>
      <c r="I78" s="5" t="s">
        <v>404</v>
      </c>
      <c r="J78" s="5"/>
      <c r="K78" s="108"/>
      <c r="S78" s="117" t="s">
        <v>88</v>
      </c>
      <c r="T78" s="301" t="s">
        <v>408</v>
      </c>
      <c r="U78" s="301">
        <v>0</v>
      </c>
      <c r="V78" s="301">
        <v>1</v>
      </c>
      <c r="W78" s="287"/>
      <c r="X78" s="126">
        <f t="shared" si="12"/>
        <v>2</v>
      </c>
      <c r="Y78" s="125">
        <f t="shared" si="13"/>
        <v>3</v>
      </c>
    </row>
    <row r="79" spans="1:25" ht="15" thickBot="1" x14ac:dyDescent="0.35">
      <c r="A79" s="302"/>
      <c r="B79" s="301"/>
      <c r="C79" s="58"/>
      <c r="D79" s="79"/>
      <c r="E79" s="79"/>
      <c r="F79" s="79" t="s">
        <v>215</v>
      </c>
      <c r="G79" s="81" t="s">
        <v>171</v>
      </c>
      <c r="H79" s="8"/>
      <c r="I79" s="8"/>
      <c r="J79" s="5"/>
      <c r="K79" s="108"/>
      <c r="S79" s="117" t="s">
        <v>390</v>
      </c>
      <c r="T79" s="301" t="s">
        <v>152</v>
      </c>
      <c r="U79" s="301">
        <v>1</v>
      </c>
      <c r="V79" s="301">
        <v>1</v>
      </c>
      <c r="W79" s="287"/>
      <c r="X79" s="126">
        <f t="shared" si="12"/>
        <v>1</v>
      </c>
      <c r="Y79" s="125">
        <f t="shared" si="13"/>
        <v>1</v>
      </c>
    </row>
    <row r="80" spans="1:25" x14ac:dyDescent="0.3">
      <c r="A80" s="302"/>
      <c r="B80" s="301"/>
      <c r="C80" s="40">
        <v>40347</v>
      </c>
      <c r="D80" s="49" t="s">
        <v>88</v>
      </c>
      <c r="E80" s="49" t="s">
        <v>408</v>
      </c>
      <c r="F80" s="49">
        <v>0</v>
      </c>
      <c r="G80" s="51">
        <v>1</v>
      </c>
      <c r="H80" s="5"/>
      <c r="I80" s="5" t="s">
        <v>402</v>
      </c>
      <c r="J80" s="5"/>
      <c r="K80" s="108"/>
      <c r="S80" s="117" t="s">
        <v>152</v>
      </c>
      <c r="T80" s="301" t="s">
        <v>408</v>
      </c>
      <c r="U80" s="301">
        <v>2</v>
      </c>
      <c r="V80" s="301">
        <v>1</v>
      </c>
      <c r="W80" s="287"/>
      <c r="X80" s="126">
        <f t="shared" si="12"/>
        <v>3</v>
      </c>
      <c r="Y80" s="125">
        <f t="shared" si="13"/>
        <v>2</v>
      </c>
    </row>
    <row r="81" spans="1:25" ht="15" thickBot="1" x14ac:dyDescent="0.35">
      <c r="A81" s="302"/>
      <c r="B81" s="301"/>
      <c r="C81" s="58"/>
      <c r="D81" s="79"/>
      <c r="E81" s="79"/>
      <c r="F81" s="79" t="s">
        <v>170</v>
      </c>
      <c r="G81" s="81" t="s">
        <v>183</v>
      </c>
      <c r="H81" s="8"/>
      <c r="I81" s="8"/>
      <c r="J81" s="5"/>
      <c r="K81" s="108"/>
      <c r="S81" s="117" t="s">
        <v>390</v>
      </c>
      <c r="T81" s="301" t="s">
        <v>88</v>
      </c>
      <c r="U81" s="301">
        <v>0</v>
      </c>
      <c r="V81" s="301">
        <v>1</v>
      </c>
      <c r="W81" s="287"/>
      <c r="X81" s="126">
        <f t="shared" si="12"/>
        <v>2</v>
      </c>
      <c r="Y81" s="125">
        <f t="shared" si="13"/>
        <v>3</v>
      </c>
    </row>
    <row r="82" spans="1:25" x14ac:dyDescent="0.3">
      <c r="A82" s="302"/>
      <c r="B82" s="301"/>
      <c r="C82" s="40">
        <v>40348</v>
      </c>
      <c r="D82" s="49" t="s">
        <v>390</v>
      </c>
      <c r="E82" s="49" t="s">
        <v>152</v>
      </c>
      <c r="F82" s="49">
        <v>1</v>
      </c>
      <c r="G82" s="51">
        <v>1</v>
      </c>
      <c r="H82" s="5"/>
      <c r="I82" s="5" t="s">
        <v>400</v>
      </c>
      <c r="J82" s="5"/>
      <c r="K82" s="108"/>
      <c r="S82" s="117"/>
      <c r="T82" s="301"/>
      <c r="U82" s="301"/>
      <c r="V82" s="301"/>
      <c r="W82" s="287"/>
      <c r="X82" s="126"/>
      <c r="Y82" s="125"/>
    </row>
    <row r="83" spans="1:25" ht="15" thickBot="1" x14ac:dyDescent="0.35">
      <c r="A83" s="302"/>
      <c r="B83" s="301"/>
      <c r="C83" s="58"/>
      <c r="D83" s="79"/>
      <c r="E83" s="79"/>
      <c r="F83" s="79" t="s">
        <v>172</v>
      </c>
      <c r="G83" s="81" t="s">
        <v>183</v>
      </c>
      <c r="H83" s="8"/>
      <c r="I83" s="8"/>
      <c r="J83" s="5"/>
      <c r="K83" s="108"/>
      <c r="S83" s="117"/>
      <c r="T83" s="301"/>
      <c r="U83" s="301"/>
      <c r="V83" s="301"/>
      <c r="W83" s="287"/>
      <c r="X83" s="126"/>
      <c r="Y83" s="125"/>
    </row>
    <row r="84" spans="1:25" x14ac:dyDescent="0.3">
      <c r="A84" s="302"/>
      <c r="B84" s="301"/>
      <c r="C84" s="40">
        <v>40352</v>
      </c>
      <c r="D84" s="49" t="s">
        <v>152</v>
      </c>
      <c r="E84" s="49" t="s">
        <v>408</v>
      </c>
      <c r="F84" s="49">
        <v>2</v>
      </c>
      <c r="G84" s="51">
        <v>1</v>
      </c>
      <c r="H84" s="5"/>
      <c r="I84" s="5" t="s">
        <v>409</v>
      </c>
      <c r="J84" s="5"/>
      <c r="K84" s="108"/>
      <c r="S84" s="117"/>
      <c r="T84" s="301"/>
      <c r="U84" s="301"/>
      <c r="V84" s="301"/>
      <c r="W84" s="287"/>
      <c r="X84" s="126"/>
      <c r="Y84" s="125"/>
    </row>
    <row r="85" spans="1:25" ht="15" thickBot="1" x14ac:dyDescent="0.35">
      <c r="A85" s="302"/>
      <c r="B85" s="301"/>
      <c r="C85" s="58"/>
      <c r="D85" s="79"/>
      <c r="E85" s="79"/>
      <c r="F85" s="79" t="s">
        <v>170</v>
      </c>
      <c r="G85" s="81" t="s">
        <v>171</v>
      </c>
      <c r="H85" s="8"/>
      <c r="I85" s="8"/>
      <c r="J85" s="5"/>
      <c r="K85" s="108"/>
      <c r="S85" s="117"/>
      <c r="T85" s="301"/>
      <c r="U85" s="301"/>
      <c r="V85" s="301"/>
      <c r="W85" s="287"/>
      <c r="X85" s="126"/>
      <c r="Y85" s="125"/>
    </row>
    <row r="86" spans="1:25" x14ac:dyDescent="0.3">
      <c r="A86" s="302"/>
      <c r="B86" s="17"/>
      <c r="C86" s="40">
        <v>40352</v>
      </c>
      <c r="D86" s="43" t="s">
        <v>390</v>
      </c>
      <c r="E86" s="43" t="s">
        <v>88</v>
      </c>
      <c r="F86" s="49">
        <v>0</v>
      </c>
      <c r="G86" s="51">
        <v>1</v>
      </c>
      <c r="H86" s="5"/>
      <c r="I86" s="5" t="s">
        <v>396</v>
      </c>
      <c r="J86" s="5"/>
      <c r="K86" s="108"/>
      <c r="S86" s="117"/>
      <c r="T86" s="287"/>
      <c r="U86" s="287"/>
      <c r="V86" s="287"/>
      <c r="W86" s="287"/>
      <c r="X86" s="287"/>
      <c r="Y86" s="118"/>
    </row>
    <row r="87" spans="1:25" x14ac:dyDescent="0.3">
      <c r="A87" s="156"/>
      <c r="B87" s="17"/>
      <c r="C87" s="17"/>
      <c r="D87" s="43"/>
      <c r="E87" s="43"/>
      <c r="F87" s="49" t="s">
        <v>170</v>
      </c>
      <c r="G87" s="51" t="s">
        <v>171</v>
      </c>
      <c r="H87" s="5"/>
      <c r="I87" s="5" t="s">
        <v>405</v>
      </c>
      <c r="J87" s="5"/>
      <c r="K87" s="108"/>
      <c r="S87" s="117"/>
      <c r="T87" s="287"/>
      <c r="U87" s="287"/>
      <c r="V87" s="287"/>
      <c r="W87" s="287"/>
      <c r="X87" s="126"/>
      <c r="Y87" s="125"/>
    </row>
    <row r="88" spans="1:25" x14ac:dyDescent="0.3">
      <c r="A88" s="156"/>
      <c r="B88" s="17"/>
      <c r="C88" s="17"/>
      <c r="D88" s="17"/>
      <c r="E88" s="17"/>
      <c r="F88" s="301"/>
      <c r="G88" s="5"/>
      <c r="H88" s="5"/>
      <c r="I88" s="5"/>
      <c r="J88" s="5"/>
      <c r="K88" s="108"/>
      <c r="S88" s="117"/>
      <c r="T88" s="287"/>
      <c r="U88" s="287"/>
      <c r="V88" s="287"/>
      <c r="W88" s="287"/>
      <c r="X88" s="126"/>
      <c r="Y88" s="125"/>
    </row>
    <row r="89" spans="1:25" ht="15" thickBot="1" x14ac:dyDescent="0.35">
      <c r="A89" s="302"/>
      <c r="B89" s="301" t="s">
        <v>298</v>
      </c>
      <c r="C89" s="301" t="s">
        <v>12</v>
      </c>
      <c r="D89" s="301" t="s">
        <v>13</v>
      </c>
      <c r="E89" s="301" t="s">
        <v>14</v>
      </c>
      <c r="F89" s="301" t="s">
        <v>15</v>
      </c>
      <c r="G89" s="5" t="s">
        <v>24</v>
      </c>
      <c r="H89" s="5" t="s">
        <v>25</v>
      </c>
      <c r="I89" s="5" t="s">
        <v>301</v>
      </c>
      <c r="J89" s="5"/>
      <c r="K89" s="108"/>
      <c r="S89" s="117"/>
      <c r="T89" s="287"/>
      <c r="U89" s="287"/>
      <c r="V89" s="287"/>
      <c r="W89" s="287"/>
      <c r="X89" s="126"/>
      <c r="Y89" s="125"/>
    </row>
    <row r="90" spans="1:25" x14ac:dyDescent="0.3">
      <c r="A90" s="302" t="s">
        <v>113</v>
      </c>
      <c r="B90" s="14" t="s">
        <v>408</v>
      </c>
      <c r="C90" s="305">
        <v>3</v>
      </c>
      <c r="D90" s="305">
        <v>2</v>
      </c>
      <c r="E90" s="305">
        <v>0</v>
      </c>
      <c r="F90" s="305">
        <v>1</v>
      </c>
      <c r="G90" s="15">
        <v>6</v>
      </c>
      <c r="H90" s="15">
        <v>2</v>
      </c>
      <c r="I90" s="15">
        <v>6</v>
      </c>
      <c r="J90" s="86"/>
      <c r="K90" s="108"/>
      <c r="S90" s="117"/>
      <c r="T90" s="287"/>
      <c r="U90" s="287"/>
      <c r="V90" s="287"/>
      <c r="W90" s="287"/>
      <c r="X90" s="126"/>
      <c r="Y90" s="125"/>
    </row>
    <row r="91" spans="1:25" x14ac:dyDescent="0.3">
      <c r="A91" s="302"/>
      <c r="B91" s="21" t="s">
        <v>390</v>
      </c>
      <c r="C91" s="17"/>
      <c r="D91" s="17"/>
      <c r="E91" s="17"/>
      <c r="F91" s="17"/>
      <c r="G91" s="18"/>
      <c r="H91" s="18"/>
      <c r="I91" s="18"/>
      <c r="J91" s="86"/>
      <c r="K91" s="108"/>
      <c r="S91" s="117"/>
      <c r="T91" s="287"/>
      <c r="U91" s="287"/>
      <c r="V91" s="287"/>
      <c r="W91" s="287"/>
      <c r="X91" s="287"/>
      <c r="Y91" s="118"/>
    </row>
    <row r="92" spans="1:25" x14ac:dyDescent="0.3">
      <c r="A92" s="302"/>
      <c r="B92" s="3" t="s">
        <v>88</v>
      </c>
      <c r="C92" s="301"/>
      <c r="D92" s="301"/>
      <c r="E92" s="301"/>
      <c r="F92" s="301"/>
      <c r="G92" s="5"/>
      <c r="H92" s="5"/>
      <c r="I92" s="5"/>
      <c r="J92" s="87"/>
      <c r="K92" s="108"/>
      <c r="S92" s="117"/>
      <c r="T92" s="287"/>
      <c r="U92" s="287"/>
      <c r="V92" s="287"/>
      <c r="W92" s="287"/>
      <c r="X92" s="287"/>
      <c r="Y92" s="118"/>
    </row>
    <row r="93" spans="1:25" ht="15" thickBot="1" x14ac:dyDescent="0.35">
      <c r="A93" s="302"/>
      <c r="B93" s="7" t="s">
        <v>152</v>
      </c>
      <c r="C93" s="304"/>
      <c r="D93" s="304"/>
      <c r="E93" s="304"/>
      <c r="F93" s="304"/>
      <c r="G93" s="8"/>
      <c r="H93" s="8"/>
      <c r="I93" s="8"/>
      <c r="J93" s="87"/>
      <c r="K93" s="108"/>
      <c r="S93" s="117"/>
      <c r="T93" s="287"/>
      <c r="U93" s="287"/>
      <c r="V93" s="287"/>
      <c r="W93" s="287"/>
      <c r="X93" s="287"/>
      <c r="Y93" s="118"/>
    </row>
    <row r="94" spans="1:25" ht="15" thickBot="1" x14ac:dyDescent="0.35">
      <c r="A94" s="302"/>
      <c r="B94" s="301"/>
      <c r="C94" s="301"/>
      <c r="D94" s="301"/>
      <c r="E94" s="301"/>
      <c r="F94" s="301"/>
      <c r="G94" s="5"/>
      <c r="H94" s="5"/>
      <c r="I94" s="5"/>
      <c r="J94" s="5"/>
      <c r="K94" s="193"/>
      <c r="S94" s="117"/>
      <c r="T94" s="287"/>
      <c r="U94" s="287"/>
      <c r="V94" s="287"/>
      <c r="W94" s="287"/>
      <c r="X94" s="126"/>
      <c r="Y94" s="125"/>
    </row>
    <row r="95" spans="1:25" ht="15" thickTop="1" x14ac:dyDescent="0.3">
      <c r="A95" s="106"/>
      <c r="B95" s="25"/>
      <c r="C95" s="25"/>
      <c r="D95" s="25"/>
      <c r="E95" s="25"/>
      <c r="F95" s="25"/>
      <c r="G95" s="26"/>
      <c r="H95" s="26"/>
      <c r="I95" s="26"/>
      <c r="J95" s="26"/>
      <c r="K95" s="108"/>
      <c r="S95" s="117"/>
      <c r="T95" s="287"/>
      <c r="U95" s="287"/>
      <c r="V95" s="287"/>
      <c r="W95" s="287"/>
      <c r="X95" s="126"/>
      <c r="Y95" s="125"/>
    </row>
    <row r="96" spans="1:25" ht="21" x14ac:dyDescent="0.4">
      <c r="A96" s="302"/>
      <c r="B96" s="301"/>
      <c r="C96" s="301"/>
      <c r="D96" s="301"/>
      <c r="E96" s="301"/>
      <c r="F96" s="300" t="s">
        <v>246</v>
      </c>
      <c r="G96" s="5"/>
      <c r="H96" s="5"/>
      <c r="I96" s="5"/>
      <c r="J96" s="5"/>
      <c r="K96" s="108"/>
      <c r="S96" s="117"/>
      <c r="T96" s="287"/>
      <c r="U96" s="287"/>
      <c r="V96" s="287"/>
      <c r="W96" s="287"/>
      <c r="X96" s="126"/>
      <c r="Y96" s="125"/>
    </row>
    <row r="97" spans="1:25" x14ac:dyDescent="0.3">
      <c r="A97" s="302"/>
      <c r="B97" s="301"/>
      <c r="C97" s="301"/>
      <c r="D97" s="301"/>
      <c r="E97" s="301"/>
      <c r="F97" s="28"/>
      <c r="G97" s="5"/>
      <c r="H97" s="5"/>
      <c r="I97" s="5"/>
      <c r="J97" s="5"/>
      <c r="K97" s="108"/>
      <c r="S97" s="117"/>
      <c r="T97" s="287"/>
      <c r="U97" s="287"/>
      <c r="V97" s="287"/>
      <c r="W97" s="287"/>
      <c r="X97" s="126"/>
      <c r="Y97" s="125"/>
    </row>
    <row r="98" spans="1:25" x14ac:dyDescent="0.3">
      <c r="A98" s="302"/>
      <c r="B98" s="301"/>
      <c r="C98" s="40">
        <v>40343</v>
      </c>
      <c r="D98" s="49" t="s">
        <v>63</v>
      </c>
      <c r="E98" s="49" t="s">
        <v>258</v>
      </c>
      <c r="F98" s="49">
        <v>2</v>
      </c>
      <c r="G98" s="51">
        <v>0</v>
      </c>
      <c r="H98" s="5"/>
      <c r="I98" s="5" t="s">
        <v>396</v>
      </c>
      <c r="J98" s="5"/>
      <c r="K98" s="108"/>
      <c r="S98" s="117" t="s">
        <v>63</v>
      </c>
      <c r="T98" s="287" t="s">
        <v>258</v>
      </c>
      <c r="U98" s="287">
        <v>2</v>
      </c>
      <c r="V98" s="287">
        <v>0</v>
      </c>
      <c r="W98" s="287"/>
      <c r="X98" s="126">
        <f t="shared" ref="X98:X101" si="14">(IF(U98&gt;V98,3,IF(U98=V98,1,2)))</f>
        <v>3</v>
      </c>
      <c r="Y98" s="125">
        <f t="shared" ref="Y98:Y101" si="15">(IF(V98&gt;U98,3,IF(U98=V98,1,2)))</f>
        <v>2</v>
      </c>
    </row>
    <row r="99" spans="1:25" ht="15" thickBot="1" x14ac:dyDescent="0.35">
      <c r="A99" s="302"/>
      <c r="B99" s="301"/>
      <c r="C99" s="58"/>
      <c r="D99" s="79"/>
      <c r="E99" s="79"/>
      <c r="F99" s="79" t="s">
        <v>170</v>
      </c>
      <c r="G99" s="81" t="s">
        <v>171</v>
      </c>
      <c r="H99" s="8"/>
      <c r="I99" s="8" t="s">
        <v>405</v>
      </c>
      <c r="J99" s="5"/>
      <c r="K99" s="108"/>
      <c r="S99" s="117" t="s">
        <v>351</v>
      </c>
      <c r="T99" s="301" t="s">
        <v>190</v>
      </c>
      <c r="U99" s="301">
        <v>1</v>
      </c>
      <c r="V99" s="301">
        <v>0</v>
      </c>
      <c r="W99" s="287"/>
      <c r="X99" s="126">
        <f t="shared" si="14"/>
        <v>3</v>
      </c>
      <c r="Y99" s="125">
        <f t="shared" si="15"/>
        <v>2</v>
      </c>
    </row>
    <row r="100" spans="1:25" x14ac:dyDescent="0.3">
      <c r="A100" s="302"/>
      <c r="B100" s="301"/>
      <c r="C100" s="40">
        <v>40343</v>
      </c>
      <c r="D100" s="49" t="s">
        <v>351</v>
      </c>
      <c r="E100" s="49" t="s">
        <v>190</v>
      </c>
      <c r="F100" s="49">
        <v>1</v>
      </c>
      <c r="G100" s="51">
        <v>0</v>
      </c>
      <c r="H100" s="5"/>
      <c r="I100" s="5" t="s">
        <v>401</v>
      </c>
      <c r="J100" s="5"/>
      <c r="K100" s="108"/>
      <c r="S100" s="117" t="s">
        <v>63</v>
      </c>
      <c r="T100" s="301" t="s">
        <v>351</v>
      </c>
      <c r="U100" s="301">
        <v>1</v>
      </c>
      <c r="V100" s="301">
        <v>0</v>
      </c>
      <c r="W100" s="287"/>
      <c r="X100" s="126">
        <f t="shared" si="14"/>
        <v>3</v>
      </c>
      <c r="Y100" s="125">
        <f t="shared" si="15"/>
        <v>2</v>
      </c>
    </row>
    <row r="101" spans="1:25" s="13" customFormat="1" ht="15" thickBot="1" x14ac:dyDescent="0.35">
      <c r="A101" s="302"/>
      <c r="B101" s="301"/>
      <c r="C101" s="58"/>
      <c r="D101" s="79"/>
      <c r="E101" s="79"/>
      <c r="F101" s="79" t="s">
        <v>172</v>
      </c>
      <c r="G101" s="81" t="s">
        <v>171</v>
      </c>
      <c r="H101" s="8"/>
      <c r="I101" s="8"/>
      <c r="J101" s="5"/>
      <c r="K101" s="108"/>
      <c r="S101" s="117" t="s">
        <v>190</v>
      </c>
      <c r="T101" s="301" t="s">
        <v>258</v>
      </c>
      <c r="U101" s="301">
        <v>1</v>
      </c>
      <c r="V101" s="301">
        <v>2</v>
      </c>
      <c r="W101" s="287"/>
      <c r="X101" s="126">
        <f t="shared" si="14"/>
        <v>2</v>
      </c>
      <c r="Y101" s="125">
        <f t="shared" si="15"/>
        <v>3</v>
      </c>
    </row>
    <row r="102" spans="1:25" s="13" customFormat="1" x14ac:dyDescent="0.3">
      <c r="A102" s="302"/>
      <c r="B102" s="301"/>
      <c r="C102" s="40">
        <v>40348</v>
      </c>
      <c r="D102" s="49" t="s">
        <v>63</v>
      </c>
      <c r="E102" s="49" t="s">
        <v>351</v>
      </c>
      <c r="F102" s="49">
        <v>1</v>
      </c>
      <c r="G102" s="51">
        <v>0</v>
      </c>
      <c r="H102" s="5"/>
      <c r="I102" s="5" t="s">
        <v>404</v>
      </c>
      <c r="J102" s="5"/>
      <c r="K102" s="108"/>
      <c r="S102" s="117" t="s">
        <v>258</v>
      </c>
      <c r="T102" s="301" t="s">
        <v>351</v>
      </c>
      <c r="U102" s="301">
        <v>1</v>
      </c>
      <c r="V102" s="301">
        <v>3</v>
      </c>
      <c r="W102" s="287"/>
      <c r="X102" s="126">
        <f t="shared" ref="X102:X103" si="16">(IF(U102&gt;V102,3,IF(U102=V102,1,2)))</f>
        <v>2</v>
      </c>
      <c r="Y102" s="125">
        <f t="shared" ref="Y102:Y103" si="17">(IF(V102&gt;U102,3,IF(U102=V102,1,2)))</f>
        <v>3</v>
      </c>
    </row>
    <row r="103" spans="1:25" s="13" customFormat="1" ht="15" thickBot="1" x14ac:dyDescent="0.35">
      <c r="A103" s="302"/>
      <c r="B103" s="301"/>
      <c r="C103" s="58"/>
      <c r="D103" s="79"/>
      <c r="E103" s="79"/>
      <c r="F103" s="79" t="s">
        <v>170</v>
      </c>
      <c r="G103" s="81" t="s">
        <v>171</v>
      </c>
      <c r="H103" s="8"/>
      <c r="I103" s="8"/>
      <c r="J103" s="5"/>
      <c r="K103" s="108"/>
      <c r="S103" s="117" t="s">
        <v>190</v>
      </c>
      <c r="T103" s="301" t="s">
        <v>63</v>
      </c>
      <c r="U103" s="301">
        <v>1</v>
      </c>
      <c r="V103" s="301">
        <v>2</v>
      </c>
      <c r="W103" s="287"/>
      <c r="X103" s="126">
        <f t="shared" si="16"/>
        <v>2</v>
      </c>
      <c r="Y103" s="125">
        <f t="shared" si="17"/>
        <v>3</v>
      </c>
    </row>
    <row r="104" spans="1:25" x14ac:dyDescent="0.3">
      <c r="A104" s="302"/>
      <c r="B104" s="301"/>
      <c r="C104" s="40">
        <v>40348</v>
      </c>
      <c r="D104" s="49" t="s">
        <v>190</v>
      </c>
      <c r="E104" s="49" t="s">
        <v>258</v>
      </c>
      <c r="F104" s="49">
        <v>1</v>
      </c>
      <c r="G104" s="51">
        <v>2</v>
      </c>
      <c r="H104" s="5"/>
      <c r="I104" s="5" t="s">
        <v>398</v>
      </c>
      <c r="J104" s="5"/>
      <c r="K104" s="108"/>
      <c r="S104" s="117"/>
      <c r="T104" s="301"/>
      <c r="U104" s="301"/>
      <c r="V104" s="301"/>
      <c r="W104" s="287"/>
      <c r="X104" s="126"/>
      <c r="Y104" s="125"/>
    </row>
    <row r="105" spans="1:25" ht="15" thickBot="1" x14ac:dyDescent="0.35">
      <c r="A105" s="302"/>
      <c r="B105" s="301"/>
      <c r="C105" s="58"/>
      <c r="D105" s="79"/>
      <c r="E105" s="79"/>
      <c r="F105" s="79" t="s">
        <v>172</v>
      </c>
      <c r="G105" s="81" t="s">
        <v>183</v>
      </c>
      <c r="H105" s="8"/>
      <c r="I105" s="8"/>
      <c r="J105" s="5"/>
      <c r="K105" s="108"/>
      <c r="S105" s="117"/>
      <c r="T105" s="301"/>
      <c r="U105" s="301"/>
      <c r="V105" s="301"/>
      <c r="W105" s="287"/>
      <c r="X105" s="126"/>
      <c r="Y105" s="125"/>
    </row>
    <row r="106" spans="1:25" x14ac:dyDescent="0.3">
      <c r="A106" s="302"/>
      <c r="B106" s="301"/>
      <c r="C106" s="269">
        <v>40353</v>
      </c>
      <c r="D106" s="270" t="s">
        <v>258</v>
      </c>
      <c r="E106" s="270" t="s">
        <v>351</v>
      </c>
      <c r="F106" s="270">
        <v>1</v>
      </c>
      <c r="G106" s="271">
        <v>3</v>
      </c>
      <c r="H106" s="20"/>
      <c r="I106" s="20" t="s">
        <v>400</v>
      </c>
      <c r="J106" s="5"/>
      <c r="K106" s="108"/>
      <c r="S106" s="117"/>
      <c r="T106" s="301"/>
      <c r="U106" s="301"/>
      <c r="V106" s="301"/>
      <c r="W106" s="287"/>
      <c r="X106" s="126"/>
      <c r="Y106" s="125"/>
    </row>
    <row r="107" spans="1:25" ht="15" thickBot="1" x14ac:dyDescent="0.35">
      <c r="A107" s="302"/>
      <c r="B107" s="301"/>
      <c r="C107" s="58"/>
      <c r="D107" s="79"/>
      <c r="E107" s="79"/>
      <c r="F107" s="79" t="s">
        <v>170</v>
      </c>
      <c r="G107" s="81" t="s">
        <v>173</v>
      </c>
      <c r="H107" s="8"/>
      <c r="I107" s="8"/>
      <c r="J107" s="5"/>
      <c r="K107" s="108"/>
      <c r="S107" s="117"/>
      <c r="T107" s="301"/>
      <c r="U107" s="301"/>
      <c r="V107" s="301"/>
      <c r="W107" s="301"/>
      <c r="X107" s="126"/>
      <c r="Y107" s="125"/>
    </row>
    <row r="108" spans="1:25" x14ac:dyDescent="0.3">
      <c r="A108" s="302"/>
      <c r="B108" s="17"/>
      <c r="C108" s="40">
        <v>40353</v>
      </c>
      <c r="D108" s="43" t="s">
        <v>190</v>
      </c>
      <c r="E108" s="43" t="s">
        <v>63</v>
      </c>
      <c r="F108" s="49">
        <v>1</v>
      </c>
      <c r="G108" s="51">
        <v>2</v>
      </c>
      <c r="H108" s="5"/>
      <c r="I108" s="5" t="s">
        <v>397</v>
      </c>
      <c r="J108" s="5"/>
      <c r="K108" s="108"/>
      <c r="S108" s="117"/>
      <c r="T108" s="287"/>
      <c r="U108" s="287"/>
      <c r="V108" s="287"/>
      <c r="W108" s="287"/>
      <c r="X108" s="126"/>
      <c r="Y108" s="125"/>
    </row>
    <row r="109" spans="1:25" x14ac:dyDescent="0.3">
      <c r="A109" s="156"/>
      <c r="B109" s="17"/>
      <c r="C109" s="17"/>
      <c r="D109" s="43"/>
      <c r="E109" s="43"/>
      <c r="F109" s="49" t="s">
        <v>170</v>
      </c>
      <c r="G109" s="51" t="s">
        <v>183</v>
      </c>
      <c r="H109" s="5"/>
      <c r="I109" s="5"/>
      <c r="J109" s="5"/>
      <c r="K109" s="108"/>
      <c r="S109" s="117"/>
      <c r="T109" s="287"/>
      <c r="U109" s="287"/>
      <c r="V109" s="287"/>
      <c r="W109" s="287"/>
      <c r="X109" s="126"/>
      <c r="Y109" s="125"/>
    </row>
    <row r="110" spans="1:25" x14ac:dyDescent="0.3">
      <c r="A110" s="156"/>
      <c r="B110" s="17"/>
      <c r="C110" s="17"/>
      <c r="D110" s="17"/>
      <c r="E110" s="17"/>
      <c r="F110" s="301"/>
      <c r="G110" s="5"/>
      <c r="H110" s="5"/>
      <c r="I110" s="5"/>
      <c r="J110" s="5"/>
      <c r="K110" s="108"/>
      <c r="S110" s="117"/>
      <c r="T110" s="287"/>
      <c r="U110" s="287"/>
      <c r="V110" s="287"/>
      <c r="W110" s="287"/>
      <c r="X110" s="287"/>
      <c r="Y110" s="118"/>
    </row>
    <row r="111" spans="1:25" ht="15" thickBot="1" x14ac:dyDescent="0.35">
      <c r="A111" s="302"/>
      <c r="B111" s="301" t="s">
        <v>298</v>
      </c>
      <c r="C111" s="301" t="s">
        <v>12</v>
      </c>
      <c r="D111" s="301" t="s">
        <v>13</v>
      </c>
      <c r="E111" s="301" t="s">
        <v>14</v>
      </c>
      <c r="F111" s="301" t="s">
        <v>15</v>
      </c>
      <c r="G111" s="5" t="s">
        <v>24</v>
      </c>
      <c r="H111" s="5" t="s">
        <v>25</v>
      </c>
      <c r="I111" s="5" t="s">
        <v>301</v>
      </c>
      <c r="J111" s="5"/>
      <c r="K111" s="108"/>
      <c r="S111" s="117"/>
      <c r="T111" s="287"/>
      <c r="U111" s="287"/>
      <c r="V111" s="287"/>
      <c r="W111" s="287"/>
      <c r="X111" s="287"/>
      <c r="Y111" s="118"/>
    </row>
    <row r="112" spans="1:25" x14ac:dyDescent="0.3">
      <c r="A112" s="302" t="s">
        <v>113</v>
      </c>
      <c r="B112" s="14" t="s">
        <v>63</v>
      </c>
      <c r="C112" s="305">
        <v>3</v>
      </c>
      <c r="D112" s="305">
        <v>1</v>
      </c>
      <c r="E112" s="305">
        <v>1</v>
      </c>
      <c r="F112" s="305">
        <v>1</v>
      </c>
      <c r="G112" s="15">
        <v>3</v>
      </c>
      <c r="H112" s="15">
        <v>3</v>
      </c>
      <c r="I112" s="15">
        <v>4</v>
      </c>
      <c r="J112" s="86"/>
      <c r="K112" s="108"/>
      <c r="S112" s="117"/>
      <c r="T112" s="287"/>
      <c r="U112" s="287"/>
      <c r="V112" s="287"/>
      <c r="W112" s="287"/>
      <c r="X112" s="126"/>
      <c r="Y112" s="125"/>
    </row>
    <row r="113" spans="1:25" s="13" customFormat="1" x14ac:dyDescent="0.3">
      <c r="A113" s="302"/>
      <c r="B113" s="21" t="s">
        <v>258</v>
      </c>
      <c r="C113" s="17"/>
      <c r="D113" s="17"/>
      <c r="E113" s="17"/>
      <c r="F113" s="17"/>
      <c r="G113" s="18"/>
      <c r="H113" s="18"/>
      <c r="I113" s="18"/>
      <c r="J113" s="86"/>
      <c r="K113" s="108"/>
      <c r="S113" s="117"/>
      <c r="T113" s="287"/>
      <c r="U113" s="287"/>
      <c r="V113" s="287"/>
      <c r="W113" s="287"/>
      <c r="X113" s="126"/>
      <c r="Y113" s="125"/>
    </row>
    <row r="114" spans="1:25" s="13" customFormat="1" x14ac:dyDescent="0.3">
      <c r="A114" s="302"/>
      <c r="B114" s="3" t="s">
        <v>351</v>
      </c>
      <c r="C114" s="301"/>
      <c r="D114" s="301"/>
      <c r="E114" s="301"/>
      <c r="F114" s="301"/>
      <c r="G114" s="5"/>
      <c r="H114" s="5"/>
      <c r="I114" s="5"/>
      <c r="J114" s="87"/>
      <c r="K114" s="108"/>
      <c r="S114" s="117"/>
      <c r="T114" s="287"/>
      <c r="U114" s="287"/>
      <c r="V114" s="287"/>
      <c r="W114" s="287"/>
      <c r="X114" s="126"/>
      <c r="Y114" s="125"/>
    </row>
    <row r="115" spans="1:25" s="13" customFormat="1" ht="15" thickBot="1" x14ac:dyDescent="0.35">
      <c r="A115" s="302"/>
      <c r="B115" s="7" t="s">
        <v>190</v>
      </c>
      <c r="C115" s="304"/>
      <c r="D115" s="304"/>
      <c r="E115" s="304"/>
      <c r="F115" s="304"/>
      <c r="G115" s="8"/>
      <c r="H115" s="8"/>
      <c r="I115" s="8"/>
      <c r="J115" s="87"/>
      <c r="K115" s="108"/>
      <c r="S115" s="117"/>
      <c r="T115" s="287"/>
      <c r="U115" s="287"/>
      <c r="V115" s="287"/>
      <c r="W115" s="287"/>
      <c r="X115" s="126"/>
      <c r="Y115" s="125"/>
    </row>
    <row r="116" spans="1:25" ht="15" thickBot="1" x14ac:dyDescent="0.35">
      <c r="A116" s="110"/>
      <c r="B116" s="36"/>
      <c r="C116" s="36"/>
      <c r="D116" s="36"/>
      <c r="E116" s="36"/>
      <c r="F116" s="36"/>
      <c r="G116" s="37"/>
      <c r="H116" s="37"/>
      <c r="I116" s="37"/>
      <c r="J116" s="37"/>
      <c r="K116" s="193"/>
      <c r="S116" s="117"/>
      <c r="T116" s="287"/>
      <c r="U116" s="287"/>
      <c r="V116" s="287"/>
      <c r="W116" s="287"/>
      <c r="X116" s="126"/>
      <c r="Y116" s="125"/>
    </row>
    <row r="117" spans="1:25" ht="15" thickTop="1" x14ac:dyDescent="0.3">
      <c r="A117" s="106"/>
      <c r="B117" s="25"/>
      <c r="C117" s="25"/>
      <c r="D117" s="25"/>
      <c r="E117" s="25"/>
      <c r="F117" s="25"/>
      <c r="G117" s="26"/>
      <c r="H117" s="26"/>
      <c r="I117" s="26"/>
      <c r="J117" s="26"/>
      <c r="K117" s="108"/>
      <c r="S117" s="117"/>
      <c r="T117" s="287"/>
      <c r="U117" s="287"/>
      <c r="V117" s="287"/>
      <c r="W117" s="287"/>
      <c r="X117" s="126"/>
      <c r="Y117" s="125"/>
    </row>
    <row r="118" spans="1:25" ht="21" x14ac:dyDescent="0.4">
      <c r="A118" s="302"/>
      <c r="B118" s="301"/>
      <c r="C118" s="301"/>
      <c r="D118" s="301"/>
      <c r="E118" s="301"/>
      <c r="F118" s="300" t="s">
        <v>247</v>
      </c>
      <c r="G118" s="5"/>
      <c r="H118" s="5"/>
      <c r="I118" s="5"/>
      <c r="J118" s="5"/>
      <c r="K118" s="108"/>
      <c r="S118" s="117"/>
      <c r="T118" s="287"/>
      <c r="U118" s="287"/>
      <c r="V118" s="287"/>
      <c r="W118" s="287"/>
      <c r="X118" s="126"/>
      <c r="Y118" s="125"/>
    </row>
    <row r="119" spans="1:25" x14ac:dyDescent="0.3">
      <c r="A119" s="302"/>
      <c r="B119" s="301"/>
      <c r="C119" s="301"/>
      <c r="D119" s="301"/>
      <c r="E119" s="301"/>
      <c r="F119" s="28"/>
      <c r="G119" s="5"/>
      <c r="H119" s="5"/>
      <c r="I119" s="5"/>
      <c r="J119" s="5"/>
      <c r="K119" s="108"/>
      <c r="S119" s="117"/>
      <c r="T119" s="287"/>
      <c r="U119" s="287"/>
      <c r="V119" s="287"/>
      <c r="W119" s="287"/>
      <c r="X119" s="126"/>
      <c r="Y119" s="125"/>
    </row>
    <row r="120" spans="1:25" x14ac:dyDescent="0.3">
      <c r="A120" s="302"/>
      <c r="B120" s="301"/>
      <c r="C120" s="40">
        <v>40343</v>
      </c>
      <c r="D120" s="49" t="s">
        <v>37</v>
      </c>
      <c r="E120" s="49" t="s">
        <v>22</v>
      </c>
      <c r="F120" s="49">
        <v>1</v>
      </c>
      <c r="G120" s="51">
        <v>1</v>
      </c>
      <c r="H120" s="5"/>
      <c r="I120" s="5" t="s">
        <v>397</v>
      </c>
      <c r="J120" s="5"/>
      <c r="K120" s="108"/>
      <c r="S120" s="117" t="s">
        <v>37</v>
      </c>
      <c r="T120" s="287" t="s">
        <v>22</v>
      </c>
      <c r="U120" s="287">
        <v>1</v>
      </c>
      <c r="V120" s="287">
        <v>1</v>
      </c>
      <c r="W120" s="287"/>
      <c r="X120" s="126">
        <f t="shared" ref="X120:X122" si="18">(IF(U120&gt;V120,3,IF(U120=V120,1,2)))</f>
        <v>1</v>
      </c>
      <c r="Y120" s="125">
        <f t="shared" ref="Y120:Y122" si="19">(IF(V120&gt;U120,3,IF(U120=V120,1,2)))</f>
        <v>1</v>
      </c>
    </row>
    <row r="121" spans="1:25" ht="15" thickBot="1" x14ac:dyDescent="0.35">
      <c r="A121" s="302"/>
      <c r="B121" s="301"/>
      <c r="C121" s="58"/>
      <c r="D121" s="79"/>
      <c r="E121" s="79"/>
      <c r="F121" s="79" t="s">
        <v>170</v>
      </c>
      <c r="G121" s="81" t="s">
        <v>183</v>
      </c>
      <c r="H121" s="8"/>
      <c r="I121" s="8"/>
      <c r="J121" s="5"/>
      <c r="K121" s="108"/>
      <c r="S121" s="117" t="s">
        <v>205</v>
      </c>
      <c r="T121" s="301" t="s">
        <v>410</v>
      </c>
      <c r="U121" s="301">
        <v>1</v>
      </c>
      <c r="V121" s="301">
        <v>1</v>
      </c>
      <c r="W121" s="287"/>
      <c r="X121" s="126">
        <f t="shared" si="18"/>
        <v>1</v>
      </c>
      <c r="Y121" s="125">
        <f t="shared" si="19"/>
        <v>1</v>
      </c>
    </row>
    <row r="122" spans="1:25" s="13" customFormat="1" x14ac:dyDescent="0.3">
      <c r="A122" s="302"/>
      <c r="B122" s="301"/>
      <c r="C122" s="40">
        <v>40344</v>
      </c>
      <c r="D122" s="49" t="s">
        <v>205</v>
      </c>
      <c r="E122" s="49" t="s">
        <v>410</v>
      </c>
      <c r="F122" s="49">
        <v>1</v>
      </c>
      <c r="G122" s="51">
        <v>1</v>
      </c>
      <c r="H122" s="5"/>
      <c r="I122" s="5" t="s">
        <v>400</v>
      </c>
      <c r="J122" s="5"/>
      <c r="K122" s="108"/>
      <c r="S122" s="117" t="s">
        <v>410</v>
      </c>
      <c r="T122" s="301" t="s">
        <v>22</v>
      </c>
      <c r="U122" s="301">
        <v>0</v>
      </c>
      <c r="V122" s="301">
        <v>2</v>
      </c>
      <c r="W122" s="287"/>
      <c r="X122" s="126">
        <f t="shared" si="18"/>
        <v>2</v>
      </c>
      <c r="Y122" s="125">
        <f t="shared" si="19"/>
        <v>3</v>
      </c>
    </row>
    <row r="123" spans="1:25" s="13" customFormat="1" ht="15" thickBot="1" x14ac:dyDescent="0.35">
      <c r="A123" s="302"/>
      <c r="B123" s="301"/>
      <c r="C123" s="58"/>
      <c r="D123" s="79"/>
      <c r="E123" s="79"/>
      <c r="F123" s="79" t="s">
        <v>170</v>
      </c>
      <c r="G123" s="81" t="s">
        <v>171</v>
      </c>
      <c r="H123" s="8"/>
      <c r="I123" s="8"/>
      <c r="J123" s="5"/>
      <c r="K123" s="108"/>
      <c r="S123" s="117" t="s">
        <v>37</v>
      </c>
      <c r="T123" s="301" t="s">
        <v>205</v>
      </c>
      <c r="U123" s="301">
        <v>1</v>
      </c>
      <c r="V123" s="301">
        <v>1</v>
      </c>
      <c r="W123" s="287"/>
      <c r="X123" s="126">
        <f t="shared" ref="X123:X125" si="20">(IF(U123&gt;V123,3,IF(U123=V123,1,2)))</f>
        <v>1</v>
      </c>
      <c r="Y123" s="125">
        <f t="shared" ref="Y123:Y125" si="21">(IF(V123&gt;U123,3,IF(U123=V123,1,2)))</f>
        <v>1</v>
      </c>
    </row>
    <row r="124" spans="1:25" s="13" customFormat="1" x14ac:dyDescent="0.3">
      <c r="A124" s="302"/>
      <c r="B124" s="301"/>
      <c r="C124" s="40">
        <v>40349</v>
      </c>
      <c r="D124" s="49" t="s">
        <v>410</v>
      </c>
      <c r="E124" s="49" t="s">
        <v>22</v>
      </c>
      <c r="F124" s="49">
        <v>0</v>
      </c>
      <c r="G124" s="51">
        <v>2</v>
      </c>
      <c r="H124" s="5"/>
      <c r="I124" s="5" t="s">
        <v>401</v>
      </c>
      <c r="J124" s="5"/>
      <c r="K124" s="108"/>
      <c r="S124" s="122" t="s">
        <v>410</v>
      </c>
      <c r="T124" s="17" t="s">
        <v>37</v>
      </c>
      <c r="U124" s="17">
        <v>3</v>
      </c>
      <c r="V124" s="17">
        <v>2</v>
      </c>
      <c r="W124" s="287"/>
      <c r="X124" s="126">
        <f t="shared" si="20"/>
        <v>3</v>
      </c>
      <c r="Y124" s="125">
        <f t="shared" si="21"/>
        <v>2</v>
      </c>
    </row>
    <row r="125" spans="1:25" ht="15" thickBot="1" x14ac:dyDescent="0.35">
      <c r="A125" s="302"/>
      <c r="B125" s="301"/>
      <c r="C125" s="58"/>
      <c r="D125" s="79"/>
      <c r="E125" s="79"/>
      <c r="F125" s="79" t="s">
        <v>170</v>
      </c>
      <c r="G125" s="81" t="s">
        <v>183</v>
      </c>
      <c r="H125" s="8"/>
      <c r="I125" s="8"/>
      <c r="J125" s="5"/>
      <c r="K125" s="108"/>
      <c r="S125" s="117" t="s">
        <v>22</v>
      </c>
      <c r="T125" s="301" t="s">
        <v>205</v>
      </c>
      <c r="U125" s="301">
        <v>0</v>
      </c>
      <c r="V125" s="301">
        <v>0</v>
      </c>
      <c r="W125" s="287"/>
      <c r="X125" s="126">
        <f t="shared" si="20"/>
        <v>1</v>
      </c>
      <c r="Y125" s="125">
        <f t="shared" si="21"/>
        <v>1</v>
      </c>
    </row>
    <row r="126" spans="1:25" x14ac:dyDescent="0.3">
      <c r="A126" s="302"/>
      <c r="B126" s="301"/>
      <c r="C126" s="40">
        <v>40349</v>
      </c>
      <c r="D126" s="49" t="s">
        <v>37</v>
      </c>
      <c r="E126" s="49" t="s">
        <v>205</v>
      </c>
      <c r="F126" s="49">
        <v>1</v>
      </c>
      <c r="G126" s="51">
        <v>1</v>
      </c>
      <c r="H126" s="5"/>
      <c r="I126" s="5" t="s">
        <v>409</v>
      </c>
      <c r="J126" s="5"/>
      <c r="K126" s="108"/>
      <c r="S126" s="117"/>
      <c r="T126" s="301"/>
      <c r="U126" s="301"/>
      <c r="V126" s="301"/>
      <c r="W126" s="287"/>
      <c r="X126" s="126"/>
      <c r="Y126" s="125"/>
    </row>
    <row r="127" spans="1:25" ht="15" thickBot="1" x14ac:dyDescent="0.35">
      <c r="A127" s="302"/>
      <c r="B127" s="301"/>
      <c r="C127" s="58"/>
      <c r="D127" s="79"/>
      <c r="E127" s="79"/>
      <c r="F127" s="79" t="s">
        <v>172</v>
      </c>
      <c r="G127" s="81" t="s">
        <v>183</v>
      </c>
      <c r="H127" s="8"/>
      <c r="I127" s="8"/>
      <c r="J127" s="5"/>
      <c r="K127" s="108"/>
      <c r="S127" s="117"/>
      <c r="T127" s="301"/>
      <c r="U127" s="301"/>
      <c r="V127" s="301"/>
      <c r="W127" s="287"/>
      <c r="X127" s="126"/>
      <c r="Y127" s="125"/>
    </row>
    <row r="128" spans="1:25" x14ac:dyDescent="0.3">
      <c r="A128" s="302"/>
      <c r="B128" s="301"/>
      <c r="C128" s="40">
        <v>40353</v>
      </c>
      <c r="D128" s="49" t="s">
        <v>410</v>
      </c>
      <c r="E128" s="49" t="s">
        <v>37</v>
      </c>
      <c r="F128" s="49">
        <v>3</v>
      </c>
      <c r="G128" s="51">
        <v>2</v>
      </c>
      <c r="H128" s="5"/>
      <c r="I128" s="5" t="s">
        <v>396</v>
      </c>
      <c r="J128" s="5"/>
      <c r="K128" s="108"/>
      <c r="S128" s="117"/>
      <c r="T128" s="301"/>
      <c r="U128" s="301"/>
      <c r="V128" s="301"/>
      <c r="W128" s="95"/>
      <c r="X128" s="95"/>
      <c r="Y128" s="169"/>
    </row>
    <row r="129" spans="1:25" ht="15" thickBot="1" x14ac:dyDescent="0.35">
      <c r="A129" s="302"/>
      <c r="B129" s="301"/>
      <c r="C129" s="58"/>
      <c r="D129" s="79"/>
      <c r="E129" s="79"/>
      <c r="F129" s="79" t="s">
        <v>172</v>
      </c>
      <c r="G129" s="81" t="s">
        <v>171</v>
      </c>
      <c r="H129" s="8"/>
      <c r="I129" s="8" t="s">
        <v>407</v>
      </c>
      <c r="J129" s="5"/>
      <c r="K129" s="108"/>
      <c r="S129" s="117"/>
      <c r="T129" s="301"/>
      <c r="U129" s="301"/>
      <c r="V129" s="301"/>
      <c r="W129" s="287"/>
      <c r="X129" s="126"/>
      <c r="Y129" s="125"/>
    </row>
    <row r="130" spans="1:25" x14ac:dyDescent="0.3">
      <c r="A130" s="302"/>
      <c r="B130" s="17"/>
      <c r="C130" s="40">
        <v>40353</v>
      </c>
      <c r="D130" s="43" t="s">
        <v>22</v>
      </c>
      <c r="E130" s="43" t="s">
        <v>205</v>
      </c>
      <c r="F130" s="49">
        <v>0</v>
      </c>
      <c r="G130" s="51">
        <v>0</v>
      </c>
      <c r="H130" s="5"/>
      <c r="I130" s="5" t="s">
        <v>399</v>
      </c>
      <c r="J130" s="5"/>
      <c r="K130" s="108"/>
      <c r="S130" s="117"/>
      <c r="T130" s="287"/>
      <c r="U130" s="287"/>
      <c r="V130" s="287"/>
      <c r="W130" s="287"/>
      <c r="X130" s="126"/>
      <c r="Y130" s="125"/>
    </row>
    <row r="131" spans="1:25" x14ac:dyDescent="0.3">
      <c r="A131" s="156"/>
      <c r="B131" s="17"/>
      <c r="C131" s="17"/>
      <c r="D131" s="17"/>
      <c r="E131" s="17"/>
      <c r="F131" s="301"/>
      <c r="G131" s="5"/>
      <c r="H131" s="5"/>
      <c r="I131" s="5"/>
      <c r="J131" s="5"/>
      <c r="K131" s="108"/>
      <c r="S131" s="117"/>
      <c r="T131" s="287"/>
      <c r="U131" s="287"/>
      <c r="V131" s="287"/>
      <c r="W131" s="287"/>
      <c r="X131" s="126"/>
      <c r="Y131" s="125"/>
    </row>
    <row r="132" spans="1:25" s="13" customFormat="1" ht="15" thickBot="1" x14ac:dyDescent="0.35">
      <c r="A132" s="302"/>
      <c r="B132" s="301" t="s">
        <v>298</v>
      </c>
      <c r="C132" s="301" t="s">
        <v>12</v>
      </c>
      <c r="D132" s="301" t="s">
        <v>13</v>
      </c>
      <c r="E132" s="301" t="s">
        <v>14</v>
      </c>
      <c r="F132" s="301" t="s">
        <v>15</v>
      </c>
      <c r="G132" s="5" t="s">
        <v>24</v>
      </c>
      <c r="H132" s="5" t="s">
        <v>25</v>
      </c>
      <c r="I132" s="5" t="s">
        <v>301</v>
      </c>
      <c r="J132" s="5"/>
      <c r="K132" s="108"/>
      <c r="S132" s="117"/>
      <c r="T132" s="287"/>
      <c r="U132" s="287"/>
      <c r="V132" s="287"/>
      <c r="W132" s="287"/>
      <c r="X132" s="126"/>
      <c r="Y132" s="125"/>
    </row>
    <row r="133" spans="1:25" s="13" customFormat="1" x14ac:dyDescent="0.3">
      <c r="A133" s="302" t="s">
        <v>113</v>
      </c>
      <c r="B133" s="14" t="s">
        <v>37</v>
      </c>
      <c r="C133" s="305">
        <v>3</v>
      </c>
      <c r="D133" s="305">
        <v>2</v>
      </c>
      <c r="E133" s="305">
        <v>0</v>
      </c>
      <c r="F133" s="305">
        <v>1</v>
      </c>
      <c r="G133" s="15">
        <v>4</v>
      </c>
      <c r="H133" s="15">
        <v>3</v>
      </c>
      <c r="I133" s="15">
        <v>6</v>
      </c>
      <c r="J133" s="86"/>
      <c r="K133" s="108"/>
      <c r="S133" s="168"/>
      <c r="T133" s="95"/>
      <c r="U133" s="95"/>
      <c r="V133" s="95"/>
      <c r="W133" s="95"/>
      <c r="X133" s="95"/>
      <c r="Y133" s="169"/>
    </row>
    <row r="134" spans="1:25" s="13" customFormat="1" x14ac:dyDescent="0.3">
      <c r="A134" s="302"/>
      <c r="B134" s="21" t="s">
        <v>22</v>
      </c>
      <c r="C134" s="17"/>
      <c r="D134" s="17"/>
      <c r="E134" s="17"/>
      <c r="F134" s="17"/>
      <c r="G134" s="18"/>
      <c r="H134" s="18"/>
      <c r="I134" s="18"/>
      <c r="J134" s="86"/>
      <c r="K134" s="108"/>
      <c r="S134" s="168"/>
      <c r="T134" s="95"/>
      <c r="U134" s="95"/>
      <c r="V134" s="95"/>
      <c r="W134" s="95"/>
      <c r="X134" s="95"/>
      <c r="Y134" s="169"/>
    </row>
    <row r="135" spans="1:25" x14ac:dyDescent="0.3">
      <c r="A135" s="302"/>
      <c r="B135" s="3" t="s">
        <v>205</v>
      </c>
      <c r="C135" s="301"/>
      <c r="D135" s="301"/>
      <c r="E135" s="301"/>
      <c r="F135" s="301"/>
      <c r="G135" s="5"/>
      <c r="H135" s="5"/>
      <c r="I135" s="5"/>
      <c r="J135" s="87"/>
      <c r="K135" s="108"/>
      <c r="S135" s="117"/>
      <c r="T135" s="287"/>
      <c r="U135" s="287"/>
      <c r="V135" s="287"/>
      <c r="W135" s="287"/>
      <c r="X135" s="126"/>
      <c r="Y135" s="125"/>
    </row>
    <row r="136" spans="1:25" ht="15" thickBot="1" x14ac:dyDescent="0.35">
      <c r="A136" s="302"/>
      <c r="B136" s="7" t="s">
        <v>410</v>
      </c>
      <c r="C136" s="304"/>
      <c r="D136" s="304"/>
      <c r="E136" s="304"/>
      <c r="F136" s="304"/>
      <c r="G136" s="8"/>
      <c r="H136" s="8"/>
      <c r="I136" s="8"/>
      <c r="J136" s="87"/>
      <c r="K136" s="108"/>
      <c r="S136" s="117"/>
      <c r="T136" s="287"/>
      <c r="U136" s="287"/>
      <c r="V136" s="287"/>
      <c r="W136" s="287"/>
      <c r="X136" s="126"/>
      <c r="Y136" s="125"/>
    </row>
    <row r="137" spans="1:25" s="13" customFormat="1" ht="15" thickBot="1" x14ac:dyDescent="0.35">
      <c r="A137" s="110"/>
      <c r="B137" s="36"/>
      <c r="C137" s="36"/>
      <c r="D137" s="36"/>
      <c r="E137" s="36"/>
      <c r="F137" s="36"/>
      <c r="G137" s="37"/>
      <c r="H137" s="37"/>
      <c r="I137" s="37"/>
      <c r="J137" s="37"/>
      <c r="K137" s="193"/>
      <c r="S137" s="117"/>
      <c r="T137" s="287"/>
      <c r="U137" s="287"/>
      <c r="V137" s="287"/>
      <c r="W137" s="287"/>
      <c r="X137" s="126"/>
      <c r="Y137" s="125"/>
    </row>
    <row r="138" spans="1:25" ht="15" thickTop="1" x14ac:dyDescent="0.3">
      <c r="A138" s="106"/>
      <c r="B138" s="25"/>
      <c r="C138" s="25"/>
      <c r="D138" s="25"/>
      <c r="E138" s="25"/>
      <c r="F138" s="25"/>
      <c r="G138" s="26"/>
      <c r="H138" s="26"/>
      <c r="I138" s="26"/>
      <c r="J138" s="26"/>
      <c r="K138" s="108"/>
      <c r="S138" s="117"/>
      <c r="T138" s="287"/>
      <c r="U138" s="287"/>
      <c r="V138" s="287"/>
      <c r="W138" s="287"/>
      <c r="X138" s="126"/>
      <c r="Y138" s="125"/>
    </row>
    <row r="139" spans="1:25" ht="21" x14ac:dyDescent="0.4">
      <c r="A139" s="302"/>
      <c r="B139" s="301"/>
      <c r="C139" s="301"/>
      <c r="D139" s="301"/>
      <c r="E139" s="301"/>
      <c r="F139" s="300" t="s">
        <v>349</v>
      </c>
      <c r="G139" s="5"/>
      <c r="H139" s="5"/>
      <c r="I139" s="5"/>
      <c r="J139" s="5"/>
      <c r="K139" s="108"/>
      <c r="S139" s="117"/>
      <c r="T139" s="287"/>
      <c r="U139" s="287"/>
      <c r="V139" s="287"/>
      <c r="W139" s="287"/>
      <c r="X139" s="126"/>
      <c r="Y139" s="125"/>
    </row>
    <row r="140" spans="1:25" x14ac:dyDescent="0.3">
      <c r="A140" s="302"/>
      <c r="B140" s="301"/>
      <c r="C140" s="301"/>
      <c r="D140" s="301"/>
      <c r="E140" s="301"/>
      <c r="F140" s="28"/>
      <c r="G140" s="5"/>
      <c r="H140" s="5"/>
      <c r="I140" s="5"/>
      <c r="J140" s="5"/>
      <c r="K140" s="108"/>
      <c r="S140" s="117"/>
      <c r="T140" s="287"/>
      <c r="U140" s="287"/>
      <c r="V140" s="287"/>
      <c r="W140" s="287"/>
      <c r="X140" s="126"/>
      <c r="Y140" s="125"/>
    </row>
    <row r="141" spans="1:25" ht="15" thickBot="1" x14ac:dyDescent="0.35">
      <c r="A141" s="302"/>
      <c r="B141" s="301"/>
      <c r="C141" s="58">
        <v>40344</v>
      </c>
      <c r="D141" s="79" t="s">
        <v>385</v>
      </c>
      <c r="E141" s="79" t="s">
        <v>133</v>
      </c>
      <c r="F141" s="79">
        <v>0</v>
      </c>
      <c r="G141" s="81">
        <v>0</v>
      </c>
      <c r="H141" s="8"/>
      <c r="I141" s="8" t="s">
        <v>402</v>
      </c>
      <c r="J141" s="5"/>
      <c r="K141" s="108"/>
      <c r="S141" s="117" t="s">
        <v>385</v>
      </c>
      <c r="T141" s="287" t="s">
        <v>133</v>
      </c>
      <c r="U141" s="287">
        <v>0</v>
      </c>
      <c r="V141" s="287">
        <v>0</v>
      </c>
      <c r="W141" s="287"/>
      <c r="X141" s="126">
        <f t="shared" ref="X141" si="22">(IF(U141&gt;V141,3,IF(U141=V141,1,2)))</f>
        <v>1</v>
      </c>
      <c r="Y141" s="125">
        <f t="shared" ref="Y141" si="23">(IF(V141&gt;U141,3,IF(U141=V141,1,2)))</f>
        <v>1</v>
      </c>
    </row>
    <row r="142" spans="1:25" s="13" customFormat="1" x14ac:dyDescent="0.3">
      <c r="A142" s="302"/>
      <c r="B142" s="301"/>
      <c r="C142" s="40">
        <v>40344</v>
      </c>
      <c r="D142" s="49" t="s">
        <v>9</v>
      </c>
      <c r="E142" s="49" t="s">
        <v>136</v>
      </c>
      <c r="F142" s="49">
        <v>2</v>
      </c>
      <c r="G142" s="51">
        <v>1</v>
      </c>
      <c r="H142" s="5"/>
      <c r="I142" s="5" t="s">
        <v>396</v>
      </c>
      <c r="J142" s="5"/>
      <c r="K142" s="108"/>
      <c r="S142" s="117" t="s">
        <v>9</v>
      </c>
      <c r="T142" s="287" t="s">
        <v>136</v>
      </c>
      <c r="U142" s="287">
        <v>2</v>
      </c>
      <c r="V142" s="287">
        <v>1</v>
      </c>
      <c r="W142" s="287"/>
      <c r="X142" s="126">
        <f t="shared" ref="X142:X146" si="24">(IF(U142&gt;V142,3,IF(U142=V142,1,2)))</f>
        <v>3</v>
      </c>
      <c r="Y142" s="125">
        <f t="shared" ref="Y142:Y146" si="25">(IF(V142&gt;U142,3,IF(U142=V142,1,2)))</f>
        <v>2</v>
      </c>
    </row>
    <row r="143" spans="1:25" s="13" customFormat="1" ht="15" thickBot="1" x14ac:dyDescent="0.35">
      <c r="A143" s="302"/>
      <c r="B143" s="301"/>
      <c r="C143" s="58"/>
      <c r="D143" s="79"/>
      <c r="E143" s="79"/>
      <c r="F143" s="79" t="s">
        <v>170</v>
      </c>
      <c r="G143" s="81" t="s">
        <v>171</v>
      </c>
      <c r="H143" s="8"/>
      <c r="I143" s="8" t="s">
        <v>407</v>
      </c>
      <c r="J143" s="5"/>
      <c r="K143" s="108"/>
      <c r="S143" s="117" t="s">
        <v>9</v>
      </c>
      <c r="T143" s="301" t="s">
        <v>385</v>
      </c>
      <c r="U143" s="301">
        <v>3</v>
      </c>
      <c r="V143" s="301">
        <v>1</v>
      </c>
      <c r="W143" s="287"/>
      <c r="X143" s="126">
        <f t="shared" si="24"/>
        <v>3</v>
      </c>
      <c r="Y143" s="125">
        <f t="shared" si="25"/>
        <v>2</v>
      </c>
    </row>
    <row r="144" spans="1:25" s="13" customFormat="1" x14ac:dyDescent="0.3">
      <c r="A144" s="302"/>
      <c r="B144" s="301"/>
      <c r="C144" s="40">
        <v>40349</v>
      </c>
      <c r="D144" s="49" t="s">
        <v>9</v>
      </c>
      <c r="E144" s="49" t="s">
        <v>385</v>
      </c>
      <c r="F144" s="49">
        <v>3</v>
      </c>
      <c r="G144" s="51">
        <v>1</v>
      </c>
      <c r="H144" s="5"/>
      <c r="I144" s="5" t="s">
        <v>396</v>
      </c>
      <c r="J144" s="5"/>
      <c r="K144" s="108"/>
      <c r="S144" s="117" t="s">
        <v>133</v>
      </c>
      <c r="T144" s="301" t="s">
        <v>136</v>
      </c>
      <c r="U144" s="301">
        <v>7</v>
      </c>
      <c r="V144" s="301">
        <v>0</v>
      </c>
      <c r="W144" s="287"/>
      <c r="X144" s="126">
        <f t="shared" si="24"/>
        <v>3</v>
      </c>
      <c r="Y144" s="125">
        <f t="shared" si="25"/>
        <v>2</v>
      </c>
    </row>
    <row r="145" spans="1:25" ht="15" thickBot="1" x14ac:dyDescent="0.35">
      <c r="A145" s="302"/>
      <c r="B145" s="301"/>
      <c r="C145" s="58"/>
      <c r="D145" s="79"/>
      <c r="E145" s="79"/>
      <c r="F145" s="79" t="s">
        <v>172</v>
      </c>
      <c r="G145" s="81" t="s">
        <v>171</v>
      </c>
      <c r="H145" s="8"/>
      <c r="I145" s="8" t="s">
        <v>405</v>
      </c>
      <c r="J145" s="5"/>
      <c r="K145" s="108"/>
      <c r="S145" s="122" t="s">
        <v>133</v>
      </c>
      <c r="T145" s="17" t="s">
        <v>9</v>
      </c>
      <c r="U145" s="17">
        <v>0</v>
      </c>
      <c r="V145" s="17">
        <v>0</v>
      </c>
      <c r="W145" s="287"/>
      <c r="X145" s="126">
        <f t="shared" si="24"/>
        <v>1</v>
      </c>
      <c r="Y145" s="125">
        <f t="shared" si="25"/>
        <v>1</v>
      </c>
    </row>
    <row r="146" spans="1:25" x14ac:dyDescent="0.3">
      <c r="A146" s="302"/>
      <c r="B146" s="301"/>
      <c r="C146" s="40">
        <v>40350</v>
      </c>
      <c r="D146" s="49" t="s">
        <v>133</v>
      </c>
      <c r="E146" s="49" t="s">
        <v>136</v>
      </c>
      <c r="F146" s="49">
        <v>7</v>
      </c>
      <c r="G146" s="51">
        <v>0</v>
      </c>
      <c r="H146" s="5"/>
      <c r="I146" s="5" t="s">
        <v>397</v>
      </c>
      <c r="J146" s="5"/>
      <c r="K146" s="108"/>
      <c r="S146" s="117" t="s">
        <v>136</v>
      </c>
      <c r="T146" s="301" t="s">
        <v>385</v>
      </c>
      <c r="U146" s="301">
        <v>0</v>
      </c>
      <c r="V146" s="301">
        <v>3</v>
      </c>
      <c r="W146" s="287"/>
      <c r="X146" s="126">
        <f t="shared" si="24"/>
        <v>2</v>
      </c>
      <c r="Y146" s="125">
        <f t="shared" si="25"/>
        <v>3</v>
      </c>
    </row>
    <row r="147" spans="1:25" ht="15" thickBot="1" x14ac:dyDescent="0.35">
      <c r="A147" s="302"/>
      <c r="B147" s="301"/>
      <c r="C147" s="58"/>
      <c r="D147" s="79"/>
      <c r="E147" s="79"/>
      <c r="F147" s="79" t="s">
        <v>172</v>
      </c>
      <c r="G147" s="81" t="s">
        <v>171</v>
      </c>
      <c r="H147" s="8"/>
      <c r="I147" s="8"/>
      <c r="J147" s="5"/>
      <c r="K147" s="108"/>
      <c r="S147" s="117"/>
      <c r="T147" s="301"/>
      <c r="U147" s="301"/>
      <c r="V147" s="301"/>
      <c r="W147" s="287"/>
      <c r="X147" s="126"/>
      <c r="Y147" s="125"/>
    </row>
    <row r="148" spans="1:25" ht="15" thickBot="1" x14ac:dyDescent="0.35">
      <c r="A148" s="302"/>
      <c r="B148" s="301"/>
      <c r="C148" s="88">
        <v>40354</v>
      </c>
      <c r="D148" s="89" t="s">
        <v>133</v>
      </c>
      <c r="E148" s="89" t="s">
        <v>9</v>
      </c>
      <c r="F148" s="89">
        <v>0</v>
      </c>
      <c r="G148" s="90">
        <v>0</v>
      </c>
      <c r="H148" s="91"/>
      <c r="I148" s="91" t="s">
        <v>404</v>
      </c>
      <c r="J148" s="5"/>
      <c r="K148" s="108"/>
      <c r="S148" s="117"/>
      <c r="T148" s="301"/>
      <c r="U148" s="301"/>
      <c r="V148" s="301"/>
      <c r="W148" s="95"/>
      <c r="X148" s="95"/>
      <c r="Y148" s="169"/>
    </row>
    <row r="149" spans="1:25" x14ac:dyDescent="0.3">
      <c r="A149" s="302"/>
      <c r="B149" s="17"/>
      <c r="C149" s="40">
        <v>40354</v>
      </c>
      <c r="D149" s="43" t="s">
        <v>136</v>
      </c>
      <c r="E149" s="43" t="s">
        <v>385</v>
      </c>
      <c r="F149" s="49">
        <v>0</v>
      </c>
      <c r="G149" s="51">
        <v>3</v>
      </c>
      <c r="H149" s="5"/>
      <c r="I149" s="5" t="s">
        <v>409</v>
      </c>
      <c r="J149" s="5"/>
      <c r="K149" s="108"/>
      <c r="S149" s="117"/>
      <c r="T149" s="287"/>
      <c r="U149" s="287"/>
      <c r="V149" s="287"/>
      <c r="W149" s="287"/>
      <c r="X149" s="126"/>
      <c r="Y149" s="125"/>
    </row>
    <row r="150" spans="1:25" x14ac:dyDescent="0.3">
      <c r="A150" s="156"/>
      <c r="B150" s="17"/>
      <c r="C150" s="17"/>
      <c r="D150" s="43"/>
      <c r="E150" s="43"/>
      <c r="F150" s="49" t="s">
        <v>170</v>
      </c>
      <c r="G150" s="51" t="s">
        <v>173</v>
      </c>
      <c r="H150" s="5"/>
      <c r="I150" s="5"/>
      <c r="J150" s="5"/>
      <c r="K150" s="108"/>
      <c r="S150" s="117"/>
      <c r="T150" s="287"/>
      <c r="U150" s="287"/>
      <c r="V150" s="287"/>
      <c r="W150" s="287"/>
      <c r="X150" s="126"/>
      <c r="Y150" s="125"/>
    </row>
    <row r="151" spans="1:25" x14ac:dyDescent="0.3">
      <c r="A151" s="156"/>
      <c r="B151" s="17"/>
      <c r="C151" s="17"/>
      <c r="D151" s="17"/>
      <c r="E151" s="17"/>
      <c r="F151" s="301"/>
      <c r="G151" s="5"/>
      <c r="H151" s="5"/>
      <c r="I151" s="5"/>
      <c r="J151" s="5"/>
      <c r="K151" s="108"/>
      <c r="S151" s="117"/>
      <c r="T151" s="287"/>
      <c r="U151" s="287"/>
      <c r="V151" s="287"/>
      <c r="W151" s="287"/>
      <c r="X151" s="126"/>
      <c r="Y151" s="125"/>
    </row>
    <row r="152" spans="1:25" s="13" customFormat="1" ht="15" thickBot="1" x14ac:dyDescent="0.35">
      <c r="A152" s="302"/>
      <c r="B152" s="301" t="s">
        <v>298</v>
      </c>
      <c r="C152" s="301" t="s">
        <v>12</v>
      </c>
      <c r="D152" s="301" t="s">
        <v>13</v>
      </c>
      <c r="E152" s="301" t="s">
        <v>14</v>
      </c>
      <c r="F152" s="301" t="s">
        <v>15</v>
      </c>
      <c r="G152" s="5" t="s">
        <v>24</v>
      </c>
      <c r="H152" s="5" t="s">
        <v>25</v>
      </c>
      <c r="I152" s="5" t="s">
        <v>301</v>
      </c>
      <c r="J152" s="5"/>
      <c r="K152" s="108"/>
      <c r="S152" s="117"/>
      <c r="T152" s="287"/>
      <c r="U152" s="287"/>
      <c r="V152" s="287"/>
      <c r="W152" s="287"/>
      <c r="X152" s="126"/>
      <c r="Y152" s="125"/>
    </row>
    <row r="153" spans="1:25" s="13" customFormat="1" x14ac:dyDescent="0.3">
      <c r="A153" s="302" t="s">
        <v>113</v>
      </c>
      <c r="B153" s="14" t="s">
        <v>385</v>
      </c>
      <c r="C153" s="305">
        <v>3</v>
      </c>
      <c r="D153" s="305">
        <v>2</v>
      </c>
      <c r="E153" s="305">
        <v>0</v>
      </c>
      <c r="F153" s="305">
        <v>1</v>
      </c>
      <c r="G153" s="15">
        <v>4</v>
      </c>
      <c r="H153" s="15">
        <v>3</v>
      </c>
      <c r="I153" s="15">
        <v>6</v>
      </c>
      <c r="J153" s="86"/>
      <c r="K153" s="108"/>
      <c r="S153" s="168"/>
      <c r="T153" s="95"/>
      <c r="U153" s="95"/>
      <c r="V153" s="95"/>
      <c r="W153" s="95"/>
      <c r="X153" s="95"/>
      <c r="Y153" s="169"/>
    </row>
    <row r="154" spans="1:25" s="13" customFormat="1" x14ac:dyDescent="0.3">
      <c r="A154" s="302"/>
      <c r="B154" s="21" t="s">
        <v>133</v>
      </c>
      <c r="C154" s="17"/>
      <c r="D154" s="17"/>
      <c r="E154" s="17"/>
      <c r="F154" s="17"/>
      <c r="G154" s="18"/>
      <c r="H154" s="18"/>
      <c r="I154" s="18"/>
      <c r="J154" s="86"/>
      <c r="K154" s="108"/>
      <c r="S154" s="168"/>
      <c r="T154" s="95"/>
      <c r="U154" s="95"/>
      <c r="V154" s="95"/>
      <c r="W154" s="95"/>
      <c r="X154" s="95"/>
      <c r="Y154" s="169"/>
    </row>
    <row r="155" spans="1:25" x14ac:dyDescent="0.3">
      <c r="A155" s="302"/>
      <c r="B155" s="3" t="s">
        <v>9</v>
      </c>
      <c r="C155" s="301"/>
      <c r="D155" s="301"/>
      <c r="E155" s="301"/>
      <c r="F155" s="301"/>
      <c r="G155" s="5"/>
      <c r="H155" s="5"/>
      <c r="I155" s="5"/>
      <c r="J155" s="87"/>
      <c r="K155" s="108"/>
      <c r="S155" s="117"/>
      <c r="T155" s="287"/>
      <c r="U155" s="287"/>
      <c r="V155" s="287"/>
      <c r="W155" s="287"/>
      <c r="X155" s="126"/>
      <c r="Y155" s="125"/>
    </row>
    <row r="156" spans="1:25" ht="15" thickBot="1" x14ac:dyDescent="0.35">
      <c r="A156" s="302"/>
      <c r="B156" s="7" t="s">
        <v>136</v>
      </c>
      <c r="C156" s="304"/>
      <c r="D156" s="304"/>
      <c r="E156" s="304"/>
      <c r="F156" s="304"/>
      <c r="G156" s="8"/>
      <c r="H156" s="8"/>
      <c r="I156" s="8"/>
      <c r="J156" s="87"/>
      <c r="K156" s="108"/>
      <c r="S156" s="117"/>
      <c r="T156" s="287"/>
      <c r="U156" s="287"/>
      <c r="V156" s="287"/>
      <c r="W156" s="287"/>
      <c r="X156" s="126"/>
      <c r="Y156" s="125"/>
    </row>
    <row r="157" spans="1:25" s="13" customFormat="1" ht="15" thickBot="1" x14ac:dyDescent="0.35">
      <c r="A157" s="302"/>
      <c r="B157" s="301"/>
      <c r="C157" s="301"/>
      <c r="D157" s="301"/>
      <c r="E157" s="301"/>
      <c r="F157" s="301"/>
      <c r="G157" s="5"/>
      <c r="H157" s="5"/>
      <c r="I157" s="5"/>
      <c r="J157" s="5"/>
      <c r="K157" s="108"/>
      <c r="S157" s="117"/>
      <c r="T157" s="287"/>
      <c r="U157" s="287"/>
      <c r="V157" s="287"/>
      <c r="W157" s="287"/>
      <c r="X157" s="126"/>
      <c r="Y157" s="125"/>
    </row>
    <row r="158" spans="1:25" ht="15" thickTop="1" x14ac:dyDescent="0.3">
      <c r="A158" s="106"/>
      <c r="B158" s="25"/>
      <c r="C158" s="25"/>
      <c r="D158" s="25"/>
      <c r="E158" s="25"/>
      <c r="F158" s="25"/>
      <c r="G158" s="26"/>
      <c r="H158" s="26"/>
      <c r="I158" s="26"/>
      <c r="J158" s="26"/>
      <c r="K158" s="108"/>
      <c r="S158" s="117"/>
      <c r="T158" s="287"/>
      <c r="U158" s="287"/>
      <c r="V158" s="287"/>
      <c r="W158" s="287"/>
      <c r="X158" s="126"/>
      <c r="Y158" s="125"/>
    </row>
    <row r="159" spans="1:25" ht="21" x14ac:dyDescent="0.4">
      <c r="A159" s="302"/>
      <c r="B159" s="301"/>
      <c r="C159" s="301"/>
      <c r="D159" s="301"/>
      <c r="E159" s="301"/>
      <c r="F159" s="300" t="s">
        <v>350</v>
      </c>
      <c r="G159" s="5"/>
      <c r="H159" s="5"/>
      <c r="I159" s="5"/>
      <c r="J159" s="5"/>
      <c r="K159" s="108"/>
      <c r="S159" s="117"/>
      <c r="T159" s="287"/>
      <c r="U159" s="287"/>
      <c r="V159" s="287"/>
      <c r="W159" s="287"/>
      <c r="X159" s="126"/>
      <c r="Y159" s="125"/>
    </row>
    <row r="160" spans="1:25" x14ac:dyDescent="0.3">
      <c r="A160" s="302"/>
      <c r="B160" s="301"/>
      <c r="C160" s="301"/>
      <c r="D160" s="301"/>
      <c r="E160" s="301"/>
      <c r="F160" s="28"/>
      <c r="G160" s="5"/>
      <c r="H160" s="5"/>
      <c r="I160" s="5"/>
      <c r="J160" s="5"/>
      <c r="K160" s="108"/>
      <c r="S160" s="117"/>
      <c r="T160" s="287"/>
      <c r="U160" s="287"/>
      <c r="V160" s="287"/>
      <c r="W160" s="287"/>
      <c r="X160" s="126"/>
      <c r="Y160" s="125"/>
    </row>
    <row r="161" spans="1:25" x14ac:dyDescent="0.3">
      <c r="A161" s="302"/>
      <c r="B161" s="301"/>
      <c r="C161" s="40">
        <v>40345</v>
      </c>
      <c r="D161" s="49" t="s">
        <v>200</v>
      </c>
      <c r="E161" s="49" t="s">
        <v>6</v>
      </c>
      <c r="F161" s="49">
        <v>0</v>
      </c>
      <c r="G161" s="51">
        <v>1</v>
      </c>
      <c r="H161" s="5"/>
      <c r="I161" s="5" t="s">
        <v>409</v>
      </c>
      <c r="J161" s="5"/>
      <c r="K161" s="108"/>
      <c r="S161" s="117" t="s">
        <v>200</v>
      </c>
      <c r="T161" s="287" t="s">
        <v>6</v>
      </c>
      <c r="U161" s="287">
        <v>0</v>
      </c>
      <c r="V161" s="287">
        <v>1</v>
      </c>
      <c r="W161" s="287"/>
      <c r="X161" s="126">
        <f t="shared" ref="X161:X162" si="26">(IF(U161&gt;V161,3,IF(U161=V161,1,2)))</f>
        <v>2</v>
      </c>
      <c r="Y161" s="125">
        <f t="shared" ref="Y161:Y162" si="27">(IF(V161&gt;U161,3,IF(U161=V161,1,2)))</f>
        <v>3</v>
      </c>
    </row>
    <row r="162" spans="1:25" ht="15" thickBot="1" x14ac:dyDescent="0.35">
      <c r="A162" s="302"/>
      <c r="B162" s="301"/>
      <c r="C162" s="58"/>
      <c r="D162" s="79"/>
      <c r="E162" s="79"/>
      <c r="F162" s="79" t="s">
        <v>170</v>
      </c>
      <c r="G162" s="81" t="s">
        <v>183</v>
      </c>
      <c r="H162" s="8"/>
      <c r="I162" s="8"/>
      <c r="J162" s="5"/>
      <c r="K162" s="108"/>
      <c r="S162" s="117" t="s">
        <v>35</v>
      </c>
      <c r="T162" s="301" t="s">
        <v>43</v>
      </c>
      <c r="U162" s="301">
        <v>0</v>
      </c>
      <c r="V162" s="301">
        <v>1</v>
      </c>
      <c r="W162" s="287"/>
      <c r="X162" s="126">
        <f t="shared" si="26"/>
        <v>2</v>
      </c>
      <c r="Y162" s="125">
        <f t="shared" si="27"/>
        <v>3</v>
      </c>
    </row>
    <row r="163" spans="1:25" s="13" customFormat="1" x14ac:dyDescent="0.3">
      <c r="A163" s="302"/>
      <c r="B163" s="301"/>
      <c r="C163" s="40">
        <v>40345</v>
      </c>
      <c r="D163" s="49" t="s">
        <v>35</v>
      </c>
      <c r="E163" s="49" t="s">
        <v>43</v>
      </c>
      <c r="F163" s="49">
        <v>0</v>
      </c>
      <c r="G163" s="51">
        <v>1</v>
      </c>
      <c r="H163" s="5"/>
      <c r="I163" s="5" t="s">
        <v>404</v>
      </c>
      <c r="J163" s="5"/>
      <c r="K163" s="108"/>
      <c r="S163" s="117" t="s">
        <v>6</v>
      </c>
      <c r="T163" s="301" t="s">
        <v>43</v>
      </c>
      <c r="U163" s="301">
        <v>1</v>
      </c>
      <c r="V163" s="301">
        <v>0</v>
      </c>
      <c r="W163" s="287"/>
      <c r="X163" s="126">
        <f t="shared" ref="X163:X166" si="28">(IF(U163&gt;V163,3,IF(U163=V163,1,2)))</f>
        <v>3</v>
      </c>
      <c r="Y163" s="125">
        <f t="shared" ref="Y163:Y166" si="29">(IF(V163&gt;U163,3,IF(U163=V163,1,2)))</f>
        <v>2</v>
      </c>
    </row>
    <row r="164" spans="1:25" s="13" customFormat="1" ht="15" thickBot="1" x14ac:dyDescent="0.35">
      <c r="A164" s="302"/>
      <c r="B164" s="301"/>
      <c r="C164" s="58"/>
      <c r="D164" s="79"/>
      <c r="E164" s="79"/>
      <c r="F164" s="79" t="s">
        <v>170</v>
      </c>
      <c r="G164" s="81" t="s">
        <v>171</v>
      </c>
      <c r="H164" s="8"/>
      <c r="I164" s="8"/>
      <c r="J164" s="5"/>
      <c r="K164" s="108"/>
      <c r="S164" s="117" t="s">
        <v>35</v>
      </c>
      <c r="T164" s="301" t="s">
        <v>200</v>
      </c>
      <c r="U164" s="301">
        <v>2</v>
      </c>
      <c r="V164" s="301">
        <v>0</v>
      </c>
      <c r="W164" s="287"/>
      <c r="X164" s="126">
        <f t="shared" si="28"/>
        <v>3</v>
      </c>
      <c r="Y164" s="125">
        <f t="shared" si="29"/>
        <v>2</v>
      </c>
    </row>
    <row r="165" spans="1:25" s="13" customFormat="1" x14ac:dyDescent="0.3">
      <c r="A165" s="302"/>
      <c r="B165" s="301"/>
      <c r="C165" s="40">
        <v>40350</v>
      </c>
      <c r="D165" s="49" t="s">
        <v>6</v>
      </c>
      <c r="E165" s="49" t="s">
        <v>43</v>
      </c>
      <c r="F165" s="49">
        <v>1</v>
      </c>
      <c r="G165" s="51">
        <v>0</v>
      </c>
      <c r="H165" s="5"/>
      <c r="I165" s="5" t="s">
        <v>402</v>
      </c>
      <c r="J165" s="5"/>
      <c r="K165" s="108"/>
      <c r="S165" s="117" t="s">
        <v>6</v>
      </c>
      <c r="T165" s="301" t="s">
        <v>35</v>
      </c>
      <c r="U165" s="301">
        <v>1</v>
      </c>
      <c r="V165" s="301">
        <v>2</v>
      </c>
      <c r="W165" s="287"/>
      <c r="X165" s="126">
        <f t="shared" si="28"/>
        <v>2</v>
      </c>
      <c r="Y165" s="125">
        <f t="shared" si="29"/>
        <v>3</v>
      </c>
    </row>
    <row r="166" spans="1:25" ht="15" thickBot="1" x14ac:dyDescent="0.35">
      <c r="A166" s="302"/>
      <c r="B166" s="301"/>
      <c r="C166" s="58"/>
      <c r="D166" s="79"/>
      <c r="E166" s="79"/>
      <c r="F166" s="79" t="s">
        <v>170</v>
      </c>
      <c r="G166" s="81" t="s">
        <v>171</v>
      </c>
      <c r="H166" s="8"/>
      <c r="I166" s="8"/>
      <c r="J166" s="5"/>
      <c r="K166" s="108"/>
      <c r="S166" s="117" t="s">
        <v>43</v>
      </c>
      <c r="T166" s="301" t="s">
        <v>200</v>
      </c>
      <c r="U166" s="301">
        <v>0</v>
      </c>
      <c r="V166" s="301">
        <v>0</v>
      </c>
      <c r="W166" s="287"/>
      <c r="X166" s="126">
        <f t="shared" si="28"/>
        <v>1</v>
      </c>
      <c r="Y166" s="125">
        <f t="shared" si="29"/>
        <v>1</v>
      </c>
    </row>
    <row r="167" spans="1:25" x14ac:dyDescent="0.3">
      <c r="A167" s="302"/>
      <c r="B167" s="301"/>
      <c r="C167" s="40">
        <v>40350</v>
      </c>
      <c r="D167" s="49" t="s">
        <v>35</v>
      </c>
      <c r="E167" s="49" t="s">
        <v>200</v>
      </c>
      <c r="F167" s="49">
        <v>2</v>
      </c>
      <c r="G167" s="51">
        <v>0</v>
      </c>
      <c r="H167" s="5"/>
      <c r="I167" s="5" t="s">
        <v>396</v>
      </c>
      <c r="J167" s="5"/>
      <c r="K167" s="108"/>
      <c r="S167" s="117"/>
      <c r="T167" s="301"/>
      <c r="U167" s="301"/>
      <c r="V167" s="301"/>
      <c r="W167" s="287"/>
      <c r="X167" s="126"/>
      <c r="Y167" s="125"/>
    </row>
    <row r="168" spans="1:25" ht="15" thickBot="1" x14ac:dyDescent="0.35">
      <c r="A168" s="302"/>
      <c r="B168" s="301"/>
      <c r="C168" s="58"/>
      <c r="D168" s="79"/>
      <c r="E168" s="79"/>
      <c r="F168" s="79" t="s">
        <v>172</v>
      </c>
      <c r="G168" s="81" t="s">
        <v>171</v>
      </c>
      <c r="H168" s="8"/>
      <c r="I168" s="8" t="s">
        <v>407</v>
      </c>
      <c r="J168" s="5"/>
      <c r="K168" s="108"/>
      <c r="S168" s="117"/>
      <c r="T168" s="301"/>
      <c r="U168" s="301"/>
      <c r="V168" s="301"/>
      <c r="W168" s="95"/>
      <c r="X168" s="95"/>
      <c r="Y168" s="169"/>
    </row>
    <row r="169" spans="1:25" x14ac:dyDescent="0.3">
      <c r="A169" s="302"/>
      <c r="B169" s="301"/>
      <c r="C169" s="40">
        <v>40354</v>
      </c>
      <c r="D169" s="49" t="s">
        <v>6</v>
      </c>
      <c r="E169" s="49" t="s">
        <v>35</v>
      </c>
      <c r="F169" s="49">
        <v>1</v>
      </c>
      <c r="G169" s="51">
        <v>2</v>
      </c>
      <c r="H169" s="5"/>
      <c r="I169" s="5" t="s">
        <v>398</v>
      </c>
      <c r="J169" s="5"/>
      <c r="K169" s="108"/>
      <c r="S169" s="117"/>
      <c r="T169" s="301"/>
      <c r="U169" s="301"/>
      <c r="V169" s="301"/>
      <c r="W169" s="287"/>
      <c r="X169" s="126"/>
      <c r="Y169" s="125"/>
    </row>
    <row r="170" spans="1:25" ht="15" thickBot="1" x14ac:dyDescent="0.35">
      <c r="A170" s="302"/>
      <c r="B170" s="301"/>
      <c r="C170" s="58"/>
      <c r="D170" s="79"/>
      <c r="E170" s="79"/>
      <c r="F170" s="79" t="s">
        <v>170</v>
      </c>
      <c r="G170" s="81" t="s">
        <v>173</v>
      </c>
      <c r="H170" s="8"/>
      <c r="I170" s="8"/>
      <c r="J170" s="5"/>
      <c r="K170" s="108"/>
      <c r="S170" s="117"/>
      <c r="T170" s="301"/>
      <c r="U170" s="301"/>
      <c r="V170" s="301"/>
      <c r="W170" s="287"/>
      <c r="X170" s="126"/>
      <c r="Y170" s="125"/>
    </row>
    <row r="171" spans="1:25" x14ac:dyDescent="0.3">
      <c r="A171" s="302"/>
      <c r="B171" s="17"/>
      <c r="C171" s="40">
        <v>40354</v>
      </c>
      <c r="D171" s="43" t="s">
        <v>43</v>
      </c>
      <c r="E171" s="43" t="s">
        <v>200</v>
      </c>
      <c r="F171" s="49">
        <v>0</v>
      </c>
      <c r="G171" s="51">
        <v>0</v>
      </c>
      <c r="H171" s="5"/>
      <c r="I171" s="5" t="s">
        <v>401</v>
      </c>
      <c r="J171" s="5"/>
      <c r="K171" s="108"/>
      <c r="S171" s="117"/>
      <c r="T171" s="287"/>
      <c r="U171" s="287"/>
      <c r="V171" s="287"/>
      <c r="W171" s="287"/>
      <c r="X171" s="126"/>
      <c r="Y171" s="125"/>
    </row>
    <row r="172" spans="1:25" x14ac:dyDescent="0.3">
      <c r="A172" s="156"/>
      <c r="B172" s="17"/>
      <c r="C172" s="17"/>
      <c r="D172" s="17"/>
      <c r="E172" s="17"/>
      <c r="F172" s="301"/>
      <c r="G172" s="5"/>
      <c r="H172" s="5"/>
      <c r="I172" s="5"/>
      <c r="J172" s="5"/>
      <c r="K172" s="108"/>
      <c r="S172" s="117"/>
      <c r="T172" s="287"/>
      <c r="U172" s="287"/>
      <c r="V172" s="287"/>
      <c r="W172" s="287"/>
      <c r="X172" s="126"/>
      <c r="Y172" s="125"/>
    </row>
    <row r="173" spans="1:25" s="13" customFormat="1" ht="15" thickBot="1" x14ac:dyDescent="0.35">
      <c r="A173" s="302"/>
      <c r="B173" s="301" t="s">
        <v>298</v>
      </c>
      <c r="C173" s="301" t="s">
        <v>12</v>
      </c>
      <c r="D173" s="301" t="s">
        <v>13</v>
      </c>
      <c r="E173" s="301" t="s">
        <v>14</v>
      </c>
      <c r="F173" s="301" t="s">
        <v>15</v>
      </c>
      <c r="G173" s="5" t="s">
        <v>24</v>
      </c>
      <c r="H173" s="5" t="s">
        <v>25</v>
      </c>
      <c r="I173" s="5" t="s">
        <v>301</v>
      </c>
      <c r="J173" s="5"/>
      <c r="K173" s="108"/>
      <c r="S173" s="168"/>
      <c r="T173" s="95"/>
      <c r="U173" s="95"/>
      <c r="V173" s="95"/>
      <c r="W173" s="95"/>
      <c r="X173" s="95"/>
      <c r="Y173" s="169"/>
    </row>
    <row r="174" spans="1:25" s="13" customFormat="1" x14ac:dyDescent="0.3">
      <c r="A174" s="302" t="s">
        <v>113</v>
      </c>
      <c r="B174" s="14" t="s">
        <v>200</v>
      </c>
      <c r="C174" s="305">
        <v>3</v>
      </c>
      <c r="D174" s="305">
        <v>2</v>
      </c>
      <c r="E174" s="305">
        <v>0</v>
      </c>
      <c r="F174" s="305">
        <v>1</v>
      </c>
      <c r="G174" s="15">
        <v>4</v>
      </c>
      <c r="H174" s="15">
        <v>3</v>
      </c>
      <c r="I174" s="15">
        <v>6</v>
      </c>
      <c r="J174" s="86"/>
      <c r="K174" s="108"/>
      <c r="S174" s="117"/>
      <c r="T174" s="287"/>
      <c r="U174" s="287"/>
      <c r="V174" s="287"/>
      <c r="W174" s="287"/>
      <c r="X174" s="126"/>
      <c r="Y174" s="125"/>
    </row>
    <row r="175" spans="1:25" s="13" customFormat="1" x14ac:dyDescent="0.3">
      <c r="A175" s="302"/>
      <c r="B175" s="21" t="s">
        <v>6</v>
      </c>
      <c r="C175" s="17"/>
      <c r="D175" s="17"/>
      <c r="E175" s="17"/>
      <c r="F175" s="17"/>
      <c r="G175" s="18"/>
      <c r="H175" s="18"/>
      <c r="I175" s="18"/>
      <c r="J175" s="86"/>
      <c r="K175" s="108"/>
      <c r="S175" s="122"/>
      <c r="T175" s="17"/>
      <c r="U175" s="17"/>
      <c r="V175" s="17"/>
      <c r="W175" s="17"/>
      <c r="X175" s="126"/>
      <c r="Y175" s="125"/>
    </row>
    <row r="176" spans="1:25" x14ac:dyDescent="0.3">
      <c r="A176" s="302"/>
      <c r="B176" s="3" t="s">
        <v>35</v>
      </c>
      <c r="C176" s="301"/>
      <c r="D176" s="301"/>
      <c r="E176" s="301"/>
      <c r="F176" s="301"/>
      <c r="G176" s="5"/>
      <c r="H176" s="5"/>
      <c r="I176" s="5"/>
      <c r="J176" s="87"/>
      <c r="K176" s="108"/>
      <c r="S176" s="117"/>
      <c r="T176" s="287"/>
      <c r="U176" s="287"/>
      <c r="V176" s="287"/>
      <c r="W176" s="287"/>
      <c r="X176" s="126"/>
      <c r="Y176" s="125"/>
    </row>
    <row r="177" spans="1:25" ht="15" thickBot="1" x14ac:dyDescent="0.35">
      <c r="A177" s="302"/>
      <c r="B177" s="7" t="s">
        <v>43</v>
      </c>
      <c r="C177" s="304"/>
      <c r="D177" s="304"/>
      <c r="E177" s="304"/>
      <c r="F177" s="304"/>
      <c r="G177" s="8"/>
      <c r="H177" s="8"/>
      <c r="I177" s="8"/>
      <c r="J177" s="87"/>
      <c r="K177" s="108"/>
      <c r="S177" s="117"/>
      <c r="T177" s="287"/>
      <c r="U177" s="287"/>
      <c r="V177" s="287"/>
      <c r="W177" s="287"/>
      <c r="X177" s="126"/>
      <c r="Y177" s="125"/>
    </row>
    <row r="178" spans="1:25" ht="15" thickBot="1" x14ac:dyDescent="0.35">
      <c r="A178" s="110"/>
      <c r="B178" s="36"/>
      <c r="C178" s="36"/>
      <c r="D178" s="36"/>
      <c r="E178" s="36"/>
      <c r="F178" s="36"/>
      <c r="G178" s="37"/>
      <c r="H178" s="37"/>
      <c r="I178" s="37"/>
      <c r="J178" s="37"/>
      <c r="K178" s="193"/>
      <c r="L178" s="288"/>
      <c r="S178" s="122"/>
      <c r="T178" s="17"/>
      <c r="U178" s="17"/>
      <c r="V178" s="17"/>
      <c r="W178" s="17"/>
      <c r="X178" s="126"/>
      <c r="Y178" s="125"/>
    </row>
    <row r="179" spans="1:25" s="13" customFormat="1" ht="15" thickTop="1" x14ac:dyDescent="0.3">
      <c r="A179" s="302"/>
      <c r="B179" s="301"/>
      <c r="C179" s="301"/>
      <c r="D179" s="301"/>
      <c r="E179" s="301"/>
      <c r="F179" s="301"/>
      <c r="G179" s="5"/>
      <c r="H179" s="5"/>
      <c r="I179" s="5"/>
      <c r="J179" s="5"/>
      <c r="K179" s="108"/>
      <c r="L179" s="10"/>
      <c r="S179" s="117"/>
      <c r="T179" s="287"/>
      <c r="U179" s="287"/>
      <c r="V179" s="287"/>
      <c r="W179" s="287"/>
      <c r="X179" s="126"/>
      <c r="Y179" s="125"/>
    </row>
    <row r="180" spans="1:25" s="13" customFormat="1" ht="21" x14ac:dyDescent="0.4">
      <c r="A180" s="302"/>
      <c r="B180" s="301"/>
      <c r="C180" s="301"/>
      <c r="D180" s="301"/>
      <c r="E180" s="301"/>
      <c r="F180" s="300" t="s">
        <v>28</v>
      </c>
      <c r="G180" s="5"/>
      <c r="H180" s="5"/>
      <c r="I180" s="5"/>
      <c r="J180" s="5"/>
      <c r="K180" s="108"/>
      <c r="L180" s="10"/>
      <c r="S180" s="117"/>
      <c r="T180" s="287"/>
      <c r="U180" s="287"/>
      <c r="V180" s="287"/>
      <c r="W180" s="287"/>
      <c r="X180" s="126"/>
      <c r="Y180" s="125"/>
    </row>
    <row r="181" spans="1:25" x14ac:dyDescent="0.3">
      <c r="A181" s="302"/>
      <c r="B181" s="301"/>
      <c r="C181" s="49"/>
      <c r="D181" s="49"/>
      <c r="E181" s="49"/>
      <c r="F181" s="49"/>
      <c r="G181" s="51"/>
      <c r="H181" s="51"/>
      <c r="I181" s="51"/>
      <c r="J181" s="5"/>
      <c r="K181" s="108"/>
      <c r="L181" s="288"/>
      <c r="S181" s="117"/>
      <c r="T181" s="287"/>
      <c r="U181" s="287"/>
      <c r="V181" s="287"/>
      <c r="W181" s="287"/>
      <c r="X181" s="287"/>
      <c r="Y181" s="118"/>
    </row>
    <row r="182" spans="1:25" x14ac:dyDescent="0.3">
      <c r="A182" s="302"/>
      <c r="B182" s="301"/>
      <c r="C182" s="82">
        <v>40355</v>
      </c>
      <c r="D182" s="43" t="s">
        <v>18</v>
      </c>
      <c r="E182" s="43" t="s">
        <v>90</v>
      </c>
      <c r="F182" s="43">
        <v>2</v>
      </c>
      <c r="G182" s="48">
        <v>1</v>
      </c>
      <c r="H182" s="51"/>
      <c r="I182" s="51" t="s">
        <v>402</v>
      </c>
      <c r="J182" s="5"/>
      <c r="K182" s="108"/>
      <c r="L182" s="288"/>
      <c r="S182" s="122" t="s">
        <v>18</v>
      </c>
      <c r="T182" s="17" t="s">
        <v>90</v>
      </c>
      <c r="U182" s="17">
        <v>2</v>
      </c>
      <c r="V182" s="17">
        <v>1</v>
      </c>
      <c r="W182" s="17"/>
      <c r="X182" s="17">
        <f t="shared" ref="X182:X184" si="30">(IF(U182&gt;V182,3,IF(U182=V182,1,2)))</f>
        <v>3</v>
      </c>
      <c r="Y182" s="123">
        <f t="shared" ref="Y182:Y184" si="31">(IF(V182&gt;U182,3,IF(U182=V182,1,2)))</f>
        <v>2</v>
      </c>
    </row>
    <row r="183" spans="1:25" ht="15" thickBot="1" x14ac:dyDescent="0.35">
      <c r="A183" s="302"/>
      <c r="B183" s="301"/>
      <c r="C183" s="83"/>
      <c r="D183" s="80"/>
      <c r="E183" s="80"/>
      <c r="F183" s="80" t="s">
        <v>172</v>
      </c>
      <c r="G183" s="84" t="s">
        <v>171</v>
      </c>
      <c r="H183" s="81"/>
      <c r="I183" s="81"/>
      <c r="J183" s="5"/>
      <c r="K183" s="108"/>
      <c r="L183" s="288"/>
      <c r="S183" s="122" t="s">
        <v>20</v>
      </c>
      <c r="T183" s="17" t="s">
        <v>390</v>
      </c>
      <c r="U183" s="17">
        <v>1</v>
      </c>
      <c r="V183" s="17">
        <v>2</v>
      </c>
      <c r="W183" s="287" t="s">
        <v>30</v>
      </c>
      <c r="X183" s="126">
        <f t="shared" si="30"/>
        <v>2</v>
      </c>
      <c r="Y183" s="125">
        <f t="shared" si="31"/>
        <v>3</v>
      </c>
    </row>
    <row r="184" spans="1:25" s="13" customFormat="1" x14ac:dyDescent="0.3">
      <c r="A184" s="302"/>
      <c r="B184" s="301"/>
      <c r="C184" s="82">
        <v>40355</v>
      </c>
      <c r="D184" s="43" t="s">
        <v>20</v>
      </c>
      <c r="E184" s="43" t="s">
        <v>390</v>
      </c>
      <c r="F184" s="43">
        <v>1</v>
      </c>
      <c r="G184" s="48">
        <v>2</v>
      </c>
      <c r="H184" s="51" t="s">
        <v>30</v>
      </c>
      <c r="I184" s="51" t="s">
        <v>400</v>
      </c>
      <c r="J184" s="5"/>
      <c r="K184" s="108"/>
      <c r="L184" s="10"/>
      <c r="S184" s="117" t="s">
        <v>88</v>
      </c>
      <c r="T184" s="301" t="s">
        <v>74</v>
      </c>
      <c r="U184" s="301">
        <v>4</v>
      </c>
      <c r="V184" s="301">
        <v>1</v>
      </c>
      <c r="W184" s="17"/>
      <c r="X184" s="126">
        <f t="shared" si="30"/>
        <v>3</v>
      </c>
      <c r="Y184" s="125">
        <f t="shared" si="31"/>
        <v>2</v>
      </c>
    </row>
    <row r="185" spans="1:25" s="13" customFormat="1" x14ac:dyDescent="0.3">
      <c r="A185" s="302"/>
      <c r="B185" s="301"/>
      <c r="C185" s="82"/>
      <c r="D185" s="43"/>
      <c r="E185" s="43"/>
      <c r="F185" s="43">
        <v>1</v>
      </c>
      <c r="G185" s="48">
        <v>1</v>
      </c>
      <c r="H185" s="51"/>
      <c r="I185" s="51"/>
      <c r="J185" s="5"/>
      <c r="K185" s="108"/>
      <c r="L185" s="10"/>
      <c r="S185" s="122" t="s">
        <v>5</v>
      </c>
      <c r="T185" s="17" t="s">
        <v>4</v>
      </c>
      <c r="U185" s="17">
        <v>3</v>
      </c>
      <c r="V185" s="17">
        <v>1</v>
      </c>
      <c r="W185" s="17"/>
      <c r="X185" s="126">
        <f t="shared" ref="X185" si="32">(IF(U185&gt;V185,3,IF(U185=V185,1,2)))</f>
        <v>3</v>
      </c>
      <c r="Y185" s="125">
        <f t="shared" ref="Y185" si="33">(IF(V185&gt;U185,3,IF(U185=V185,1,2)))</f>
        <v>2</v>
      </c>
    </row>
    <row r="186" spans="1:25" ht="15" thickBot="1" x14ac:dyDescent="0.35">
      <c r="A186" s="302"/>
      <c r="B186" s="301"/>
      <c r="C186" s="83"/>
      <c r="D186" s="80"/>
      <c r="E186" s="80"/>
      <c r="F186" s="80" t="s">
        <v>170</v>
      </c>
      <c r="G186" s="84" t="s">
        <v>183</v>
      </c>
      <c r="H186" s="81"/>
      <c r="I186" s="81"/>
      <c r="J186" s="5"/>
      <c r="K186" s="108"/>
      <c r="L186" s="288"/>
      <c r="S186" s="117" t="s">
        <v>63</v>
      </c>
      <c r="T186" s="301" t="s">
        <v>410</v>
      </c>
      <c r="U186" s="301">
        <v>2</v>
      </c>
      <c r="V186" s="301">
        <v>1</v>
      </c>
      <c r="W186" s="287"/>
      <c r="X186" s="126">
        <f t="shared" ref="X186:X189" si="34">(IF(U186&gt;V186,3,IF(U186=V186,1,2)))</f>
        <v>3</v>
      </c>
      <c r="Y186" s="125">
        <f t="shared" ref="Y186:Y189" si="35">(IF(V186&gt;U186,3,IF(U186=V186,1,2)))</f>
        <v>2</v>
      </c>
    </row>
    <row r="187" spans="1:25" x14ac:dyDescent="0.3">
      <c r="A187" s="302"/>
      <c r="B187" s="33"/>
      <c r="C187" s="82">
        <v>40356</v>
      </c>
      <c r="D187" s="43" t="s">
        <v>88</v>
      </c>
      <c r="E187" s="43" t="s">
        <v>74</v>
      </c>
      <c r="F187" s="43">
        <v>4</v>
      </c>
      <c r="G187" s="48">
        <v>1</v>
      </c>
      <c r="H187" s="51"/>
      <c r="I187" s="51" t="s">
        <v>401</v>
      </c>
      <c r="J187" s="5"/>
      <c r="K187" s="108"/>
      <c r="L187" s="288"/>
      <c r="S187" s="117" t="s">
        <v>9</v>
      </c>
      <c r="T187" s="301" t="s">
        <v>6</v>
      </c>
      <c r="U187" s="301">
        <v>3</v>
      </c>
      <c r="V187" s="301">
        <v>0</v>
      </c>
      <c r="W187" s="287"/>
      <c r="X187" s="126">
        <f t="shared" si="34"/>
        <v>3</v>
      </c>
      <c r="Y187" s="125">
        <f t="shared" si="35"/>
        <v>2</v>
      </c>
    </row>
    <row r="188" spans="1:25" ht="15" thickBot="1" x14ac:dyDescent="0.35">
      <c r="A188" s="302"/>
      <c r="B188" s="33"/>
      <c r="C188" s="83"/>
      <c r="D188" s="80"/>
      <c r="E188" s="80"/>
      <c r="F188" s="80" t="s">
        <v>215</v>
      </c>
      <c r="G188" s="84" t="s">
        <v>183</v>
      </c>
      <c r="H188" s="81"/>
      <c r="I188" s="81"/>
      <c r="J188" s="5"/>
      <c r="K188" s="108"/>
      <c r="L188" s="288"/>
      <c r="S188" s="117" t="s">
        <v>22</v>
      </c>
      <c r="T188" s="301" t="s">
        <v>351</v>
      </c>
      <c r="U188" s="301">
        <v>5</v>
      </c>
      <c r="V188" s="301">
        <v>3</v>
      </c>
      <c r="W188" s="287" t="s">
        <v>214</v>
      </c>
      <c r="X188" s="126">
        <f t="shared" si="34"/>
        <v>3</v>
      </c>
      <c r="Y188" s="125">
        <f t="shared" si="35"/>
        <v>2</v>
      </c>
    </row>
    <row r="189" spans="1:25" x14ac:dyDescent="0.3">
      <c r="A189" s="156"/>
      <c r="B189" s="301"/>
      <c r="C189" s="82">
        <v>40356</v>
      </c>
      <c r="D189" s="43" t="s">
        <v>5</v>
      </c>
      <c r="E189" s="43" t="s">
        <v>4</v>
      </c>
      <c r="F189" s="43">
        <v>3</v>
      </c>
      <c r="G189" s="48">
        <v>1</v>
      </c>
      <c r="H189" s="51"/>
      <c r="I189" s="51" t="s">
        <v>396</v>
      </c>
      <c r="J189" s="5"/>
      <c r="K189" s="108"/>
      <c r="L189" s="288"/>
      <c r="S189" s="117" t="s">
        <v>35</v>
      </c>
      <c r="T189" s="301" t="s">
        <v>133</v>
      </c>
      <c r="U189" s="301">
        <v>1</v>
      </c>
      <c r="V189" s="301">
        <v>0</v>
      </c>
      <c r="W189" s="17"/>
      <c r="X189" s="126">
        <f t="shared" si="34"/>
        <v>3</v>
      </c>
      <c r="Y189" s="125">
        <f t="shared" si="35"/>
        <v>2</v>
      </c>
    </row>
    <row r="190" spans="1:25" s="13" customFormat="1" ht="15" thickBot="1" x14ac:dyDescent="0.35">
      <c r="A190" s="156"/>
      <c r="B190" s="301"/>
      <c r="C190" s="83"/>
      <c r="D190" s="80"/>
      <c r="E190" s="80"/>
      <c r="F190" s="80" t="s">
        <v>215</v>
      </c>
      <c r="G190" s="84" t="s">
        <v>171</v>
      </c>
      <c r="H190" s="81"/>
      <c r="I190" s="81" t="s">
        <v>405</v>
      </c>
      <c r="J190" s="5"/>
      <c r="K190" s="108"/>
      <c r="L190" s="10"/>
      <c r="S190" s="117"/>
      <c r="T190" s="301"/>
      <c r="U190" s="301"/>
      <c r="V190" s="301"/>
      <c r="W190" s="287"/>
      <c r="X190" s="126"/>
      <c r="Y190" s="125"/>
    </row>
    <row r="191" spans="1:25" s="13" customFormat="1" x14ac:dyDescent="0.3">
      <c r="A191" s="156"/>
      <c r="B191" s="301"/>
      <c r="C191" s="82">
        <v>40357</v>
      </c>
      <c r="D191" s="43" t="s">
        <v>63</v>
      </c>
      <c r="E191" s="43" t="s">
        <v>410</v>
      </c>
      <c r="F191" s="43">
        <v>2</v>
      </c>
      <c r="G191" s="48">
        <v>1</v>
      </c>
      <c r="H191" s="51"/>
      <c r="I191" s="51" t="s">
        <v>404</v>
      </c>
      <c r="J191" s="5"/>
      <c r="K191" s="108"/>
      <c r="L191" s="10"/>
      <c r="S191" s="117"/>
      <c r="T191" s="301"/>
      <c r="U191" s="301"/>
      <c r="V191" s="301"/>
      <c r="W191" s="287"/>
      <c r="X191" s="287"/>
      <c r="Y191" s="118"/>
    </row>
    <row r="192" spans="1:25" s="13" customFormat="1" ht="15" thickBot="1" x14ac:dyDescent="0.35">
      <c r="A192" s="156"/>
      <c r="B192" s="301"/>
      <c r="C192" s="83"/>
      <c r="D192" s="80"/>
      <c r="E192" s="80"/>
      <c r="F192" s="80" t="s">
        <v>172</v>
      </c>
      <c r="G192" s="84" t="s">
        <v>171</v>
      </c>
      <c r="H192" s="81"/>
      <c r="I192" s="81"/>
      <c r="J192" s="5"/>
      <c r="K192" s="108"/>
      <c r="S192" s="117"/>
      <c r="T192" s="301"/>
      <c r="U192" s="301"/>
      <c r="V192" s="301"/>
      <c r="W192" s="287"/>
      <c r="X192" s="287"/>
      <c r="Y192" s="118"/>
    </row>
    <row r="193" spans="1:25" s="13" customFormat="1" x14ac:dyDescent="0.3">
      <c r="A193" s="156"/>
      <c r="B193" s="301"/>
      <c r="C193" s="82">
        <v>40357</v>
      </c>
      <c r="D193" s="43" t="s">
        <v>9</v>
      </c>
      <c r="E193" s="43" t="s">
        <v>6</v>
      </c>
      <c r="F193" s="43">
        <v>3</v>
      </c>
      <c r="G193" s="48">
        <v>0</v>
      </c>
      <c r="H193" s="51"/>
      <c r="I193" s="51" t="s">
        <v>396</v>
      </c>
      <c r="J193" s="5"/>
      <c r="K193" s="108"/>
      <c r="S193" s="117"/>
      <c r="T193" s="301"/>
      <c r="U193" s="301"/>
      <c r="V193" s="301"/>
      <c r="W193" s="287"/>
      <c r="X193" s="287"/>
      <c r="Y193" s="118"/>
    </row>
    <row r="194" spans="1:25" ht="15" thickBot="1" x14ac:dyDescent="0.35">
      <c r="A194" s="156"/>
      <c r="B194" s="301"/>
      <c r="C194" s="83"/>
      <c r="D194" s="80"/>
      <c r="E194" s="80"/>
      <c r="F194" s="80" t="s">
        <v>215</v>
      </c>
      <c r="G194" s="84" t="s">
        <v>171</v>
      </c>
      <c r="H194" s="81"/>
      <c r="I194" s="81" t="s">
        <v>407</v>
      </c>
      <c r="J194" s="5"/>
      <c r="K194" s="108"/>
      <c r="L194" s="288"/>
      <c r="S194" s="117"/>
      <c r="T194" s="301"/>
      <c r="U194" s="301"/>
      <c r="V194" s="301"/>
      <c r="W194" s="287"/>
      <c r="X194" s="287"/>
      <c r="Y194" s="118"/>
    </row>
    <row r="195" spans="1:25" x14ac:dyDescent="0.3">
      <c r="A195" s="156"/>
      <c r="B195" s="301"/>
      <c r="C195" s="82">
        <v>40358</v>
      </c>
      <c r="D195" s="43" t="s">
        <v>22</v>
      </c>
      <c r="E195" s="43" t="s">
        <v>351</v>
      </c>
      <c r="F195" s="43">
        <v>5</v>
      </c>
      <c r="G195" s="48">
        <v>3</v>
      </c>
      <c r="H195" s="51" t="s">
        <v>214</v>
      </c>
      <c r="I195" s="51" t="s">
        <v>398</v>
      </c>
      <c r="J195" s="5"/>
      <c r="K195" s="108"/>
      <c r="L195" s="288"/>
      <c r="S195" s="117"/>
      <c r="T195" s="301"/>
      <c r="U195" s="301"/>
      <c r="V195" s="301"/>
      <c r="W195" s="287"/>
      <c r="X195" s="126"/>
      <c r="Y195" s="125"/>
    </row>
    <row r="196" spans="1:25" x14ac:dyDescent="0.3">
      <c r="A196" s="156"/>
      <c r="B196" s="301"/>
      <c r="C196" s="82"/>
      <c r="D196" s="43"/>
      <c r="E196" s="43"/>
      <c r="F196" s="43">
        <v>0</v>
      </c>
      <c r="G196" s="48">
        <v>0</v>
      </c>
      <c r="H196" s="51" t="s">
        <v>30</v>
      </c>
      <c r="I196" s="51"/>
      <c r="J196" s="5"/>
      <c r="K196" s="108"/>
      <c r="L196" s="306"/>
      <c r="S196" s="117"/>
      <c r="T196" s="301"/>
      <c r="U196" s="301"/>
      <c r="V196" s="301"/>
      <c r="W196" s="301"/>
      <c r="X196" s="126"/>
      <c r="Y196" s="125"/>
    </row>
    <row r="197" spans="1:25" s="13" customFormat="1" x14ac:dyDescent="0.3">
      <c r="A197" s="156"/>
      <c r="B197" s="301"/>
      <c r="C197" s="82"/>
      <c r="D197" s="43"/>
      <c r="E197" s="43"/>
      <c r="F197" s="43">
        <v>0</v>
      </c>
      <c r="G197" s="48">
        <v>0</v>
      </c>
      <c r="H197" s="51"/>
      <c r="I197" s="51"/>
      <c r="J197" s="5"/>
      <c r="K197" s="108"/>
      <c r="L197" s="10"/>
      <c r="S197" s="117"/>
      <c r="T197" s="301"/>
      <c r="U197" s="301"/>
      <c r="V197" s="301"/>
      <c r="W197" s="287"/>
      <c r="X197" s="287"/>
      <c r="Y197" s="118"/>
    </row>
    <row r="198" spans="1:25" s="13" customFormat="1" ht="15" thickBot="1" x14ac:dyDescent="0.35">
      <c r="A198" s="156"/>
      <c r="B198" s="301"/>
      <c r="C198" s="83"/>
      <c r="D198" s="80"/>
      <c r="E198" s="80"/>
      <c r="F198" s="80" t="s">
        <v>170</v>
      </c>
      <c r="G198" s="84" t="s">
        <v>171</v>
      </c>
      <c r="H198" s="81"/>
      <c r="I198" s="81"/>
      <c r="J198" s="5"/>
      <c r="K198" s="108"/>
      <c r="L198" s="10"/>
      <c r="S198" s="117"/>
      <c r="T198" s="301"/>
      <c r="U198" s="301"/>
      <c r="V198" s="301"/>
      <c r="W198" s="287"/>
      <c r="X198" s="287"/>
      <c r="Y198" s="118"/>
    </row>
    <row r="199" spans="1:25" s="13" customFormat="1" x14ac:dyDescent="0.3">
      <c r="A199" s="156"/>
      <c r="B199" s="301"/>
      <c r="C199" s="82">
        <v>40358</v>
      </c>
      <c r="D199" s="43" t="s">
        <v>35</v>
      </c>
      <c r="E199" s="43" t="s">
        <v>133</v>
      </c>
      <c r="F199" s="43">
        <v>1</v>
      </c>
      <c r="G199" s="48">
        <v>0</v>
      </c>
      <c r="H199" s="51"/>
      <c r="I199" s="51" t="s">
        <v>397</v>
      </c>
      <c r="J199" s="5"/>
      <c r="K199" s="108"/>
      <c r="L199" s="10"/>
      <c r="S199" s="117"/>
      <c r="T199" s="287"/>
      <c r="U199" s="287"/>
      <c r="V199" s="287"/>
      <c r="W199" s="287"/>
      <c r="X199" s="287"/>
      <c r="Y199" s="118"/>
    </row>
    <row r="200" spans="1:25" s="13" customFormat="1" x14ac:dyDescent="0.3">
      <c r="A200" s="156"/>
      <c r="B200" s="301"/>
      <c r="C200" s="49"/>
      <c r="D200" s="49"/>
      <c r="E200" s="49"/>
      <c r="F200" s="49" t="s">
        <v>172</v>
      </c>
      <c r="G200" s="51" t="s">
        <v>183</v>
      </c>
      <c r="H200" s="51"/>
      <c r="I200" s="51"/>
      <c r="J200" s="5"/>
      <c r="K200" s="108"/>
      <c r="L200" s="10"/>
      <c r="S200" s="117"/>
      <c r="T200" s="287"/>
      <c r="U200" s="287"/>
      <c r="V200" s="287"/>
      <c r="W200" s="287"/>
      <c r="X200" s="126"/>
      <c r="Y200" s="125"/>
    </row>
    <row r="201" spans="1:25" s="13" customFormat="1" x14ac:dyDescent="0.3">
      <c r="A201" s="156"/>
      <c r="B201" s="301"/>
      <c r="C201" s="301"/>
      <c r="D201" s="301"/>
      <c r="E201" s="301"/>
      <c r="F201" s="301"/>
      <c r="G201" s="5"/>
      <c r="H201" s="5"/>
      <c r="I201" s="5"/>
      <c r="J201" s="5"/>
      <c r="K201" s="108"/>
      <c r="S201" s="117"/>
      <c r="T201" s="287"/>
      <c r="U201" s="287"/>
      <c r="V201" s="287"/>
      <c r="W201" s="287"/>
      <c r="X201" s="126"/>
      <c r="Y201" s="125"/>
    </row>
    <row r="202" spans="1:25" s="13" customFormat="1" x14ac:dyDescent="0.3">
      <c r="A202" s="156"/>
      <c r="B202" s="301"/>
      <c r="C202" s="301"/>
      <c r="D202" s="301"/>
      <c r="E202" s="301"/>
      <c r="F202" s="301"/>
      <c r="G202" s="5"/>
      <c r="H202" s="5"/>
      <c r="I202" s="5"/>
      <c r="J202" s="5"/>
      <c r="K202" s="108"/>
      <c r="L202" s="10"/>
      <c r="S202" s="117"/>
      <c r="T202" s="287"/>
      <c r="U202" s="287"/>
      <c r="V202" s="287"/>
      <c r="W202" s="287"/>
      <c r="X202" s="126"/>
      <c r="Y202" s="125"/>
    </row>
    <row r="203" spans="1:25" s="13" customFormat="1" ht="21" x14ac:dyDescent="0.4">
      <c r="A203" s="156"/>
      <c r="B203" s="301"/>
      <c r="C203" s="301"/>
      <c r="D203" s="301"/>
      <c r="E203" s="301"/>
      <c r="F203" s="300" t="s">
        <v>47</v>
      </c>
      <c r="G203" s="5"/>
      <c r="H203" s="5"/>
      <c r="I203" s="5"/>
      <c r="J203" s="5"/>
      <c r="K203" s="108"/>
      <c r="S203" s="117"/>
      <c r="T203" s="287"/>
      <c r="U203" s="287"/>
      <c r="V203" s="287"/>
      <c r="W203" s="287"/>
      <c r="X203" s="126"/>
      <c r="Y203" s="125"/>
    </row>
    <row r="204" spans="1:25" s="13" customFormat="1" x14ac:dyDescent="0.3">
      <c r="A204" s="156"/>
      <c r="B204" s="301"/>
      <c r="C204" s="301"/>
      <c r="D204" s="49"/>
      <c r="E204" s="49"/>
      <c r="F204" s="49"/>
      <c r="G204" s="51"/>
      <c r="H204" s="51"/>
      <c r="I204" s="5"/>
      <c r="J204" s="5"/>
      <c r="K204" s="108"/>
      <c r="L204" s="10"/>
      <c r="S204" s="117"/>
      <c r="T204" s="287"/>
      <c r="U204" s="287"/>
      <c r="V204" s="287"/>
      <c r="W204" s="287"/>
      <c r="X204" s="126"/>
      <c r="Y204" s="125"/>
    </row>
    <row r="205" spans="1:25" s="13" customFormat="1" x14ac:dyDescent="0.3">
      <c r="A205" s="156"/>
      <c r="B205" s="301"/>
      <c r="C205" s="40">
        <v>40361</v>
      </c>
      <c r="D205" s="49" t="s">
        <v>63</v>
      </c>
      <c r="E205" s="43" t="s">
        <v>9</v>
      </c>
      <c r="F205" s="43">
        <v>2</v>
      </c>
      <c r="G205" s="48">
        <v>1</v>
      </c>
      <c r="H205" s="48"/>
      <c r="I205" s="5" t="s">
        <v>402</v>
      </c>
      <c r="J205" s="5"/>
      <c r="K205" s="108"/>
      <c r="L205" s="10"/>
      <c r="S205" s="117" t="s">
        <v>63</v>
      </c>
      <c r="T205" s="287" t="s">
        <v>9</v>
      </c>
      <c r="U205" s="287">
        <v>2</v>
      </c>
      <c r="V205" s="287">
        <v>1</v>
      </c>
      <c r="W205" s="287"/>
      <c r="X205" s="126">
        <f t="shared" ref="X205:X208" si="36">(IF(U205&gt;V205,3,IF(U205=V205,1,2)))</f>
        <v>3</v>
      </c>
      <c r="Y205" s="125">
        <f t="shared" ref="Y205:Y208" si="37">(IF(V205&gt;U205,3,IF(U205=V205,1,2)))</f>
        <v>2</v>
      </c>
    </row>
    <row r="206" spans="1:25" s="13" customFormat="1" ht="15" thickBot="1" x14ac:dyDescent="0.35">
      <c r="A206" s="156"/>
      <c r="B206" s="301"/>
      <c r="C206" s="58"/>
      <c r="D206" s="80"/>
      <c r="E206" s="80"/>
      <c r="F206" s="80" t="s">
        <v>170</v>
      </c>
      <c r="G206" s="84" t="s">
        <v>183</v>
      </c>
      <c r="H206" s="84"/>
      <c r="I206" s="8"/>
      <c r="J206" s="5"/>
      <c r="K206" s="108"/>
      <c r="L206" s="10"/>
      <c r="S206" s="117" t="s">
        <v>18</v>
      </c>
      <c r="T206" s="301" t="s">
        <v>390</v>
      </c>
      <c r="U206" s="301">
        <v>4</v>
      </c>
      <c r="V206" s="301">
        <v>2</v>
      </c>
      <c r="W206" s="287"/>
      <c r="X206" s="126">
        <f t="shared" si="36"/>
        <v>3</v>
      </c>
      <c r="Y206" s="125">
        <f t="shared" si="37"/>
        <v>2</v>
      </c>
    </row>
    <row r="207" spans="1:25" s="13" customFormat="1" x14ac:dyDescent="0.3">
      <c r="A207" s="156"/>
      <c r="B207" s="301"/>
      <c r="C207" s="40">
        <v>40361</v>
      </c>
      <c r="D207" s="43" t="s">
        <v>18</v>
      </c>
      <c r="E207" s="43" t="s">
        <v>390</v>
      </c>
      <c r="F207" s="43">
        <v>4</v>
      </c>
      <c r="G207" s="48">
        <v>2</v>
      </c>
      <c r="H207" s="48" t="s">
        <v>214</v>
      </c>
      <c r="I207" s="5" t="s">
        <v>396</v>
      </c>
      <c r="J207" s="5"/>
      <c r="K207" s="108"/>
      <c r="S207" s="117" t="s">
        <v>5</v>
      </c>
      <c r="T207" s="301" t="s">
        <v>88</v>
      </c>
      <c r="U207" s="301">
        <v>0</v>
      </c>
      <c r="V207" s="301">
        <v>4</v>
      </c>
      <c r="W207" s="287"/>
      <c r="X207" s="126">
        <f t="shared" si="36"/>
        <v>2</v>
      </c>
      <c r="Y207" s="125">
        <f t="shared" si="37"/>
        <v>3</v>
      </c>
    </row>
    <row r="208" spans="1:25" s="13" customFormat="1" x14ac:dyDescent="0.3">
      <c r="A208" s="156"/>
      <c r="B208" s="301"/>
      <c r="C208" s="40"/>
      <c r="D208" s="43"/>
      <c r="E208" s="43"/>
      <c r="F208" s="43">
        <v>1</v>
      </c>
      <c r="G208" s="48">
        <v>1</v>
      </c>
      <c r="H208" s="48" t="s">
        <v>30</v>
      </c>
      <c r="I208" s="5" t="s">
        <v>405</v>
      </c>
      <c r="J208" s="5"/>
      <c r="K208" s="108"/>
      <c r="S208" s="117" t="s">
        <v>22</v>
      </c>
      <c r="T208" s="306" t="s">
        <v>35</v>
      </c>
      <c r="U208" s="306">
        <v>0</v>
      </c>
      <c r="V208" s="306">
        <v>1</v>
      </c>
      <c r="W208" s="301"/>
      <c r="X208" s="126">
        <f t="shared" si="36"/>
        <v>2</v>
      </c>
      <c r="Y208" s="125">
        <f t="shared" si="37"/>
        <v>3</v>
      </c>
    </row>
    <row r="209" spans="1:25" s="13" customFormat="1" x14ac:dyDescent="0.3">
      <c r="A209" s="156"/>
      <c r="B209" s="301"/>
      <c r="C209" s="40"/>
      <c r="D209" s="43"/>
      <c r="E209" s="43"/>
      <c r="F209" s="43">
        <v>1</v>
      </c>
      <c r="G209" s="48">
        <v>1</v>
      </c>
      <c r="H209" s="48"/>
      <c r="I209" s="5"/>
      <c r="J209" s="5"/>
      <c r="K209" s="108"/>
      <c r="S209" s="117"/>
      <c r="T209" s="306"/>
      <c r="U209" s="306"/>
      <c r="V209" s="306"/>
      <c r="W209" s="301"/>
      <c r="X209" s="126"/>
      <c r="Y209" s="125"/>
    </row>
    <row r="210" spans="1:25" s="13" customFormat="1" ht="15" thickBot="1" x14ac:dyDescent="0.35">
      <c r="A210" s="156"/>
      <c r="B210" s="301"/>
      <c r="C210" s="58"/>
      <c r="D210" s="80"/>
      <c r="E210" s="80"/>
      <c r="F210" s="80" t="s">
        <v>170</v>
      </c>
      <c r="G210" s="84" t="s">
        <v>183</v>
      </c>
      <c r="H210" s="84"/>
      <c r="I210" s="8"/>
      <c r="J210" s="5"/>
      <c r="K210" s="108"/>
      <c r="L210" s="10"/>
      <c r="S210" s="117"/>
      <c r="T210" s="306"/>
      <c r="U210" s="306"/>
      <c r="V210" s="306"/>
      <c r="W210" s="287"/>
      <c r="X210" s="126"/>
      <c r="Y210" s="125"/>
    </row>
    <row r="211" spans="1:25" s="13" customFormat="1" x14ac:dyDescent="0.3">
      <c r="A211" s="156"/>
      <c r="B211" s="301"/>
      <c r="C211" s="40">
        <v>40362</v>
      </c>
      <c r="D211" s="43" t="s">
        <v>5</v>
      </c>
      <c r="E211" s="43" t="s">
        <v>88</v>
      </c>
      <c r="F211" s="43">
        <v>0</v>
      </c>
      <c r="G211" s="48">
        <v>4</v>
      </c>
      <c r="H211" s="48"/>
      <c r="I211" s="5" t="s">
        <v>397</v>
      </c>
      <c r="J211" s="5"/>
      <c r="K211" s="108"/>
      <c r="S211" s="117"/>
      <c r="T211" s="306"/>
      <c r="U211" s="306"/>
      <c r="V211" s="306"/>
      <c r="W211" s="287"/>
      <c r="X211" s="126"/>
      <c r="Y211" s="125"/>
    </row>
    <row r="212" spans="1:25" s="13" customFormat="1" ht="15" thickBot="1" x14ac:dyDescent="0.35">
      <c r="A212" s="156"/>
      <c r="B212" s="301"/>
      <c r="C212" s="58"/>
      <c r="D212" s="80"/>
      <c r="E212" s="80"/>
      <c r="F212" s="80" t="s">
        <v>170</v>
      </c>
      <c r="G212" s="84" t="s">
        <v>183</v>
      </c>
      <c r="H212" s="84"/>
      <c r="I212" s="8"/>
      <c r="J212" s="5"/>
      <c r="K212" s="108"/>
      <c r="S212" s="117"/>
      <c r="T212" s="306"/>
      <c r="U212" s="306"/>
      <c r="V212" s="306"/>
      <c r="W212" s="287"/>
      <c r="X212" s="126"/>
      <c r="Y212" s="125"/>
    </row>
    <row r="213" spans="1:25" s="13" customFormat="1" x14ac:dyDescent="0.3">
      <c r="A213" s="156"/>
      <c r="B213" s="301"/>
      <c r="C213" s="40">
        <v>40362</v>
      </c>
      <c r="D213" s="43" t="s">
        <v>22</v>
      </c>
      <c r="E213" s="43" t="s">
        <v>35</v>
      </c>
      <c r="F213" s="43">
        <v>0</v>
      </c>
      <c r="G213" s="48">
        <v>1</v>
      </c>
      <c r="H213" s="48"/>
      <c r="I213" s="5" t="s">
        <v>396</v>
      </c>
      <c r="J213" s="5"/>
      <c r="K213" s="108"/>
      <c r="L213" s="10"/>
      <c r="S213" s="117"/>
      <c r="T213" s="288"/>
      <c r="U213" s="288"/>
      <c r="V213" s="288"/>
      <c r="W213" s="288"/>
      <c r="X213" s="126"/>
      <c r="Y213" s="125"/>
    </row>
    <row r="214" spans="1:25" s="13" customFormat="1" x14ac:dyDescent="0.3">
      <c r="A214" s="156"/>
      <c r="B214" s="301"/>
      <c r="C214" s="301"/>
      <c r="D214" s="43"/>
      <c r="E214" s="43"/>
      <c r="F214" s="43" t="s">
        <v>170</v>
      </c>
      <c r="G214" s="48" t="s">
        <v>171</v>
      </c>
      <c r="H214" s="48"/>
      <c r="I214" s="5" t="s">
        <v>407</v>
      </c>
      <c r="J214" s="5"/>
      <c r="K214" s="108"/>
      <c r="L214" s="10"/>
      <c r="S214" s="117"/>
      <c r="T214" s="288"/>
      <c r="U214" s="288"/>
      <c r="V214" s="288"/>
      <c r="W214" s="288"/>
      <c r="X214" s="126"/>
      <c r="Y214" s="125"/>
    </row>
    <row r="215" spans="1:25" s="13" customFormat="1" x14ac:dyDescent="0.3">
      <c r="A215" s="156"/>
      <c r="B215" s="301"/>
      <c r="C215" s="301"/>
      <c r="D215" s="17"/>
      <c r="E215" s="17"/>
      <c r="F215" s="17"/>
      <c r="G215" s="18"/>
      <c r="H215" s="18"/>
      <c r="I215" s="5"/>
      <c r="J215" s="5"/>
      <c r="K215" s="108"/>
      <c r="L215" s="10"/>
      <c r="S215" s="117"/>
      <c r="T215" s="288"/>
      <c r="U215" s="288"/>
      <c r="V215" s="288"/>
      <c r="W215" s="288"/>
      <c r="X215" s="126"/>
      <c r="Y215" s="125"/>
    </row>
    <row r="216" spans="1:25" s="13" customFormat="1" x14ac:dyDescent="0.3">
      <c r="A216" s="24"/>
      <c r="B216" s="17"/>
      <c r="C216" s="17"/>
      <c r="D216" s="17"/>
      <c r="E216" s="17"/>
      <c r="F216" s="17"/>
      <c r="G216" s="18"/>
      <c r="H216" s="18"/>
      <c r="I216" s="18"/>
      <c r="J216" s="18"/>
      <c r="K216" s="108"/>
      <c r="L216" s="10"/>
      <c r="S216" s="117"/>
      <c r="T216" s="288"/>
      <c r="U216" s="288"/>
      <c r="V216" s="288"/>
      <c r="W216" s="288"/>
      <c r="X216" s="288"/>
      <c r="Y216" s="118"/>
    </row>
    <row r="217" spans="1:25" s="13" customFormat="1" ht="21" x14ac:dyDescent="0.4">
      <c r="A217" s="24"/>
      <c r="B217" s="17"/>
      <c r="C217" s="17"/>
      <c r="D217" s="17"/>
      <c r="E217" s="17"/>
      <c r="F217" s="70" t="s">
        <v>48</v>
      </c>
      <c r="G217" s="18"/>
      <c r="H217" s="18"/>
      <c r="I217" s="18"/>
      <c r="J217" s="18"/>
      <c r="K217" s="108"/>
      <c r="S217" s="117"/>
      <c r="T217" s="288"/>
      <c r="U217" s="288"/>
      <c r="V217" s="288"/>
      <c r="W217" s="288"/>
      <c r="X217" s="288"/>
      <c r="Y217" s="118"/>
    </row>
    <row r="218" spans="1:25" s="13" customFormat="1" x14ac:dyDescent="0.3">
      <c r="A218" s="156"/>
      <c r="B218" s="28"/>
      <c r="C218" s="301"/>
      <c r="D218" s="49"/>
      <c r="E218" s="49"/>
      <c r="F218" s="49"/>
      <c r="G218" s="51"/>
      <c r="H218" s="5"/>
      <c r="I218" s="5"/>
      <c r="J218" s="5"/>
      <c r="K218" s="108"/>
      <c r="L218" s="10"/>
      <c r="S218" s="117"/>
      <c r="T218" s="288"/>
      <c r="U218" s="288"/>
      <c r="V218" s="288"/>
      <c r="W218" s="288"/>
      <c r="X218" s="288"/>
      <c r="Y218" s="118"/>
    </row>
    <row r="219" spans="1:25" x14ac:dyDescent="0.3">
      <c r="A219" s="186"/>
      <c r="B219" s="95"/>
      <c r="C219" s="165">
        <v>40365</v>
      </c>
      <c r="D219" s="43" t="s">
        <v>18</v>
      </c>
      <c r="E219" s="43" t="s">
        <v>63</v>
      </c>
      <c r="F219" s="43">
        <v>2</v>
      </c>
      <c r="G219" s="43">
        <v>3</v>
      </c>
      <c r="H219" s="17"/>
      <c r="I219" s="18" t="s">
        <v>397</v>
      </c>
      <c r="J219" s="18"/>
      <c r="K219" s="109"/>
      <c r="S219" s="117" t="s">
        <v>18</v>
      </c>
      <c r="T219" s="288" t="s">
        <v>63</v>
      </c>
      <c r="U219" s="288">
        <v>2</v>
      </c>
      <c r="V219" s="288">
        <v>3</v>
      </c>
      <c r="W219" s="288"/>
      <c r="X219" s="126">
        <f t="shared" ref="X219:X220" si="38">(IF(U219&gt;V219,3,IF(U219=V219,1,2)))</f>
        <v>2</v>
      </c>
      <c r="Y219" s="125">
        <f t="shared" ref="Y219:Y220" si="39">(IF(V219&gt;U219,3,IF(U219=V219,1,2)))</f>
        <v>3</v>
      </c>
    </row>
    <row r="220" spans="1:25" ht="15" thickBot="1" x14ac:dyDescent="0.35">
      <c r="A220" s="186"/>
      <c r="B220" s="95"/>
      <c r="C220" s="62"/>
      <c r="D220" s="80"/>
      <c r="E220" s="80"/>
      <c r="F220" s="80" t="s">
        <v>172</v>
      </c>
      <c r="G220" s="80" t="s">
        <v>183</v>
      </c>
      <c r="H220" s="30"/>
      <c r="I220" s="31"/>
      <c r="J220" s="18"/>
      <c r="K220" s="109"/>
      <c r="S220" s="117" t="s">
        <v>88</v>
      </c>
      <c r="T220" s="306" t="s">
        <v>35</v>
      </c>
      <c r="U220" s="306">
        <v>0</v>
      </c>
      <c r="V220" s="306">
        <v>1</v>
      </c>
      <c r="W220" s="288"/>
      <c r="X220" s="126">
        <f t="shared" si="38"/>
        <v>2</v>
      </c>
      <c r="Y220" s="125">
        <f t="shared" si="39"/>
        <v>3</v>
      </c>
    </row>
    <row r="221" spans="1:25" x14ac:dyDescent="0.3">
      <c r="A221" s="186"/>
      <c r="B221" s="95"/>
      <c r="C221" s="165">
        <v>40366</v>
      </c>
      <c r="D221" s="43" t="s">
        <v>88</v>
      </c>
      <c r="E221" s="43" t="s">
        <v>35</v>
      </c>
      <c r="F221" s="43">
        <v>0</v>
      </c>
      <c r="G221" s="43">
        <v>1</v>
      </c>
      <c r="H221" s="17"/>
      <c r="I221" s="18" t="s">
        <v>404</v>
      </c>
      <c r="J221" s="18"/>
      <c r="K221" s="109"/>
      <c r="S221" s="117"/>
      <c r="T221" s="288"/>
      <c r="U221" s="288"/>
      <c r="V221" s="288"/>
      <c r="W221" s="288"/>
      <c r="X221" s="126"/>
      <c r="Y221" s="125"/>
    </row>
    <row r="222" spans="1:25" x14ac:dyDescent="0.3">
      <c r="A222" s="156"/>
      <c r="B222" s="301"/>
      <c r="C222" s="301"/>
      <c r="D222" s="49"/>
      <c r="E222" s="49"/>
      <c r="F222" s="49" t="s">
        <v>170</v>
      </c>
      <c r="G222" s="51" t="s">
        <v>171</v>
      </c>
      <c r="H222" s="5"/>
      <c r="I222" s="5"/>
      <c r="J222" s="5"/>
      <c r="K222" s="108"/>
      <c r="S222" s="117"/>
      <c r="T222" s="288"/>
      <c r="U222" s="288"/>
      <c r="V222" s="288"/>
      <c r="W222" s="288"/>
      <c r="X222" s="288"/>
      <c r="Y222" s="118"/>
    </row>
    <row r="223" spans="1:25" x14ac:dyDescent="0.3">
      <c r="A223" s="156"/>
      <c r="B223" s="301"/>
      <c r="C223" s="301"/>
      <c r="D223" s="301"/>
      <c r="E223" s="301"/>
      <c r="F223" s="301"/>
      <c r="G223" s="5"/>
      <c r="H223" s="5"/>
      <c r="I223" s="5"/>
      <c r="J223" s="5"/>
      <c r="K223" s="108"/>
      <c r="S223" s="117"/>
      <c r="T223" s="288"/>
      <c r="U223" s="288"/>
      <c r="V223" s="288"/>
      <c r="W223" s="288"/>
      <c r="X223" s="288"/>
      <c r="Y223" s="118"/>
    </row>
    <row r="224" spans="1:25" ht="15" thickBot="1" x14ac:dyDescent="0.35">
      <c r="A224" s="156"/>
      <c r="B224" s="301"/>
      <c r="C224" s="301"/>
      <c r="D224" s="301"/>
      <c r="E224" s="301"/>
      <c r="F224" s="301"/>
      <c r="G224" s="5"/>
      <c r="H224" s="5"/>
      <c r="I224" s="5"/>
      <c r="J224" s="5"/>
      <c r="K224" s="108"/>
      <c r="S224" s="117"/>
      <c r="T224" s="288"/>
      <c r="U224" s="288"/>
      <c r="V224" s="288"/>
      <c r="W224" s="288"/>
      <c r="X224" s="288"/>
      <c r="Y224" s="118"/>
    </row>
    <row r="225" spans="1:25" ht="21" x14ac:dyDescent="0.4">
      <c r="A225" s="156"/>
      <c r="B225" s="301"/>
      <c r="C225" s="420" t="s">
        <v>411</v>
      </c>
      <c r="D225" s="444"/>
      <c r="E225" s="444"/>
      <c r="F225" s="444"/>
      <c r="G225" s="444"/>
      <c r="H225" s="444"/>
      <c r="I225" s="445"/>
      <c r="J225" s="5"/>
      <c r="K225" s="93"/>
      <c r="S225" s="117"/>
      <c r="T225" s="288"/>
      <c r="U225" s="288"/>
      <c r="V225" s="288"/>
      <c r="W225" s="288"/>
      <c r="X225" s="288"/>
      <c r="Y225" s="118"/>
    </row>
    <row r="226" spans="1:25" ht="14.4" customHeight="1" x14ac:dyDescent="0.4">
      <c r="A226" s="156"/>
      <c r="B226" s="414"/>
      <c r="C226" s="364"/>
      <c r="D226" s="415"/>
      <c r="E226" s="415"/>
      <c r="F226" s="415"/>
      <c r="G226" s="415"/>
      <c r="H226" s="415"/>
      <c r="I226" s="384"/>
      <c r="J226" s="5"/>
      <c r="K226" s="416"/>
      <c r="S226" s="117"/>
      <c r="T226" s="357"/>
      <c r="U226" s="357"/>
      <c r="V226" s="357"/>
      <c r="W226" s="357"/>
      <c r="X226" s="357"/>
      <c r="Y226" s="118"/>
    </row>
    <row r="227" spans="1:25" x14ac:dyDescent="0.3">
      <c r="A227" s="194"/>
      <c r="B227" s="17"/>
      <c r="C227" s="21"/>
      <c r="D227" s="43" t="s">
        <v>18</v>
      </c>
      <c r="E227" s="85" t="s">
        <v>88</v>
      </c>
      <c r="F227" s="17">
        <v>2</v>
      </c>
      <c r="G227" s="18">
        <v>3</v>
      </c>
      <c r="I227" s="22"/>
      <c r="J227" s="18"/>
      <c r="K227" s="35"/>
      <c r="S227" s="117" t="s">
        <v>18</v>
      </c>
      <c r="T227" s="288" t="s">
        <v>88</v>
      </c>
      <c r="U227" s="288">
        <v>2</v>
      </c>
      <c r="V227" s="288">
        <v>3</v>
      </c>
      <c r="W227" s="288"/>
      <c r="X227" s="126">
        <f t="shared" ref="X227" si="40">(IF(U227&gt;V227,3,IF(U227=V227,1,2)))</f>
        <v>2</v>
      </c>
      <c r="Y227" s="125">
        <f t="shared" ref="Y227" si="41">(IF(V227&gt;U227,3,IF(U227=V227,1,2)))</f>
        <v>3</v>
      </c>
    </row>
    <row r="228" spans="1:25" x14ac:dyDescent="0.3">
      <c r="A228" s="156"/>
      <c r="B228" s="301"/>
      <c r="C228" s="3"/>
      <c r="D228" s="301"/>
      <c r="E228" s="49"/>
      <c r="F228" s="49" t="s">
        <v>172</v>
      </c>
      <c r="G228" s="301" t="s">
        <v>183</v>
      </c>
      <c r="H228" s="5"/>
      <c r="I228" s="6"/>
      <c r="J228" s="5"/>
      <c r="K228" s="93"/>
      <c r="S228" s="117"/>
      <c r="T228" s="288"/>
      <c r="U228" s="288"/>
      <c r="V228" s="288"/>
      <c r="W228" s="288"/>
      <c r="X228" s="126"/>
      <c r="Y228" s="125"/>
    </row>
    <row r="229" spans="1:25" ht="15" thickBot="1" x14ac:dyDescent="0.35">
      <c r="A229" s="156"/>
      <c r="B229" s="301"/>
      <c r="C229" s="7"/>
      <c r="D229" s="304"/>
      <c r="E229" s="304"/>
      <c r="F229" s="304"/>
      <c r="G229" s="304"/>
      <c r="H229" s="8"/>
      <c r="I229" s="9"/>
      <c r="J229" s="5"/>
      <c r="K229" s="93"/>
      <c r="S229" s="117"/>
      <c r="T229" s="288"/>
      <c r="U229" s="288"/>
      <c r="V229" s="288"/>
      <c r="W229" s="288"/>
      <c r="X229" s="126"/>
      <c r="Y229" s="125"/>
    </row>
    <row r="230" spans="1:25" x14ac:dyDescent="0.3">
      <c r="A230" s="156"/>
      <c r="B230" s="301"/>
      <c r="C230" s="301"/>
      <c r="D230" s="301"/>
      <c r="E230" s="301"/>
      <c r="F230" s="301"/>
      <c r="G230" s="301"/>
      <c r="H230" s="5"/>
      <c r="I230" s="5"/>
      <c r="J230" s="5"/>
      <c r="K230" s="93"/>
      <c r="S230" s="117"/>
      <c r="T230" s="288"/>
      <c r="U230" s="288"/>
      <c r="V230" s="288"/>
      <c r="W230" s="288"/>
      <c r="X230" s="126"/>
      <c r="Y230" s="125"/>
    </row>
    <row r="231" spans="1:25" x14ac:dyDescent="0.3">
      <c r="A231" s="156"/>
      <c r="B231" s="301"/>
      <c r="C231" s="301"/>
      <c r="D231" s="301"/>
      <c r="E231" s="301"/>
      <c r="F231" s="301"/>
      <c r="G231" s="301"/>
      <c r="H231" s="5"/>
      <c r="I231" s="5"/>
      <c r="J231" s="5"/>
      <c r="K231" s="93"/>
      <c r="S231" s="117"/>
      <c r="T231" s="301"/>
      <c r="U231" s="301"/>
      <c r="V231" s="301"/>
      <c r="W231" s="301"/>
      <c r="X231" s="126"/>
      <c r="Y231" s="125"/>
    </row>
    <row r="232" spans="1:25" x14ac:dyDescent="0.3">
      <c r="A232" s="156"/>
      <c r="B232" s="301"/>
      <c r="C232" s="301"/>
      <c r="D232" s="301"/>
      <c r="E232" s="301"/>
      <c r="F232" s="301"/>
      <c r="G232" s="301"/>
      <c r="H232" s="5"/>
      <c r="I232" s="5"/>
      <c r="J232" s="5"/>
      <c r="K232" s="93"/>
      <c r="S232" s="117"/>
      <c r="T232" s="301"/>
      <c r="U232" s="301"/>
      <c r="V232" s="301"/>
      <c r="W232" s="301"/>
      <c r="X232" s="126"/>
      <c r="Y232" s="125"/>
    </row>
    <row r="233" spans="1:25" ht="15" thickBot="1" x14ac:dyDescent="0.35">
      <c r="A233" s="156"/>
      <c r="B233" s="301"/>
      <c r="C233" s="301"/>
      <c r="D233" s="301"/>
      <c r="E233" s="301"/>
      <c r="F233" s="301"/>
      <c r="G233" s="301"/>
      <c r="H233" s="5"/>
      <c r="I233" s="5"/>
      <c r="J233" s="5"/>
      <c r="K233" s="93"/>
      <c r="S233" s="117"/>
      <c r="T233" s="301"/>
      <c r="U233" s="301"/>
      <c r="V233" s="301"/>
      <c r="W233" s="301"/>
      <c r="X233" s="126"/>
      <c r="Y233" s="125"/>
    </row>
    <row r="234" spans="1:25" ht="21" x14ac:dyDescent="0.4">
      <c r="A234" s="156"/>
      <c r="B234" s="301"/>
      <c r="C234" s="420" t="s">
        <v>412</v>
      </c>
      <c r="D234" s="444"/>
      <c r="E234" s="444"/>
      <c r="F234" s="444"/>
      <c r="G234" s="444"/>
      <c r="H234" s="444"/>
      <c r="I234" s="445"/>
      <c r="J234" s="5"/>
      <c r="K234" s="93"/>
      <c r="S234" s="117"/>
      <c r="T234" s="301"/>
      <c r="U234" s="301"/>
      <c r="V234" s="301"/>
      <c r="W234" s="301"/>
      <c r="X234" s="126"/>
      <c r="Y234" s="125"/>
    </row>
    <row r="235" spans="1:25" ht="14.4" customHeight="1" x14ac:dyDescent="0.4">
      <c r="A235" s="156"/>
      <c r="B235" s="414"/>
      <c r="C235" s="364"/>
      <c r="D235" s="415"/>
      <c r="E235" s="415"/>
      <c r="F235" s="415"/>
      <c r="G235" s="415"/>
      <c r="H235" s="415"/>
      <c r="I235" s="384"/>
      <c r="J235" s="5"/>
      <c r="K235" s="416"/>
      <c r="S235" s="117"/>
      <c r="T235" s="414"/>
      <c r="U235" s="414"/>
      <c r="V235" s="414"/>
      <c r="W235" s="414"/>
      <c r="X235" s="126"/>
      <c r="Y235" s="125"/>
    </row>
    <row r="236" spans="1:25" x14ac:dyDescent="0.3">
      <c r="A236" s="194"/>
      <c r="B236" s="17"/>
      <c r="C236" s="21"/>
      <c r="D236" s="43" t="s">
        <v>63</v>
      </c>
      <c r="E236" s="64" t="s">
        <v>35</v>
      </c>
      <c r="F236" s="48">
        <v>0</v>
      </c>
      <c r="G236" s="18">
        <v>1</v>
      </c>
      <c r="H236" s="2" t="s">
        <v>30</v>
      </c>
      <c r="I236" s="22"/>
      <c r="J236" s="18"/>
      <c r="K236" s="35"/>
      <c r="S236" s="117" t="s">
        <v>63</v>
      </c>
      <c r="T236" s="301" t="s">
        <v>35</v>
      </c>
      <c r="U236" s="301">
        <v>0</v>
      </c>
      <c r="V236" s="301">
        <v>1</v>
      </c>
      <c r="W236" s="301" t="s">
        <v>30</v>
      </c>
      <c r="X236" s="126">
        <f t="shared" ref="X236" si="42">(IF(U236&gt;V236,3,IF(U236=V236,1,2)))</f>
        <v>2</v>
      </c>
      <c r="Y236" s="125">
        <f t="shared" ref="Y236" si="43">(IF(V236&gt;U236,3,IF(U236=V236,1,2)))</f>
        <v>3</v>
      </c>
    </row>
    <row r="237" spans="1:25" x14ac:dyDescent="0.3">
      <c r="A237" s="194"/>
      <c r="B237" s="17"/>
      <c r="C237" s="21"/>
      <c r="D237" s="17"/>
      <c r="E237" s="43"/>
      <c r="F237" s="64">
        <v>0</v>
      </c>
      <c r="G237" s="48">
        <v>0</v>
      </c>
      <c r="H237" s="18"/>
      <c r="I237" s="22"/>
      <c r="J237" s="18"/>
      <c r="K237" s="35"/>
      <c r="S237" s="117"/>
      <c r="T237" s="301"/>
      <c r="U237" s="301"/>
      <c r="V237" s="301"/>
      <c r="W237" s="301"/>
      <c r="X237" s="301"/>
      <c r="Y237" s="118"/>
    </row>
    <row r="238" spans="1:25" ht="15" thickBot="1" x14ac:dyDescent="0.35">
      <c r="A238" s="156"/>
      <c r="B238" s="301"/>
      <c r="C238" s="3"/>
      <c r="D238" s="301"/>
      <c r="E238" s="49"/>
      <c r="F238" s="33" t="s">
        <v>170</v>
      </c>
      <c r="G238" s="51" t="s">
        <v>171</v>
      </c>
      <c r="H238" s="5"/>
      <c r="I238" s="6"/>
      <c r="J238" s="5"/>
      <c r="K238" s="93"/>
      <c r="S238" s="119"/>
      <c r="T238" s="120"/>
      <c r="U238" s="120"/>
      <c r="V238" s="120"/>
      <c r="W238" s="120"/>
      <c r="X238" s="120"/>
      <c r="Y238" s="121"/>
    </row>
    <row r="239" spans="1:25" ht="15" thickBot="1" x14ac:dyDescent="0.35">
      <c r="A239" s="156"/>
      <c r="B239" s="301"/>
      <c r="C239" s="7"/>
      <c r="D239" s="304"/>
      <c r="E239" s="304"/>
      <c r="F239" s="304"/>
      <c r="G239" s="8"/>
      <c r="H239" s="8"/>
      <c r="I239" s="9"/>
      <c r="J239" s="5"/>
      <c r="K239" s="93"/>
      <c r="S239" s="288"/>
      <c r="T239" s="288"/>
      <c r="U239" s="288"/>
      <c r="V239" s="288"/>
      <c r="W239" s="288"/>
      <c r="X239" s="288"/>
      <c r="Y239" s="288"/>
    </row>
    <row r="240" spans="1:25" x14ac:dyDescent="0.3">
      <c r="A240" s="156"/>
      <c r="B240" s="301"/>
      <c r="C240" s="301"/>
      <c r="D240" s="301"/>
      <c r="E240" s="301"/>
      <c r="F240" s="301"/>
      <c r="G240" s="5"/>
      <c r="H240" s="5"/>
      <c r="I240" s="5"/>
      <c r="J240" s="5"/>
      <c r="K240" s="93"/>
      <c r="S240" s="288"/>
      <c r="T240" s="288"/>
      <c r="U240" s="288"/>
      <c r="V240" s="288"/>
      <c r="W240" s="288"/>
      <c r="X240" s="288"/>
      <c r="Y240" s="288"/>
    </row>
    <row r="241" spans="1:25" x14ac:dyDescent="0.3">
      <c r="A241" s="194"/>
      <c r="B241" s="17"/>
      <c r="C241" s="17"/>
      <c r="D241" s="17"/>
      <c r="E241" s="17"/>
      <c r="F241" s="17"/>
      <c r="G241" s="18"/>
      <c r="H241" s="18"/>
      <c r="I241" s="18"/>
      <c r="J241" s="18"/>
      <c r="K241" s="35"/>
      <c r="S241" s="288"/>
      <c r="T241" s="288"/>
      <c r="U241" s="288"/>
      <c r="V241" s="288"/>
      <c r="W241" s="288"/>
      <c r="X241" s="288"/>
      <c r="Y241" s="288"/>
    </row>
    <row r="242" spans="1:25" x14ac:dyDescent="0.3">
      <c r="A242" s="24"/>
      <c r="B242" s="17"/>
      <c r="C242" s="17"/>
      <c r="D242" s="17"/>
      <c r="E242" s="17"/>
      <c r="F242" s="17"/>
      <c r="G242" s="18"/>
      <c r="H242" s="18"/>
      <c r="I242" s="18"/>
      <c r="J242" s="18"/>
      <c r="K242" s="109"/>
      <c r="S242" s="288"/>
      <c r="T242" s="288"/>
      <c r="U242" s="288"/>
      <c r="V242" s="288"/>
      <c r="W242" s="288"/>
      <c r="X242" s="288"/>
      <c r="Y242" s="288"/>
    </row>
    <row r="243" spans="1:25" x14ac:dyDescent="0.3">
      <c r="A243" s="24"/>
      <c r="B243" s="17"/>
      <c r="C243" s="17"/>
      <c r="D243" s="17"/>
      <c r="E243" s="17"/>
      <c r="F243" s="17"/>
      <c r="G243" s="18"/>
      <c r="H243" s="18"/>
      <c r="I243" s="18"/>
      <c r="J243" s="18"/>
      <c r="K243" s="109"/>
      <c r="S243" s="288"/>
      <c r="T243" s="288"/>
      <c r="U243" s="288"/>
      <c r="V243" s="288"/>
      <c r="W243" s="288"/>
      <c r="X243" s="288"/>
      <c r="Y243" s="288"/>
    </row>
    <row r="244" spans="1:25" ht="15" thickBot="1" x14ac:dyDescent="0.35">
      <c r="A244" s="302"/>
      <c r="B244" s="301" t="s">
        <v>298</v>
      </c>
      <c r="C244" s="301" t="s">
        <v>12</v>
      </c>
      <c r="D244" s="301" t="s">
        <v>13</v>
      </c>
      <c r="E244" s="301" t="s">
        <v>14</v>
      </c>
      <c r="F244" s="301" t="s">
        <v>15</v>
      </c>
      <c r="G244" s="5" t="s">
        <v>24</v>
      </c>
      <c r="H244" s="5" t="s">
        <v>25</v>
      </c>
      <c r="I244" s="5" t="s">
        <v>301</v>
      </c>
      <c r="J244" s="5"/>
      <c r="K244" s="93"/>
      <c r="S244" s="288"/>
      <c r="T244" s="288"/>
      <c r="U244" s="288"/>
      <c r="V244" s="288"/>
      <c r="W244" s="288"/>
      <c r="X244" s="288"/>
      <c r="Y244" s="288"/>
    </row>
    <row r="245" spans="1:25" x14ac:dyDescent="0.3">
      <c r="A245" s="24"/>
      <c r="B245" s="315" t="s">
        <v>63</v>
      </c>
      <c r="C245" s="305">
        <f>COUNTIF($S$12:$T$236,"Niederlande")</f>
        <v>7</v>
      </c>
      <c r="D245" s="124">
        <f t="shared" ref="D245:D276" si="44">SUMPRODUCT(($S$12:$T$236=B245)*($X$12:$Y$236=3))</f>
        <v>6</v>
      </c>
      <c r="E245" s="124">
        <f t="shared" ref="E245:E276" si="45">SUMPRODUCT(($S$12:$T$236=B245)*($X$12:$Y$236=1))</f>
        <v>0</v>
      </c>
      <c r="F245" s="124">
        <f t="shared" ref="F245:F276" si="46">SUMPRODUCT(($S$12:$T$236=B245)*($X$12:$Y$236=2))</f>
        <v>1</v>
      </c>
      <c r="G245" s="124">
        <f t="shared" ref="G245:G276" si="47">SUMPRODUCT(($S$12:$S$236=B245)*($U$12:$U$236))+SUMPRODUCT(($T$12:$T$236=B245)*($V$12:$V$236))</f>
        <v>12</v>
      </c>
      <c r="H245" s="124">
        <f t="shared" ref="H245:H276" si="48">SUMPRODUCT(($S$12:$S$236=B245)*($V$12:$V$236))+SUMPRODUCT(($T$12:$T$236=B245)*($U$12:$U$236))</f>
        <v>6</v>
      </c>
      <c r="I245" s="16">
        <f t="shared" ref="I245:I276" si="49">(D245*3)+E245</f>
        <v>18</v>
      </c>
      <c r="J245" s="18"/>
      <c r="K245" s="109"/>
      <c r="S245" s="288"/>
      <c r="T245" s="288"/>
      <c r="U245" s="288"/>
      <c r="V245" s="288"/>
      <c r="W245" s="288"/>
      <c r="X245" s="288"/>
      <c r="Y245" s="288"/>
    </row>
    <row r="246" spans="1:25" x14ac:dyDescent="0.3">
      <c r="A246" s="24"/>
      <c r="B246" s="313" t="s">
        <v>35</v>
      </c>
      <c r="C246" s="17">
        <f>COUNTIF($S$12:$T$236,"Spanien")</f>
        <v>7</v>
      </c>
      <c r="D246" s="43">
        <f t="shared" si="44"/>
        <v>6</v>
      </c>
      <c r="E246" s="43">
        <f t="shared" si="45"/>
        <v>0</v>
      </c>
      <c r="F246" s="43">
        <f t="shared" si="46"/>
        <v>1</v>
      </c>
      <c r="G246" s="43">
        <f t="shared" si="47"/>
        <v>8</v>
      </c>
      <c r="H246" s="43">
        <f t="shared" si="48"/>
        <v>2</v>
      </c>
      <c r="I246" s="22">
        <f t="shared" si="49"/>
        <v>18</v>
      </c>
      <c r="J246" s="5"/>
      <c r="K246" s="108"/>
      <c r="S246" s="288"/>
      <c r="T246" s="288"/>
      <c r="U246" s="288"/>
      <c r="V246" s="288"/>
      <c r="W246" s="288"/>
      <c r="X246" s="288"/>
      <c r="Y246" s="288"/>
    </row>
    <row r="247" spans="1:25" x14ac:dyDescent="0.3">
      <c r="A247" s="24"/>
      <c r="B247" s="313" t="s">
        <v>88</v>
      </c>
      <c r="C247" s="17">
        <f>COUNTIF($S$12:$T$236,"BRD")</f>
        <v>7</v>
      </c>
      <c r="D247" s="43">
        <f t="shared" si="44"/>
        <v>5</v>
      </c>
      <c r="E247" s="43">
        <f t="shared" si="45"/>
        <v>0</v>
      </c>
      <c r="F247" s="43">
        <f t="shared" si="46"/>
        <v>2</v>
      </c>
      <c r="G247" s="43">
        <f t="shared" si="47"/>
        <v>16</v>
      </c>
      <c r="H247" s="43">
        <f t="shared" si="48"/>
        <v>5</v>
      </c>
      <c r="I247" s="22">
        <f t="shared" si="49"/>
        <v>15</v>
      </c>
      <c r="J247" s="18"/>
      <c r="K247" s="109"/>
      <c r="S247" s="288"/>
      <c r="T247" s="288"/>
      <c r="U247" s="288"/>
      <c r="V247" s="288"/>
      <c r="W247" s="288"/>
      <c r="X247" s="288"/>
      <c r="Y247" s="288"/>
    </row>
    <row r="248" spans="1:25" x14ac:dyDescent="0.3">
      <c r="A248" s="24"/>
      <c r="B248" s="313" t="s">
        <v>18</v>
      </c>
      <c r="C248" s="17">
        <f>COUNTIF($S$12:$T$236,"Uruguay")</f>
        <v>7</v>
      </c>
      <c r="D248" s="43">
        <f t="shared" si="44"/>
        <v>4</v>
      </c>
      <c r="E248" s="43">
        <f t="shared" si="45"/>
        <v>1</v>
      </c>
      <c r="F248" s="43">
        <f t="shared" si="46"/>
        <v>2</v>
      </c>
      <c r="G248" s="43">
        <f t="shared" si="47"/>
        <v>14</v>
      </c>
      <c r="H248" s="43">
        <f t="shared" si="48"/>
        <v>9</v>
      </c>
      <c r="I248" s="22">
        <f t="shared" si="49"/>
        <v>13</v>
      </c>
      <c r="J248" s="18"/>
      <c r="K248" s="109"/>
      <c r="S248" s="288"/>
      <c r="T248" s="288"/>
      <c r="U248" s="288"/>
      <c r="V248" s="288"/>
      <c r="W248" s="288"/>
      <c r="X248" s="288"/>
      <c r="Y248" s="288"/>
    </row>
    <row r="249" spans="1:25" x14ac:dyDescent="0.3">
      <c r="A249" s="24"/>
      <c r="B249" s="313" t="s">
        <v>5</v>
      </c>
      <c r="C249" s="17">
        <f>COUNTIF($S$12:$T$236,"Argentinien")</f>
        <v>5</v>
      </c>
      <c r="D249" s="43">
        <f t="shared" si="44"/>
        <v>4</v>
      </c>
      <c r="E249" s="43">
        <f t="shared" si="45"/>
        <v>0</v>
      </c>
      <c r="F249" s="43">
        <f t="shared" si="46"/>
        <v>1</v>
      </c>
      <c r="G249" s="43">
        <f t="shared" si="47"/>
        <v>10</v>
      </c>
      <c r="H249" s="43">
        <f t="shared" si="48"/>
        <v>6</v>
      </c>
      <c r="I249" s="22">
        <f t="shared" si="49"/>
        <v>12</v>
      </c>
      <c r="J249" s="18"/>
      <c r="K249" s="109"/>
      <c r="S249" s="288"/>
      <c r="T249" s="288"/>
      <c r="U249" s="288"/>
      <c r="V249" s="288"/>
      <c r="W249" s="288"/>
      <c r="X249" s="288"/>
      <c r="Y249" s="288"/>
    </row>
    <row r="250" spans="1:25" x14ac:dyDescent="0.3">
      <c r="A250" s="24"/>
      <c r="B250" s="313" t="s">
        <v>9</v>
      </c>
      <c r="C250" s="17">
        <f>COUNTIF($S$12:$T$236,"Brasilien")</f>
        <v>5</v>
      </c>
      <c r="D250" s="43">
        <f t="shared" si="44"/>
        <v>3</v>
      </c>
      <c r="E250" s="43">
        <f t="shared" si="45"/>
        <v>1</v>
      </c>
      <c r="F250" s="43">
        <f t="shared" si="46"/>
        <v>1</v>
      </c>
      <c r="G250" s="43">
        <f t="shared" si="47"/>
        <v>9</v>
      </c>
      <c r="H250" s="43">
        <f t="shared" si="48"/>
        <v>4</v>
      </c>
      <c r="I250" s="22">
        <f t="shared" si="49"/>
        <v>10</v>
      </c>
      <c r="J250" s="5"/>
      <c r="K250" s="108"/>
      <c r="S250" s="288"/>
      <c r="T250" s="288"/>
      <c r="U250" s="288"/>
      <c r="V250" s="288"/>
      <c r="W250" s="288"/>
      <c r="X250" s="288"/>
      <c r="Y250" s="288"/>
    </row>
    <row r="251" spans="1:25" x14ac:dyDescent="0.3">
      <c r="A251" s="24"/>
      <c r="B251" s="313" t="s">
        <v>22</v>
      </c>
      <c r="C251" s="17">
        <f>COUNTIF($S$12:$T$236,"Paraguay")</f>
        <v>5</v>
      </c>
      <c r="D251" s="43">
        <f t="shared" si="44"/>
        <v>2</v>
      </c>
      <c r="E251" s="43">
        <f t="shared" si="45"/>
        <v>2</v>
      </c>
      <c r="F251" s="43">
        <f t="shared" si="46"/>
        <v>1</v>
      </c>
      <c r="G251" s="43">
        <f t="shared" si="47"/>
        <v>8</v>
      </c>
      <c r="H251" s="43">
        <f t="shared" si="48"/>
        <v>5</v>
      </c>
      <c r="I251" s="22">
        <f t="shared" si="49"/>
        <v>8</v>
      </c>
      <c r="J251" s="18"/>
      <c r="K251" s="109"/>
      <c r="S251" s="288"/>
      <c r="T251" s="288"/>
      <c r="U251" s="288"/>
      <c r="V251" s="288"/>
      <c r="W251" s="288"/>
      <c r="X251" s="288"/>
      <c r="Y251" s="288"/>
    </row>
    <row r="252" spans="1:25" x14ac:dyDescent="0.3">
      <c r="A252" s="24"/>
      <c r="B252" s="313" t="s">
        <v>390</v>
      </c>
      <c r="C252" s="17">
        <f>COUNTIF($S$12:$T$236,"Ghana")</f>
        <v>5</v>
      </c>
      <c r="D252" s="43">
        <f t="shared" si="44"/>
        <v>2</v>
      </c>
      <c r="E252" s="43">
        <f t="shared" si="45"/>
        <v>1</v>
      </c>
      <c r="F252" s="43">
        <f t="shared" si="46"/>
        <v>2</v>
      </c>
      <c r="G252" s="43">
        <f t="shared" si="47"/>
        <v>6</v>
      </c>
      <c r="H252" s="43">
        <f t="shared" si="48"/>
        <v>7</v>
      </c>
      <c r="I252" s="22">
        <f t="shared" si="49"/>
        <v>7</v>
      </c>
      <c r="J252" s="18"/>
      <c r="K252" s="109"/>
      <c r="S252" s="288"/>
      <c r="T252" s="288"/>
      <c r="U252" s="288"/>
      <c r="V252" s="288"/>
      <c r="W252" s="288"/>
      <c r="X252" s="288"/>
      <c r="Y252" s="288"/>
    </row>
    <row r="253" spans="1:25" x14ac:dyDescent="0.3">
      <c r="A253" s="24"/>
      <c r="B253" s="313" t="s">
        <v>351</v>
      </c>
      <c r="C253" s="17">
        <f>COUNTIF($S$12:$T$236,"Japan")</f>
        <v>4</v>
      </c>
      <c r="D253" s="43">
        <f t="shared" si="44"/>
        <v>2</v>
      </c>
      <c r="E253" s="43">
        <f t="shared" si="45"/>
        <v>0</v>
      </c>
      <c r="F253" s="43">
        <f t="shared" si="46"/>
        <v>2</v>
      </c>
      <c r="G253" s="43">
        <f t="shared" si="47"/>
        <v>7</v>
      </c>
      <c r="H253" s="43">
        <f t="shared" si="48"/>
        <v>7</v>
      </c>
      <c r="I253" s="22">
        <f t="shared" si="49"/>
        <v>6</v>
      </c>
      <c r="J253" s="18"/>
      <c r="K253" s="109"/>
      <c r="S253" s="288"/>
      <c r="T253" s="288"/>
      <c r="U253" s="288"/>
      <c r="V253" s="288"/>
      <c r="W253" s="288"/>
      <c r="X253" s="288"/>
      <c r="Y253" s="288"/>
    </row>
    <row r="254" spans="1:25" x14ac:dyDescent="0.3">
      <c r="A254" s="24"/>
      <c r="B254" s="313" t="s">
        <v>6</v>
      </c>
      <c r="C254" s="17">
        <f>COUNTIF($S$12:$T$236,"Chile")</f>
        <v>4</v>
      </c>
      <c r="D254" s="43">
        <f t="shared" si="44"/>
        <v>2</v>
      </c>
      <c r="E254" s="43">
        <f t="shared" si="45"/>
        <v>0</v>
      </c>
      <c r="F254" s="43">
        <f t="shared" si="46"/>
        <v>2</v>
      </c>
      <c r="G254" s="43">
        <f t="shared" si="47"/>
        <v>3</v>
      </c>
      <c r="H254" s="43">
        <f t="shared" si="48"/>
        <v>5</v>
      </c>
      <c r="I254" s="22">
        <f t="shared" si="49"/>
        <v>6</v>
      </c>
      <c r="J254" s="5"/>
      <c r="K254" s="108"/>
      <c r="S254" s="288"/>
      <c r="T254" s="288"/>
      <c r="U254" s="288"/>
      <c r="V254" s="288"/>
      <c r="W254" s="288"/>
      <c r="X254" s="288"/>
      <c r="Y254" s="288"/>
    </row>
    <row r="255" spans="1:25" x14ac:dyDescent="0.3">
      <c r="A255" s="24"/>
      <c r="B255" s="313" t="s">
        <v>133</v>
      </c>
      <c r="C255" s="17">
        <f>COUNTIF($S$12:$T$236,"Portugal")</f>
        <v>4</v>
      </c>
      <c r="D255" s="43">
        <f t="shared" si="44"/>
        <v>1</v>
      </c>
      <c r="E255" s="43">
        <f t="shared" si="45"/>
        <v>2</v>
      </c>
      <c r="F255" s="43">
        <f t="shared" si="46"/>
        <v>1</v>
      </c>
      <c r="G255" s="43">
        <f t="shared" si="47"/>
        <v>7</v>
      </c>
      <c r="H255" s="43">
        <f t="shared" si="48"/>
        <v>1</v>
      </c>
      <c r="I255" s="22">
        <f t="shared" si="49"/>
        <v>5</v>
      </c>
      <c r="J255" s="5"/>
      <c r="K255" s="108"/>
      <c r="S255" s="288"/>
      <c r="T255" s="288"/>
      <c r="U255" s="288"/>
      <c r="V255" s="288"/>
      <c r="W255" s="288"/>
      <c r="X255" s="288"/>
      <c r="Y255" s="288"/>
    </row>
    <row r="256" spans="1:25" x14ac:dyDescent="0.3">
      <c r="A256" s="24"/>
      <c r="B256" s="313" t="s">
        <v>20</v>
      </c>
      <c r="C256" s="17">
        <f>COUNTIF($S$12:$T$236,"USA")</f>
        <v>4</v>
      </c>
      <c r="D256" s="43">
        <f t="shared" si="44"/>
        <v>1</v>
      </c>
      <c r="E256" s="43">
        <f t="shared" si="45"/>
        <v>2</v>
      </c>
      <c r="F256" s="43">
        <f t="shared" si="46"/>
        <v>1</v>
      </c>
      <c r="G256" s="43">
        <f t="shared" si="47"/>
        <v>5</v>
      </c>
      <c r="H256" s="43">
        <f t="shared" si="48"/>
        <v>5</v>
      </c>
      <c r="I256" s="22">
        <f t="shared" si="49"/>
        <v>5</v>
      </c>
      <c r="J256" s="18"/>
      <c r="K256" s="109"/>
      <c r="S256" s="288"/>
      <c r="T256" s="288"/>
      <c r="U256" s="288"/>
      <c r="V256" s="288"/>
      <c r="W256" s="288"/>
      <c r="X256" s="288"/>
      <c r="Y256" s="288"/>
    </row>
    <row r="257" spans="1:25" x14ac:dyDescent="0.3">
      <c r="A257" s="24"/>
      <c r="B257" s="313" t="s">
        <v>74</v>
      </c>
      <c r="C257" s="17">
        <f>COUNTIF($S$12:$T$236,"England")</f>
        <v>4</v>
      </c>
      <c r="D257" s="43">
        <f t="shared" si="44"/>
        <v>1</v>
      </c>
      <c r="E257" s="43">
        <f t="shared" si="45"/>
        <v>2</v>
      </c>
      <c r="F257" s="43">
        <f t="shared" si="46"/>
        <v>1</v>
      </c>
      <c r="G257" s="43">
        <f t="shared" si="47"/>
        <v>3</v>
      </c>
      <c r="H257" s="43">
        <f t="shared" si="48"/>
        <v>5</v>
      </c>
      <c r="I257" s="22">
        <f t="shared" si="49"/>
        <v>5</v>
      </c>
      <c r="J257" s="18"/>
      <c r="K257" s="109"/>
      <c r="S257" s="288"/>
      <c r="T257" s="288"/>
      <c r="U257" s="288"/>
      <c r="V257" s="288"/>
      <c r="W257" s="288"/>
      <c r="X257" s="288"/>
      <c r="Y257" s="288"/>
    </row>
    <row r="258" spans="1:25" x14ac:dyDescent="0.3">
      <c r="A258" s="24"/>
      <c r="B258" s="313" t="s">
        <v>90</v>
      </c>
      <c r="C258" s="17">
        <f>COUNTIF($S$12:$T$236,"Südkorea")</f>
        <v>4</v>
      </c>
      <c r="D258" s="43">
        <f t="shared" si="44"/>
        <v>1</v>
      </c>
      <c r="E258" s="43">
        <f t="shared" si="45"/>
        <v>1</v>
      </c>
      <c r="F258" s="43">
        <f t="shared" si="46"/>
        <v>2</v>
      </c>
      <c r="G258" s="43">
        <f t="shared" si="47"/>
        <v>6</v>
      </c>
      <c r="H258" s="43">
        <f t="shared" si="48"/>
        <v>8</v>
      </c>
      <c r="I258" s="22">
        <f t="shared" si="49"/>
        <v>4</v>
      </c>
      <c r="J258" s="18"/>
      <c r="K258" s="109"/>
      <c r="S258" s="288"/>
      <c r="T258" s="288"/>
      <c r="U258" s="288"/>
      <c r="V258" s="288"/>
      <c r="W258" s="288"/>
      <c r="X258" s="288"/>
      <c r="Y258" s="288"/>
    </row>
    <row r="259" spans="1:25" x14ac:dyDescent="0.3">
      <c r="A259" s="24"/>
      <c r="B259" s="313" t="s">
        <v>410</v>
      </c>
      <c r="C259" s="17">
        <f>COUNTIF($S$12:$T$236,"Slowakei")</f>
        <v>4</v>
      </c>
      <c r="D259" s="43">
        <f t="shared" si="44"/>
        <v>1</v>
      </c>
      <c r="E259" s="43">
        <f t="shared" si="45"/>
        <v>1</v>
      </c>
      <c r="F259" s="43">
        <f t="shared" si="46"/>
        <v>2</v>
      </c>
      <c r="G259" s="43">
        <f t="shared" si="47"/>
        <v>5</v>
      </c>
      <c r="H259" s="43">
        <f t="shared" si="48"/>
        <v>7</v>
      </c>
      <c r="I259" s="22">
        <f t="shared" si="49"/>
        <v>4</v>
      </c>
      <c r="J259" s="18"/>
      <c r="K259" s="109"/>
      <c r="S259" s="288"/>
      <c r="T259" s="288"/>
      <c r="U259" s="288"/>
      <c r="V259" s="288"/>
      <c r="W259" s="288"/>
      <c r="X259" s="288"/>
      <c r="Y259" s="288"/>
    </row>
    <row r="260" spans="1:25" x14ac:dyDescent="0.3">
      <c r="A260" s="24"/>
      <c r="B260" s="313" t="s">
        <v>385</v>
      </c>
      <c r="C260" s="17">
        <f>COUNTIF($S$12:$T$236,"Elfenbeinküste")</f>
        <v>3</v>
      </c>
      <c r="D260" s="43">
        <f t="shared" si="44"/>
        <v>1</v>
      </c>
      <c r="E260" s="43">
        <f t="shared" si="45"/>
        <v>1</v>
      </c>
      <c r="F260" s="43">
        <f t="shared" si="46"/>
        <v>1</v>
      </c>
      <c r="G260" s="43">
        <f t="shared" si="47"/>
        <v>4</v>
      </c>
      <c r="H260" s="43">
        <f t="shared" si="48"/>
        <v>3</v>
      </c>
      <c r="I260" s="22">
        <f t="shared" si="49"/>
        <v>4</v>
      </c>
      <c r="J260" s="5"/>
      <c r="K260" s="108"/>
      <c r="S260" s="288"/>
      <c r="T260" s="288"/>
      <c r="U260" s="288"/>
      <c r="V260" s="288"/>
      <c r="W260" s="288"/>
      <c r="X260" s="288"/>
      <c r="Y260" s="288"/>
    </row>
    <row r="261" spans="1:25" x14ac:dyDescent="0.3">
      <c r="A261" s="24"/>
      <c r="B261" s="313" t="s">
        <v>4</v>
      </c>
      <c r="C261" s="17">
        <f>COUNTIF($S$12:$T$236,"Mexiko")</f>
        <v>4</v>
      </c>
      <c r="D261" s="43">
        <f t="shared" si="44"/>
        <v>1</v>
      </c>
      <c r="E261" s="43">
        <f t="shared" si="45"/>
        <v>1</v>
      </c>
      <c r="F261" s="43">
        <f t="shared" si="46"/>
        <v>2</v>
      </c>
      <c r="G261" s="43">
        <f t="shared" si="47"/>
        <v>4</v>
      </c>
      <c r="H261" s="43">
        <f t="shared" si="48"/>
        <v>5</v>
      </c>
      <c r="I261" s="22">
        <f t="shared" si="49"/>
        <v>4</v>
      </c>
      <c r="J261" s="18"/>
      <c r="K261" s="109"/>
      <c r="S261" s="288"/>
      <c r="T261" s="288"/>
      <c r="U261" s="288"/>
      <c r="V261" s="288"/>
      <c r="W261" s="288"/>
      <c r="X261" s="288"/>
      <c r="Y261" s="288"/>
    </row>
    <row r="262" spans="1:25" x14ac:dyDescent="0.3">
      <c r="A262" s="24"/>
      <c r="B262" s="313" t="s">
        <v>362</v>
      </c>
      <c r="C262" s="17">
        <f>COUNTIF($S$12:$T$236,"Slowenien")</f>
        <v>3</v>
      </c>
      <c r="D262" s="43">
        <f t="shared" si="44"/>
        <v>1</v>
      </c>
      <c r="E262" s="43">
        <f t="shared" si="45"/>
        <v>1</v>
      </c>
      <c r="F262" s="43">
        <f t="shared" si="46"/>
        <v>1</v>
      </c>
      <c r="G262" s="43">
        <f t="shared" si="47"/>
        <v>3</v>
      </c>
      <c r="H262" s="43">
        <f t="shared" si="48"/>
        <v>3</v>
      </c>
      <c r="I262" s="22">
        <f t="shared" si="49"/>
        <v>4</v>
      </c>
      <c r="J262" s="18"/>
      <c r="K262" s="109"/>
      <c r="S262" s="288"/>
      <c r="T262" s="288"/>
      <c r="U262" s="288"/>
      <c r="V262" s="288"/>
      <c r="W262" s="288"/>
      <c r="X262" s="288"/>
      <c r="Y262" s="288"/>
    </row>
    <row r="263" spans="1:25" x14ac:dyDescent="0.3">
      <c r="A263" s="24"/>
      <c r="B263" s="313" t="s">
        <v>348</v>
      </c>
      <c r="C263" s="17">
        <f>COUNTIF($S$12:$T$236,"Südafrika")</f>
        <v>3</v>
      </c>
      <c r="D263" s="43">
        <f t="shared" si="44"/>
        <v>1</v>
      </c>
      <c r="E263" s="43">
        <f t="shared" si="45"/>
        <v>1</v>
      </c>
      <c r="F263" s="43">
        <f t="shared" si="46"/>
        <v>1</v>
      </c>
      <c r="G263" s="43">
        <f t="shared" si="47"/>
        <v>3</v>
      </c>
      <c r="H263" s="43">
        <f t="shared" si="48"/>
        <v>5</v>
      </c>
      <c r="I263" s="22">
        <f t="shared" si="49"/>
        <v>4</v>
      </c>
      <c r="J263" s="18"/>
      <c r="K263" s="109"/>
      <c r="S263" s="288"/>
      <c r="T263" s="288"/>
      <c r="U263" s="288"/>
      <c r="V263" s="288"/>
      <c r="W263" s="288"/>
      <c r="X263" s="288"/>
      <c r="Y263" s="288"/>
    </row>
    <row r="264" spans="1:25" x14ac:dyDescent="0.3">
      <c r="A264" s="24"/>
      <c r="B264" s="313" t="s">
        <v>152</v>
      </c>
      <c r="C264" s="17">
        <f>COUNTIF($S$12:$T$236,"Australien")</f>
        <v>3</v>
      </c>
      <c r="D264" s="43">
        <f t="shared" si="44"/>
        <v>1</v>
      </c>
      <c r="E264" s="43">
        <f t="shared" si="45"/>
        <v>1</v>
      </c>
      <c r="F264" s="43">
        <f t="shared" si="46"/>
        <v>1</v>
      </c>
      <c r="G264" s="43">
        <f t="shared" si="47"/>
        <v>3</v>
      </c>
      <c r="H264" s="43">
        <f t="shared" si="48"/>
        <v>6</v>
      </c>
      <c r="I264" s="22">
        <f t="shared" si="49"/>
        <v>4</v>
      </c>
      <c r="J264" s="18"/>
      <c r="K264" s="109"/>
      <c r="S264" s="288"/>
      <c r="T264" s="288"/>
      <c r="U264" s="288"/>
      <c r="V264" s="288"/>
      <c r="W264" s="288"/>
      <c r="X264" s="288"/>
      <c r="Y264" s="288"/>
    </row>
    <row r="265" spans="1:25" x14ac:dyDescent="0.3">
      <c r="A265" s="24"/>
      <c r="B265" s="313" t="s">
        <v>43</v>
      </c>
      <c r="C265" s="17">
        <f>COUNTIF($S$12:$T$236,"Schweiz")</f>
        <v>3</v>
      </c>
      <c r="D265" s="43">
        <f t="shared" si="44"/>
        <v>1</v>
      </c>
      <c r="E265" s="43">
        <f t="shared" si="45"/>
        <v>1</v>
      </c>
      <c r="F265" s="43">
        <f t="shared" si="46"/>
        <v>1</v>
      </c>
      <c r="G265" s="43">
        <f t="shared" si="47"/>
        <v>1</v>
      </c>
      <c r="H265" s="43">
        <f t="shared" si="48"/>
        <v>1</v>
      </c>
      <c r="I265" s="22">
        <f t="shared" si="49"/>
        <v>4</v>
      </c>
      <c r="J265" s="5"/>
      <c r="K265" s="108"/>
      <c r="S265" s="288"/>
      <c r="T265" s="288"/>
      <c r="U265" s="288"/>
      <c r="V265" s="288"/>
      <c r="W265" s="288"/>
      <c r="X265" s="288"/>
      <c r="Y265" s="288"/>
    </row>
    <row r="266" spans="1:25" x14ac:dyDescent="0.3">
      <c r="A266" s="24"/>
      <c r="B266" s="313" t="s">
        <v>258</v>
      </c>
      <c r="C266" s="17">
        <f>COUNTIF($S$12:$T$236,"Dänemark")</f>
        <v>3</v>
      </c>
      <c r="D266" s="43">
        <f t="shared" si="44"/>
        <v>1</v>
      </c>
      <c r="E266" s="43">
        <f t="shared" si="45"/>
        <v>0</v>
      </c>
      <c r="F266" s="43">
        <f t="shared" si="46"/>
        <v>2</v>
      </c>
      <c r="G266" s="43">
        <f t="shared" si="47"/>
        <v>3</v>
      </c>
      <c r="H266" s="43">
        <f t="shared" si="48"/>
        <v>6</v>
      </c>
      <c r="I266" s="22">
        <f t="shared" si="49"/>
        <v>3</v>
      </c>
      <c r="J266" s="18"/>
      <c r="K266" s="109"/>
      <c r="S266" s="288"/>
      <c r="T266" s="288"/>
      <c r="U266" s="288"/>
      <c r="V266" s="288"/>
      <c r="W266" s="288"/>
      <c r="X266" s="288"/>
      <c r="Y266" s="288"/>
    </row>
    <row r="267" spans="1:25" x14ac:dyDescent="0.3">
      <c r="A267" s="24"/>
      <c r="B267" s="313" t="s">
        <v>205</v>
      </c>
      <c r="C267" s="17">
        <f>COUNTIF($S$12:$T$236,"Neuseeland")</f>
        <v>3</v>
      </c>
      <c r="D267" s="43">
        <f t="shared" si="44"/>
        <v>0</v>
      </c>
      <c r="E267" s="43">
        <f t="shared" si="45"/>
        <v>3</v>
      </c>
      <c r="F267" s="43">
        <f t="shared" si="46"/>
        <v>0</v>
      </c>
      <c r="G267" s="43">
        <f t="shared" si="47"/>
        <v>2</v>
      </c>
      <c r="H267" s="43">
        <f t="shared" si="48"/>
        <v>2</v>
      </c>
      <c r="I267" s="22">
        <f t="shared" si="49"/>
        <v>3</v>
      </c>
      <c r="J267" s="18"/>
      <c r="K267" s="109"/>
      <c r="S267" s="288"/>
      <c r="T267" s="288"/>
      <c r="U267" s="288"/>
      <c r="V267" s="288"/>
      <c r="W267" s="288"/>
      <c r="X267" s="288"/>
      <c r="Y267" s="288"/>
    </row>
    <row r="268" spans="1:25" x14ac:dyDescent="0.3">
      <c r="A268" s="24"/>
      <c r="B268" s="313" t="s">
        <v>408</v>
      </c>
      <c r="C268" s="17">
        <f>COUNTIF($S$12:$T$236,"Serbien")</f>
        <v>3</v>
      </c>
      <c r="D268" s="43">
        <f t="shared" si="44"/>
        <v>1</v>
      </c>
      <c r="E268" s="43">
        <f t="shared" si="45"/>
        <v>0</v>
      </c>
      <c r="F268" s="43">
        <f t="shared" si="46"/>
        <v>2</v>
      </c>
      <c r="G268" s="43">
        <f t="shared" si="47"/>
        <v>2</v>
      </c>
      <c r="H268" s="43">
        <f t="shared" si="48"/>
        <v>3</v>
      </c>
      <c r="I268" s="22">
        <f t="shared" si="49"/>
        <v>3</v>
      </c>
      <c r="J268" s="18"/>
      <c r="K268" s="109"/>
      <c r="S268" s="288"/>
      <c r="T268" s="288"/>
      <c r="U268" s="288"/>
      <c r="V268" s="288"/>
      <c r="W268" s="288"/>
      <c r="X268" s="288"/>
      <c r="Y268" s="288"/>
    </row>
    <row r="269" spans="1:25" x14ac:dyDescent="0.3">
      <c r="A269" s="24"/>
      <c r="B269" s="313" t="s">
        <v>306</v>
      </c>
      <c r="C269" s="17">
        <f>COUNTIF($S$12:$T$236,"Griechenland")</f>
        <v>3</v>
      </c>
      <c r="D269" s="43">
        <f t="shared" si="44"/>
        <v>1</v>
      </c>
      <c r="E269" s="43">
        <f t="shared" si="45"/>
        <v>0</v>
      </c>
      <c r="F269" s="43">
        <f t="shared" si="46"/>
        <v>2</v>
      </c>
      <c r="G269" s="43">
        <f t="shared" si="47"/>
        <v>2</v>
      </c>
      <c r="H269" s="43">
        <f t="shared" si="48"/>
        <v>5</v>
      </c>
      <c r="I269" s="22">
        <f t="shared" si="49"/>
        <v>3</v>
      </c>
      <c r="J269" s="18"/>
      <c r="K269" s="35"/>
      <c r="S269" s="288"/>
      <c r="T269" s="288"/>
      <c r="U269" s="288"/>
      <c r="V269" s="288"/>
      <c r="W269" s="288"/>
      <c r="X269" s="288"/>
      <c r="Y269" s="288"/>
    </row>
    <row r="270" spans="1:25" x14ac:dyDescent="0.3">
      <c r="A270" s="24"/>
      <c r="B270" s="313" t="s">
        <v>37</v>
      </c>
      <c r="C270" s="17">
        <f>COUNTIF($S$12:$T$236,"Italien")</f>
        <v>3</v>
      </c>
      <c r="D270" s="43">
        <f t="shared" si="44"/>
        <v>0</v>
      </c>
      <c r="E270" s="43">
        <f t="shared" si="45"/>
        <v>2</v>
      </c>
      <c r="F270" s="43">
        <f t="shared" si="46"/>
        <v>1</v>
      </c>
      <c r="G270" s="43">
        <f t="shared" si="47"/>
        <v>4</v>
      </c>
      <c r="H270" s="43">
        <f t="shared" si="48"/>
        <v>5</v>
      </c>
      <c r="I270" s="22">
        <f t="shared" si="49"/>
        <v>2</v>
      </c>
      <c r="J270" s="18"/>
      <c r="K270" s="109"/>
      <c r="S270" s="288"/>
      <c r="T270" s="288"/>
      <c r="U270" s="288"/>
      <c r="V270" s="288"/>
      <c r="W270" s="288"/>
      <c r="X270" s="288"/>
      <c r="Y270" s="288"/>
    </row>
    <row r="271" spans="1:25" x14ac:dyDescent="0.3">
      <c r="A271" s="24"/>
      <c r="B271" s="313" t="s">
        <v>307</v>
      </c>
      <c r="C271" s="17">
        <f>COUNTIF($S$12:$T$236,"Nigeria")</f>
        <v>3</v>
      </c>
      <c r="D271" s="43">
        <f t="shared" si="44"/>
        <v>0</v>
      </c>
      <c r="E271" s="43">
        <f t="shared" si="45"/>
        <v>1</v>
      </c>
      <c r="F271" s="43">
        <f t="shared" si="46"/>
        <v>2</v>
      </c>
      <c r="G271" s="43">
        <f t="shared" si="47"/>
        <v>3</v>
      </c>
      <c r="H271" s="43">
        <f t="shared" si="48"/>
        <v>5</v>
      </c>
      <c r="I271" s="22">
        <f t="shared" si="49"/>
        <v>1</v>
      </c>
      <c r="J271" s="18"/>
      <c r="K271" s="109"/>
      <c r="S271" s="288"/>
      <c r="T271" s="288"/>
      <c r="U271" s="288"/>
      <c r="V271" s="288"/>
      <c r="W271" s="288"/>
      <c r="X271" s="288"/>
      <c r="Y271" s="288"/>
    </row>
    <row r="272" spans="1:25" x14ac:dyDescent="0.3">
      <c r="A272" s="24"/>
      <c r="B272" s="313" t="s">
        <v>3</v>
      </c>
      <c r="C272" s="17">
        <f>COUNTIF($S$12:$T$236,"Frankreich")</f>
        <v>3</v>
      </c>
      <c r="D272" s="43">
        <f t="shared" si="44"/>
        <v>0</v>
      </c>
      <c r="E272" s="43">
        <f t="shared" si="45"/>
        <v>1</v>
      </c>
      <c r="F272" s="43">
        <f t="shared" si="46"/>
        <v>2</v>
      </c>
      <c r="G272" s="43">
        <f t="shared" si="47"/>
        <v>1</v>
      </c>
      <c r="H272" s="43">
        <f t="shared" si="48"/>
        <v>4</v>
      </c>
      <c r="I272" s="22">
        <f t="shared" si="49"/>
        <v>1</v>
      </c>
      <c r="J272" s="18"/>
      <c r="K272" s="109"/>
      <c r="S272" s="288"/>
      <c r="T272" s="288"/>
      <c r="U272" s="288"/>
      <c r="V272" s="288"/>
      <c r="W272" s="288"/>
      <c r="X272" s="288"/>
      <c r="Y272" s="288"/>
    </row>
    <row r="273" spans="1:25" x14ac:dyDescent="0.3">
      <c r="A273" s="24"/>
      <c r="B273" s="313" t="s">
        <v>192</v>
      </c>
      <c r="C273" s="17">
        <f>COUNTIF($S$12:$T$236,"Algerien")</f>
        <v>3</v>
      </c>
      <c r="D273" s="43">
        <f t="shared" si="44"/>
        <v>0</v>
      </c>
      <c r="E273" s="43">
        <f t="shared" si="45"/>
        <v>1</v>
      </c>
      <c r="F273" s="43">
        <f t="shared" si="46"/>
        <v>2</v>
      </c>
      <c r="G273" s="43">
        <f t="shared" si="47"/>
        <v>0</v>
      </c>
      <c r="H273" s="43">
        <f t="shared" si="48"/>
        <v>2</v>
      </c>
      <c r="I273" s="22">
        <f t="shared" si="49"/>
        <v>1</v>
      </c>
      <c r="J273" s="18"/>
      <c r="K273" s="109"/>
      <c r="S273" s="288"/>
      <c r="T273" s="288"/>
      <c r="U273" s="288"/>
      <c r="V273" s="288"/>
      <c r="W273" s="288"/>
      <c r="X273" s="288"/>
      <c r="Y273" s="288"/>
    </row>
    <row r="274" spans="1:25" x14ac:dyDescent="0.3">
      <c r="A274" s="24"/>
      <c r="B274" s="313" t="s">
        <v>200</v>
      </c>
      <c r="C274" s="17">
        <f>COUNTIF($S$12:$T$236,"Honduras")</f>
        <v>3</v>
      </c>
      <c r="D274" s="43">
        <f t="shared" si="44"/>
        <v>0</v>
      </c>
      <c r="E274" s="43">
        <f t="shared" si="45"/>
        <v>1</v>
      </c>
      <c r="F274" s="43">
        <f t="shared" si="46"/>
        <v>2</v>
      </c>
      <c r="G274" s="43">
        <f t="shared" si="47"/>
        <v>0</v>
      </c>
      <c r="H274" s="43">
        <f t="shared" si="48"/>
        <v>3</v>
      </c>
      <c r="I274" s="22">
        <f t="shared" si="49"/>
        <v>1</v>
      </c>
      <c r="J274" s="5"/>
      <c r="K274" s="108"/>
      <c r="S274" s="288"/>
      <c r="T274" s="288"/>
      <c r="U274" s="288"/>
      <c r="V274" s="288"/>
      <c r="W274" s="288"/>
      <c r="X274" s="288"/>
      <c r="Y274" s="288"/>
    </row>
    <row r="275" spans="1:25" x14ac:dyDescent="0.3">
      <c r="A275" s="24"/>
      <c r="B275" s="313" t="s">
        <v>190</v>
      </c>
      <c r="C275" s="17">
        <f>COUNTIF($S$12:$T$236,"Kamerun")</f>
        <v>3</v>
      </c>
      <c r="D275" s="43">
        <f t="shared" si="44"/>
        <v>0</v>
      </c>
      <c r="E275" s="43">
        <f t="shared" si="45"/>
        <v>0</v>
      </c>
      <c r="F275" s="43">
        <f t="shared" si="46"/>
        <v>3</v>
      </c>
      <c r="G275" s="43">
        <f t="shared" si="47"/>
        <v>2</v>
      </c>
      <c r="H275" s="43">
        <f t="shared" si="48"/>
        <v>5</v>
      </c>
      <c r="I275" s="22">
        <f t="shared" si="49"/>
        <v>0</v>
      </c>
      <c r="J275" s="18"/>
      <c r="K275" s="109"/>
      <c r="S275" s="288"/>
      <c r="T275" s="288"/>
      <c r="U275" s="288"/>
      <c r="V275" s="288"/>
      <c r="W275" s="288"/>
      <c r="X275" s="288"/>
      <c r="Y275" s="288"/>
    </row>
    <row r="276" spans="1:25" ht="15" thickBot="1" x14ac:dyDescent="0.35">
      <c r="A276" s="24"/>
      <c r="B276" s="316" t="s">
        <v>136</v>
      </c>
      <c r="C276" s="30">
        <f>COUNTIF($S$12:$T$236,"Nordkorea")</f>
        <v>3</v>
      </c>
      <c r="D276" s="80">
        <f t="shared" si="44"/>
        <v>0</v>
      </c>
      <c r="E276" s="80">
        <f t="shared" si="45"/>
        <v>0</v>
      </c>
      <c r="F276" s="80">
        <f t="shared" si="46"/>
        <v>3</v>
      </c>
      <c r="G276" s="80">
        <f t="shared" si="47"/>
        <v>1</v>
      </c>
      <c r="H276" s="80">
        <f t="shared" si="48"/>
        <v>12</v>
      </c>
      <c r="I276" s="32">
        <f t="shared" si="49"/>
        <v>0</v>
      </c>
      <c r="J276" s="5"/>
      <c r="K276" s="108"/>
      <c r="S276" s="288"/>
      <c r="T276" s="288"/>
      <c r="U276" s="288"/>
      <c r="V276" s="288"/>
      <c r="W276" s="288"/>
      <c r="X276" s="288"/>
      <c r="Y276" s="288"/>
    </row>
    <row r="277" spans="1:25" x14ac:dyDescent="0.3">
      <c r="A277" s="302"/>
      <c r="B277" s="301"/>
      <c r="C277" s="301"/>
      <c r="D277" s="301"/>
      <c r="E277" s="301"/>
      <c r="F277" s="301"/>
      <c r="G277" s="5"/>
      <c r="H277" s="5"/>
      <c r="I277" s="5"/>
      <c r="J277" s="5"/>
      <c r="K277" s="108"/>
      <c r="S277" s="288"/>
      <c r="T277" s="288"/>
      <c r="U277" s="288"/>
      <c r="V277" s="288"/>
      <c r="W277" s="288"/>
      <c r="X277" s="288"/>
      <c r="Y277" s="288"/>
    </row>
    <row r="278" spans="1:25" ht="15" thickBot="1" x14ac:dyDescent="0.35">
      <c r="A278" s="110"/>
      <c r="B278" s="36"/>
      <c r="C278" s="36"/>
      <c r="D278" s="36"/>
      <c r="E278" s="36"/>
      <c r="F278" s="36"/>
      <c r="G278" s="37"/>
      <c r="H278" s="37"/>
      <c r="I278" s="37"/>
      <c r="J278" s="37"/>
      <c r="K278" s="193"/>
    </row>
    <row r="279" spans="1:25" ht="15" thickTop="1" x14ac:dyDescent="0.3"/>
  </sheetData>
  <sortState ref="A243:AA274">
    <sortCondition descending="1" ref="I243:I274"/>
    <sortCondition descending="1" ref="G243:G274"/>
    <sortCondition ref="H243:H274"/>
  </sortState>
  <mergeCells count="5">
    <mergeCell ref="C225:I225"/>
    <mergeCell ref="C234:I234"/>
    <mergeCell ref="A2:J2"/>
    <mergeCell ref="A4:J4"/>
    <mergeCell ref="A5:J5"/>
  </mergeCells>
  <pageMargins left="0.7" right="0.7" top="0.78740157499999996" bottom="0.78740157499999996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A286"/>
  <sheetViews>
    <sheetView topLeftCell="A250" workbookViewId="0">
      <selection activeCell="M264" sqref="M264"/>
    </sheetView>
  </sheetViews>
  <sheetFormatPr baseColWidth="10" defaultRowHeight="14.4" x14ac:dyDescent="0.3"/>
  <cols>
    <col min="1" max="6" width="11.77734375" style="1" customWidth="1"/>
    <col min="7" max="10" width="11.77734375" style="2" customWidth="1"/>
    <col min="11" max="27" width="11.77734375" customWidth="1"/>
  </cols>
  <sheetData>
    <row r="1" spans="1:27" ht="15" thickTop="1" x14ac:dyDescent="0.3">
      <c r="A1" s="106"/>
      <c r="B1" s="25"/>
      <c r="C1" s="25"/>
      <c r="D1" s="25"/>
      <c r="E1" s="25"/>
      <c r="F1" s="25"/>
      <c r="G1" s="26"/>
      <c r="H1" s="26"/>
      <c r="I1" s="26"/>
      <c r="J1" s="26"/>
      <c r="K1" s="107"/>
      <c r="S1" s="289"/>
      <c r="T1" s="39"/>
      <c r="U1" s="39"/>
      <c r="V1" s="39"/>
      <c r="W1" s="39"/>
      <c r="X1" s="39"/>
      <c r="Y1" s="290"/>
    </row>
    <row r="2" spans="1:27" ht="46.2" x14ac:dyDescent="0.85">
      <c r="A2" s="425" t="s">
        <v>237</v>
      </c>
      <c r="B2" s="426"/>
      <c r="C2" s="426"/>
      <c r="D2" s="426"/>
      <c r="E2" s="426"/>
      <c r="F2" s="426"/>
      <c r="G2" s="426"/>
      <c r="H2" s="426"/>
      <c r="I2" s="426"/>
      <c r="J2" s="426"/>
      <c r="K2" s="108"/>
      <c r="S2" s="289"/>
      <c r="T2" s="39"/>
      <c r="U2" s="39"/>
      <c r="V2" s="39"/>
      <c r="W2" s="39"/>
      <c r="X2" s="39"/>
      <c r="Y2" s="290"/>
    </row>
    <row r="3" spans="1:27" x14ac:dyDescent="0.3">
      <c r="A3" s="326"/>
      <c r="B3" s="323"/>
      <c r="C3" s="323"/>
      <c r="D3" s="323"/>
      <c r="E3" s="323"/>
      <c r="F3" s="323"/>
      <c r="G3" s="5"/>
      <c r="H3" s="5"/>
      <c r="I3" s="5"/>
      <c r="J3" s="5"/>
      <c r="K3" s="108"/>
      <c r="S3" s="289"/>
      <c r="T3" s="39"/>
      <c r="U3" s="39"/>
      <c r="V3" s="39"/>
      <c r="W3" s="39"/>
      <c r="X3" s="39"/>
      <c r="Y3" s="290"/>
    </row>
    <row r="4" spans="1:27" ht="28.8" x14ac:dyDescent="0.55000000000000004">
      <c r="A4" s="428" t="s">
        <v>236</v>
      </c>
      <c r="B4" s="429"/>
      <c r="C4" s="429"/>
      <c r="D4" s="429"/>
      <c r="E4" s="429"/>
      <c r="F4" s="429"/>
      <c r="G4" s="429"/>
      <c r="H4" s="429"/>
      <c r="I4" s="429"/>
      <c r="J4" s="429"/>
      <c r="K4" s="108"/>
      <c r="S4" s="289"/>
      <c r="T4" s="39"/>
      <c r="U4" s="39"/>
      <c r="V4" s="39"/>
      <c r="W4" s="39"/>
      <c r="X4" s="39"/>
      <c r="Y4" s="290"/>
    </row>
    <row r="5" spans="1:27" ht="21" x14ac:dyDescent="0.4">
      <c r="A5" s="430" t="s">
        <v>238</v>
      </c>
      <c r="B5" s="431"/>
      <c r="C5" s="431"/>
      <c r="D5" s="431"/>
      <c r="E5" s="431"/>
      <c r="F5" s="431"/>
      <c r="G5" s="431"/>
      <c r="H5" s="431"/>
      <c r="I5" s="431"/>
      <c r="J5" s="431"/>
      <c r="K5" s="108"/>
      <c r="S5" s="289"/>
      <c r="T5" s="39"/>
      <c r="U5" s="39"/>
      <c r="V5" s="39"/>
      <c r="W5" s="39"/>
      <c r="X5" s="39"/>
      <c r="Y5" s="290"/>
    </row>
    <row r="6" spans="1:27" ht="14.4" customHeight="1" x14ac:dyDescent="0.4">
      <c r="A6" s="324"/>
      <c r="B6" s="325"/>
      <c r="C6" s="325"/>
      <c r="D6" s="325"/>
      <c r="E6" s="325"/>
      <c r="F6" s="325"/>
      <c r="G6" s="325"/>
      <c r="H6" s="325"/>
      <c r="I6" s="325"/>
      <c r="J6" s="325"/>
      <c r="K6" s="108"/>
      <c r="S6" s="289"/>
      <c r="T6" s="39"/>
      <c r="U6" s="39"/>
      <c r="V6" s="39"/>
      <c r="W6" s="39"/>
      <c r="X6" s="39"/>
      <c r="Y6" s="290"/>
    </row>
    <row r="7" spans="1:27" ht="14.4" customHeight="1" x14ac:dyDescent="0.4">
      <c r="A7" s="324"/>
      <c r="B7" s="325"/>
      <c r="C7" s="325"/>
      <c r="D7" s="325"/>
      <c r="E7" s="325"/>
      <c r="F7" s="325"/>
      <c r="G7" s="325"/>
      <c r="H7" s="325"/>
      <c r="I7" s="325"/>
      <c r="J7" s="325"/>
      <c r="K7" s="108"/>
      <c r="S7" s="289"/>
      <c r="T7" s="39"/>
      <c r="U7" s="39"/>
      <c r="V7" s="39"/>
      <c r="W7" s="39"/>
      <c r="X7" s="39"/>
      <c r="Y7" s="290"/>
    </row>
    <row r="8" spans="1:27" x14ac:dyDescent="0.3">
      <c r="A8" s="326"/>
      <c r="B8" s="323"/>
      <c r="C8" s="323"/>
      <c r="D8" s="323"/>
      <c r="E8" s="323"/>
      <c r="F8" s="323"/>
      <c r="G8" s="5"/>
      <c r="H8" s="5"/>
      <c r="I8" s="5"/>
      <c r="J8" s="5"/>
      <c r="K8" s="108"/>
      <c r="S8" s="289"/>
      <c r="T8" s="39"/>
      <c r="U8" s="39"/>
      <c r="V8" s="39"/>
      <c r="W8" s="39"/>
      <c r="X8" s="39"/>
      <c r="Y8" s="290"/>
    </row>
    <row r="9" spans="1:27" x14ac:dyDescent="0.3">
      <c r="A9" s="156"/>
      <c r="B9" s="323"/>
      <c r="C9" s="323"/>
      <c r="D9" s="323"/>
      <c r="E9" s="323"/>
      <c r="F9" s="323"/>
      <c r="G9" s="323"/>
      <c r="H9" s="5"/>
      <c r="I9" s="5"/>
      <c r="J9" s="5"/>
      <c r="K9" s="108"/>
      <c r="S9" s="117"/>
      <c r="T9" s="323"/>
      <c r="U9" s="323"/>
      <c r="V9" s="323"/>
      <c r="W9" s="323"/>
      <c r="X9" s="323"/>
      <c r="Y9" s="118"/>
    </row>
    <row r="10" spans="1:27" ht="21" x14ac:dyDescent="0.4">
      <c r="A10" s="326"/>
      <c r="B10" s="323"/>
      <c r="C10" s="323"/>
      <c r="D10" s="323"/>
      <c r="E10" s="323"/>
      <c r="F10" s="322" t="s">
        <v>119</v>
      </c>
      <c r="G10" s="5"/>
      <c r="H10" s="5"/>
      <c r="I10" s="5"/>
      <c r="J10" s="5"/>
      <c r="K10" s="108"/>
      <c r="S10" s="117"/>
      <c r="T10" s="323"/>
      <c r="U10" s="323"/>
      <c r="V10" s="323"/>
      <c r="W10" s="323"/>
      <c r="X10" s="323"/>
      <c r="Y10" s="118"/>
    </row>
    <row r="11" spans="1:27" x14ac:dyDescent="0.3">
      <c r="A11" s="326"/>
      <c r="B11" s="323"/>
      <c r="C11" s="323"/>
      <c r="D11" s="323"/>
      <c r="E11" s="323"/>
      <c r="F11" s="28"/>
      <c r="G11" s="5"/>
      <c r="H11" s="5"/>
      <c r="I11" s="5"/>
      <c r="J11" s="5"/>
      <c r="K11" s="108"/>
      <c r="S11" s="117"/>
      <c r="T11" s="323"/>
      <c r="U11" s="323"/>
      <c r="V11" s="323"/>
      <c r="W11" s="323"/>
      <c r="X11" s="323"/>
      <c r="Y11" s="118"/>
    </row>
    <row r="12" spans="1:27" x14ac:dyDescent="0.3">
      <c r="A12" s="326"/>
      <c r="B12" s="323"/>
      <c r="C12" s="40">
        <v>41802</v>
      </c>
      <c r="D12" s="49" t="s">
        <v>9</v>
      </c>
      <c r="E12" s="49" t="s">
        <v>353</v>
      </c>
      <c r="F12" s="49">
        <v>3</v>
      </c>
      <c r="G12" s="49">
        <v>1</v>
      </c>
      <c r="H12" s="323"/>
      <c r="I12" s="323" t="s">
        <v>417</v>
      </c>
      <c r="J12" s="5"/>
      <c r="K12" s="108"/>
      <c r="S12" s="117" t="s">
        <v>9</v>
      </c>
      <c r="T12" s="287" t="s">
        <v>353</v>
      </c>
      <c r="U12" s="287">
        <v>3</v>
      </c>
      <c r="V12" s="287">
        <v>1</v>
      </c>
      <c r="W12" s="287"/>
      <c r="X12" s="126">
        <f t="shared" ref="X12:X16" si="0">(IF(U12&gt;V12,3,IF(U12=V12,1,2)))</f>
        <v>3</v>
      </c>
      <c r="Y12" s="125">
        <f t="shared" ref="Y12:Y16" si="1">(IF(V12&gt;U12,3,IF(U12=V12,1,2)))</f>
        <v>2</v>
      </c>
      <c r="AA12" s="13" t="s">
        <v>9</v>
      </c>
    </row>
    <row r="13" spans="1:27" ht="15" thickBot="1" x14ac:dyDescent="0.35">
      <c r="A13" s="326"/>
      <c r="B13" s="323"/>
      <c r="C13" s="58"/>
      <c r="D13" s="79"/>
      <c r="E13" s="79"/>
      <c r="F13" s="79" t="s">
        <v>172</v>
      </c>
      <c r="G13" s="79" t="s">
        <v>183</v>
      </c>
      <c r="H13" s="328"/>
      <c r="I13" s="328"/>
      <c r="J13" s="5"/>
      <c r="K13" s="108"/>
      <c r="S13" s="117" t="s">
        <v>4</v>
      </c>
      <c r="T13" s="250" t="s">
        <v>190</v>
      </c>
      <c r="U13" s="314">
        <v>1</v>
      </c>
      <c r="V13" s="314">
        <v>0</v>
      </c>
      <c r="W13" s="287"/>
      <c r="X13" s="126">
        <f t="shared" si="0"/>
        <v>3</v>
      </c>
      <c r="Y13" s="125">
        <f t="shared" si="1"/>
        <v>2</v>
      </c>
      <c r="AA13" t="s">
        <v>353</v>
      </c>
    </row>
    <row r="14" spans="1:27" x14ac:dyDescent="0.3">
      <c r="A14" s="326"/>
      <c r="B14" s="323"/>
      <c r="C14" s="40">
        <v>41803</v>
      </c>
      <c r="D14" s="49" t="s">
        <v>4</v>
      </c>
      <c r="E14" s="49" t="s">
        <v>190</v>
      </c>
      <c r="F14" s="49">
        <v>1</v>
      </c>
      <c r="G14" s="49">
        <v>0</v>
      </c>
      <c r="H14" s="323"/>
      <c r="I14" s="5" t="s">
        <v>413</v>
      </c>
      <c r="J14" s="5"/>
      <c r="K14" s="108"/>
      <c r="S14" s="117" t="s">
        <v>9</v>
      </c>
      <c r="T14" s="250" t="s">
        <v>4</v>
      </c>
      <c r="U14" s="314">
        <v>0</v>
      </c>
      <c r="V14" s="314">
        <v>0</v>
      </c>
      <c r="W14" s="287"/>
      <c r="X14" s="126">
        <f t="shared" si="0"/>
        <v>1</v>
      </c>
      <c r="Y14" s="125">
        <f t="shared" si="1"/>
        <v>1</v>
      </c>
      <c r="AA14" t="s">
        <v>4</v>
      </c>
    </row>
    <row r="15" spans="1:27" ht="15" thickBot="1" x14ac:dyDescent="0.35">
      <c r="A15" s="326"/>
      <c r="B15" s="323"/>
      <c r="C15" s="58"/>
      <c r="D15" s="79"/>
      <c r="E15" s="79"/>
      <c r="F15" s="79" t="s">
        <v>170</v>
      </c>
      <c r="G15" s="79" t="s">
        <v>171</v>
      </c>
      <c r="H15" s="323"/>
      <c r="I15" s="5"/>
      <c r="J15" s="5"/>
      <c r="K15" s="108"/>
      <c r="S15" s="117" t="s">
        <v>190</v>
      </c>
      <c r="T15" s="314" t="s">
        <v>353</v>
      </c>
      <c r="U15" s="314">
        <v>0</v>
      </c>
      <c r="V15" s="314">
        <v>4</v>
      </c>
      <c r="W15" s="287"/>
      <c r="X15" s="126">
        <f t="shared" si="0"/>
        <v>2</v>
      </c>
      <c r="Y15" s="125">
        <f t="shared" si="1"/>
        <v>3</v>
      </c>
      <c r="AA15" t="s">
        <v>190</v>
      </c>
    </row>
    <row r="16" spans="1:27" ht="15" thickBot="1" x14ac:dyDescent="0.35">
      <c r="A16" s="326"/>
      <c r="B16" s="323"/>
      <c r="C16" s="88">
        <v>41807</v>
      </c>
      <c r="D16" s="89" t="s">
        <v>9</v>
      </c>
      <c r="E16" s="89" t="s">
        <v>4</v>
      </c>
      <c r="F16" s="89">
        <v>0</v>
      </c>
      <c r="G16" s="89">
        <v>0</v>
      </c>
      <c r="H16" s="286"/>
      <c r="I16" s="91" t="s">
        <v>414</v>
      </c>
      <c r="J16" s="5"/>
      <c r="K16" s="108"/>
      <c r="S16" s="117" t="s">
        <v>190</v>
      </c>
      <c r="T16" s="314" t="s">
        <v>9</v>
      </c>
      <c r="U16" s="314">
        <v>1</v>
      </c>
      <c r="V16" s="314">
        <v>4</v>
      </c>
      <c r="W16" s="287"/>
      <c r="X16" s="126">
        <f t="shared" si="0"/>
        <v>2</v>
      </c>
      <c r="Y16" s="125">
        <f t="shared" si="1"/>
        <v>3</v>
      </c>
      <c r="AA16" t="s">
        <v>35</v>
      </c>
    </row>
    <row r="17" spans="1:27" x14ac:dyDescent="0.3">
      <c r="A17" s="326"/>
      <c r="B17" s="323"/>
      <c r="C17" s="40">
        <v>41808</v>
      </c>
      <c r="D17" s="49" t="s">
        <v>190</v>
      </c>
      <c r="E17" s="49" t="s">
        <v>353</v>
      </c>
      <c r="F17" s="49">
        <v>0</v>
      </c>
      <c r="G17" s="49">
        <v>4</v>
      </c>
      <c r="H17" s="323"/>
      <c r="I17" s="5" t="s">
        <v>415</v>
      </c>
      <c r="J17" s="5"/>
      <c r="K17" s="108"/>
      <c r="S17" s="117" t="s">
        <v>353</v>
      </c>
      <c r="T17" s="314" t="s">
        <v>4</v>
      </c>
      <c r="U17" s="314">
        <v>1</v>
      </c>
      <c r="V17" s="314">
        <v>3</v>
      </c>
      <c r="W17" s="287"/>
      <c r="X17" s="126">
        <f t="shared" ref="X17" si="2">(IF(U17&gt;V17,3,IF(U17=V17,1,2)))</f>
        <v>2</v>
      </c>
      <c r="Y17" s="125">
        <f t="shared" ref="Y17" si="3">(IF(V17&gt;U17,3,IF(U17=V17,1,2)))</f>
        <v>3</v>
      </c>
      <c r="AA17" t="s">
        <v>63</v>
      </c>
    </row>
    <row r="18" spans="1:27" ht="15" thickBot="1" x14ac:dyDescent="0.35">
      <c r="A18" s="326"/>
      <c r="B18" s="323"/>
      <c r="C18" s="58"/>
      <c r="D18" s="79"/>
      <c r="E18" s="79"/>
      <c r="F18" s="79" t="s">
        <v>170</v>
      </c>
      <c r="G18" s="79" t="s">
        <v>183</v>
      </c>
      <c r="H18" s="328"/>
      <c r="I18" s="8"/>
      <c r="J18" s="5"/>
      <c r="K18" s="108"/>
      <c r="S18" s="117"/>
      <c r="T18" s="314"/>
      <c r="U18" s="314"/>
      <c r="V18" s="314"/>
      <c r="W18" s="287"/>
      <c r="X18" s="126"/>
      <c r="Y18" s="125"/>
      <c r="AA18" t="s">
        <v>6</v>
      </c>
    </row>
    <row r="19" spans="1:27" x14ac:dyDescent="0.3">
      <c r="A19" s="326"/>
      <c r="B19" s="323"/>
      <c r="C19" s="40">
        <v>41813</v>
      </c>
      <c r="D19" s="49" t="s">
        <v>190</v>
      </c>
      <c r="E19" s="49" t="s">
        <v>9</v>
      </c>
      <c r="F19" s="49">
        <v>1</v>
      </c>
      <c r="G19" s="49">
        <v>4</v>
      </c>
      <c r="H19" s="323"/>
      <c r="I19" s="5" t="s">
        <v>416</v>
      </c>
      <c r="J19" s="5"/>
      <c r="K19" s="108"/>
      <c r="S19" s="117"/>
      <c r="T19" s="314"/>
      <c r="U19" s="314"/>
      <c r="V19" s="314"/>
      <c r="W19" s="287"/>
      <c r="X19" s="287"/>
      <c r="Y19" s="118"/>
      <c r="AA19" t="s">
        <v>152</v>
      </c>
    </row>
    <row r="20" spans="1:27" ht="15" thickBot="1" x14ac:dyDescent="0.35">
      <c r="A20" s="326"/>
      <c r="B20" s="323"/>
      <c r="C20" s="58"/>
      <c r="D20" s="79"/>
      <c r="E20" s="79"/>
      <c r="F20" s="79" t="s">
        <v>172</v>
      </c>
      <c r="G20" s="79" t="s">
        <v>173</v>
      </c>
      <c r="H20" s="328"/>
      <c r="I20" s="8" t="s">
        <v>418</v>
      </c>
      <c r="J20" s="5"/>
      <c r="K20" s="108"/>
      <c r="S20" s="117"/>
      <c r="T20" s="314"/>
      <c r="U20" s="314"/>
      <c r="V20" s="314"/>
      <c r="W20" s="287"/>
      <c r="X20" s="287"/>
      <c r="Y20" s="118"/>
      <c r="AA20" t="s">
        <v>117</v>
      </c>
    </row>
    <row r="21" spans="1:27" x14ac:dyDescent="0.3">
      <c r="A21" s="326"/>
      <c r="B21" s="323"/>
      <c r="C21" s="40">
        <v>41813</v>
      </c>
      <c r="D21" s="49" t="s">
        <v>353</v>
      </c>
      <c r="E21" s="49" t="s">
        <v>4</v>
      </c>
      <c r="F21" s="49">
        <v>1</v>
      </c>
      <c r="G21" s="49">
        <v>3</v>
      </c>
      <c r="H21" s="323"/>
      <c r="I21" s="5" t="s">
        <v>80</v>
      </c>
      <c r="J21" s="5"/>
      <c r="K21" s="108"/>
      <c r="S21" s="117"/>
      <c r="T21" s="287"/>
      <c r="U21" s="287"/>
      <c r="V21" s="287"/>
      <c r="W21" s="287"/>
      <c r="X21" s="287"/>
      <c r="Y21" s="118"/>
      <c r="AA21" t="s">
        <v>306</v>
      </c>
    </row>
    <row r="22" spans="1:27" x14ac:dyDescent="0.3">
      <c r="A22" s="326"/>
      <c r="B22" s="323"/>
      <c r="C22" s="40"/>
      <c r="D22" s="49"/>
      <c r="E22" s="49"/>
      <c r="F22" s="49" t="s">
        <v>170</v>
      </c>
      <c r="G22" s="49" t="s">
        <v>171</v>
      </c>
      <c r="H22" s="323"/>
      <c r="I22" s="5"/>
      <c r="J22" s="5"/>
      <c r="K22" s="108"/>
      <c r="S22" s="117"/>
      <c r="T22" s="287"/>
      <c r="U22" s="287"/>
      <c r="V22" s="287"/>
      <c r="W22" s="287"/>
      <c r="X22" s="287"/>
      <c r="Y22" s="118"/>
      <c r="AA22" t="s">
        <v>385</v>
      </c>
    </row>
    <row r="23" spans="1:27" x14ac:dyDescent="0.3">
      <c r="A23" s="326"/>
      <c r="B23" s="323"/>
      <c r="C23" s="40"/>
      <c r="D23" s="323"/>
      <c r="E23" s="323"/>
      <c r="F23" s="323"/>
      <c r="G23" s="323"/>
      <c r="H23" s="323"/>
      <c r="I23" s="5"/>
      <c r="J23" s="5"/>
      <c r="K23" s="108"/>
      <c r="S23" s="117"/>
      <c r="T23" s="287"/>
      <c r="U23" s="287"/>
      <c r="V23" s="287"/>
      <c r="W23" s="287"/>
      <c r="X23" s="287"/>
      <c r="Y23" s="118"/>
      <c r="AA23" t="s">
        <v>351</v>
      </c>
    </row>
    <row r="24" spans="1:27" ht="15" thickBot="1" x14ac:dyDescent="0.35">
      <c r="A24" s="326"/>
      <c r="B24" s="323" t="s">
        <v>298</v>
      </c>
      <c r="C24" s="323" t="s">
        <v>12</v>
      </c>
      <c r="D24" s="323" t="s">
        <v>13</v>
      </c>
      <c r="E24" s="323" t="s">
        <v>14</v>
      </c>
      <c r="F24" s="323" t="s">
        <v>15</v>
      </c>
      <c r="G24" s="5" t="s">
        <v>24</v>
      </c>
      <c r="H24" s="5" t="s">
        <v>25</v>
      </c>
      <c r="I24" s="5" t="s">
        <v>301</v>
      </c>
      <c r="J24" s="5"/>
      <c r="K24" s="108"/>
      <c r="S24" s="117"/>
      <c r="T24" s="287"/>
      <c r="U24" s="287"/>
      <c r="V24" s="287"/>
      <c r="W24" s="287"/>
      <c r="X24" s="126"/>
      <c r="Y24" s="125"/>
      <c r="AA24" t="s">
        <v>18</v>
      </c>
    </row>
    <row r="25" spans="1:27" x14ac:dyDescent="0.3">
      <c r="A25" s="326" t="s">
        <v>113</v>
      </c>
      <c r="B25" s="14" t="s">
        <v>9</v>
      </c>
      <c r="C25" s="327">
        <f>COUNTIF($S$12:$T$16,"Rumänien")</f>
        <v>0</v>
      </c>
      <c r="D25" s="124">
        <f>SUMPRODUCT(($S$12:$T$16=B25)*($X$12:$Y$16=3))</f>
        <v>2</v>
      </c>
      <c r="E25" s="124">
        <f>SUMPRODUCT(($S$12:$T$16=B25)*($X$12:$Y$16=1))</f>
        <v>1</v>
      </c>
      <c r="F25" s="124">
        <f>SUMPRODUCT(($S$12:$T$16=B25)*($X$12:$Y$16=2))</f>
        <v>0</v>
      </c>
      <c r="G25" s="124">
        <f>SUMPRODUCT(($S$12:$S$16=B25)*($U$12:$U$16))+SUMPRODUCT(($T$12:$T$16=B25)*($V$12:$V$16))</f>
        <v>7</v>
      </c>
      <c r="H25" s="124">
        <f>SUMPRODUCT(($S$12:$S$16=B25)*($V$12:$V$16))+SUMPRODUCT(($T$12:$T$16=B25)*($U$12:$U$16))</f>
        <v>2</v>
      </c>
      <c r="I25" s="16">
        <f>(D25*3)+E25</f>
        <v>7</v>
      </c>
      <c r="J25" s="18"/>
      <c r="K25" s="108"/>
      <c r="S25" s="117"/>
      <c r="T25" s="287"/>
      <c r="U25" s="287"/>
      <c r="V25" s="287"/>
      <c r="W25" s="287"/>
      <c r="X25" s="287"/>
      <c r="Y25" s="118"/>
      <c r="AA25" t="s">
        <v>286</v>
      </c>
    </row>
    <row r="26" spans="1:27" x14ac:dyDescent="0.3">
      <c r="A26" s="326"/>
      <c r="B26" s="21" t="s">
        <v>353</v>
      </c>
      <c r="C26" s="323"/>
      <c r="D26" s="43"/>
      <c r="E26" s="43"/>
      <c r="F26" s="43"/>
      <c r="G26" s="43"/>
      <c r="H26" s="43"/>
      <c r="I26" s="22"/>
      <c r="J26" s="18"/>
      <c r="K26" s="108"/>
      <c r="S26" s="117"/>
      <c r="T26" s="287"/>
      <c r="U26" s="287"/>
      <c r="V26" s="287"/>
      <c r="W26" s="287"/>
      <c r="X26" s="287"/>
      <c r="Y26" s="118"/>
      <c r="AA26" t="s">
        <v>74</v>
      </c>
    </row>
    <row r="27" spans="1:27" x14ac:dyDescent="0.3">
      <c r="A27" s="326"/>
      <c r="B27" s="3" t="s">
        <v>4</v>
      </c>
      <c r="C27" s="323"/>
      <c r="D27" s="43"/>
      <c r="E27" s="43"/>
      <c r="F27" s="43"/>
      <c r="G27" s="43"/>
      <c r="H27" s="43"/>
      <c r="I27" s="22"/>
      <c r="J27" s="5"/>
      <c r="K27" s="108"/>
      <c r="S27" s="117"/>
      <c r="T27" s="287"/>
      <c r="U27" s="287"/>
      <c r="V27" s="287"/>
      <c r="W27" s="287"/>
      <c r="X27" s="126"/>
      <c r="Y27" s="125"/>
      <c r="AA27" t="s">
        <v>37</v>
      </c>
    </row>
    <row r="28" spans="1:27" ht="15" thickBot="1" x14ac:dyDescent="0.35">
      <c r="A28" s="326"/>
      <c r="B28" s="7" t="s">
        <v>190</v>
      </c>
      <c r="C28" s="328"/>
      <c r="D28" s="80"/>
      <c r="E28" s="80"/>
      <c r="F28" s="80"/>
      <c r="G28" s="80"/>
      <c r="H28" s="80"/>
      <c r="I28" s="32"/>
      <c r="J28" s="5"/>
      <c r="K28" s="108"/>
      <c r="S28" s="117"/>
      <c r="T28" s="287"/>
      <c r="U28" s="287"/>
      <c r="V28" s="287"/>
      <c r="W28" s="287"/>
      <c r="X28" s="126"/>
      <c r="Y28" s="125"/>
      <c r="AA28" t="s">
        <v>43</v>
      </c>
    </row>
    <row r="29" spans="1:27" ht="15" thickBot="1" x14ac:dyDescent="0.35">
      <c r="A29" s="326"/>
      <c r="B29" s="323"/>
      <c r="C29" s="323"/>
      <c r="D29" s="323"/>
      <c r="E29" s="323"/>
      <c r="F29" s="323"/>
      <c r="G29" s="5"/>
      <c r="H29" s="5"/>
      <c r="I29" s="5"/>
      <c r="J29" s="5"/>
      <c r="K29" s="193"/>
      <c r="S29" s="117"/>
      <c r="T29" s="287"/>
      <c r="U29" s="287"/>
      <c r="V29" s="287"/>
      <c r="W29" s="287"/>
      <c r="X29" s="126"/>
      <c r="Y29" s="125"/>
      <c r="AA29" t="s">
        <v>377</v>
      </c>
    </row>
    <row r="30" spans="1:27" ht="15" thickTop="1" x14ac:dyDescent="0.3">
      <c r="A30" s="106"/>
      <c r="B30" s="25"/>
      <c r="C30" s="25"/>
      <c r="D30" s="25"/>
      <c r="E30" s="25"/>
      <c r="F30" s="25"/>
      <c r="G30" s="26"/>
      <c r="H30" s="26"/>
      <c r="I30" s="26"/>
      <c r="J30" s="26"/>
      <c r="K30" s="108"/>
      <c r="S30" s="122"/>
      <c r="T30" s="17"/>
      <c r="U30" s="17"/>
      <c r="V30" s="17"/>
      <c r="W30" s="288"/>
      <c r="X30" s="126"/>
      <c r="Y30" s="125"/>
      <c r="AA30" t="s">
        <v>3</v>
      </c>
    </row>
    <row r="31" spans="1:27" ht="21" x14ac:dyDescent="0.4">
      <c r="A31" s="326"/>
      <c r="B31" s="323"/>
      <c r="C31" s="323"/>
      <c r="D31" s="323"/>
      <c r="E31" s="323"/>
      <c r="F31" s="322" t="s">
        <v>120</v>
      </c>
      <c r="G31" s="5"/>
      <c r="H31" s="5"/>
      <c r="I31" s="5"/>
      <c r="J31" s="5"/>
      <c r="K31" s="108"/>
      <c r="S31" s="117"/>
      <c r="T31" s="287"/>
      <c r="U31" s="287"/>
      <c r="V31" s="287"/>
      <c r="W31" s="288"/>
      <c r="X31" s="126"/>
      <c r="Y31" s="125"/>
      <c r="AA31" t="s">
        <v>200</v>
      </c>
    </row>
    <row r="32" spans="1:27" x14ac:dyDescent="0.3">
      <c r="A32" s="326"/>
      <c r="B32" s="323"/>
      <c r="C32" s="323"/>
      <c r="D32" s="323"/>
      <c r="E32" s="323"/>
      <c r="F32" s="28"/>
      <c r="G32" s="5"/>
      <c r="H32" s="5"/>
      <c r="I32" s="5"/>
      <c r="J32" s="5"/>
      <c r="K32" s="108"/>
      <c r="S32" s="117"/>
      <c r="T32" s="287"/>
      <c r="U32" s="287"/>
      <c r="V32" s="287"/>
      <c r="W32" s="288"/>
      <c r="X32" s="126"/>
      <c r="Y32" s="125"/>
      <c r="AA32" t="s">
        <v>5</v>
      </c>
    </row>
    <row r="33" spans="1:27" x14ac:dyDescent="0.3">
      <c r="A33" s="326"/>
      <c r="B33" s="323"/>
      <c r="C33" s="40">
        <v>41803</v>
      </c>
      <c r="D33" s="49" t="s">
        <v>35</v>
      </c>
      <c r="E33" s="49" t="s">
        <v>63</v>
      </c>
      <c r="F33" s="49">
        <v>1</v>
      </c>
      <c r="G33" s="49">
        <v>5</v>
      </c>
      <c r="H33" s="323"/>
      <c r="I33" s="5" t="s">
        <v>419</v>
      </c>
      <c r="J33" s="5"/>
      <c r="K33" s="108"/>
      <c r="S33" s="117" t="s">
        <v>35</v>
      </c>
      <c r="T33" s="287" t="s">
        <v>63</v>
      </c>
      <c r="U33" s="287">
        <v>1</v>
      </c>
      <c r="V33" s="287">
        <v>5</v>
      </c>
      <c r="W33" s="288"/>
      <c r="X33" s="126">
        <f t="shared" ref="X33:X37" si="4">(IF(U33&gt;V33,3,IF(U33=V33,1,2)))</f>
        <v>2</v>
      </c>
      <c r="Y33" s="125">
        <f t="shared" ref="Y33:Y37" si="5">(IF(V33&gt;U33,3,IF(U33=V33,1,2)))</f>
        <v>3</v>
      </c>
      <c r="AA33" t="s">
        <v>421</v>
      </c>
    </row>
    <row r="34" spans="1:27" ht="15" thickBot="1" x14ac:dyDescent="0.35">
      <c r="A34" s="326"/>
      <c r="B34" s="323"/>
      <c r="C34" s="58"/>
      <c r="D34" s="79"/>
      <c r="E34" s="79"/>
      <c r="F34" s="79" t="s">
        <v>172</v>
      </c>
      <c r="G34" s="79" t="s">
        <v>183</v>
      </c>
      <c r="H34" s="328"/>
      <c r="I34" s="8"/>
      <c r="J34" s="5"/>
      <c r="K34" s="108"/>
      <c r="S34" s="117" t="s">
        <v>6</v>
      </c>
      <c r="T34" s="320" t="s">
        <v>152</v>
      </c>
      <c r="U34" s="320">
        <v>3</v>
      </c>
      <c r="V34" s="320">
        <v>1</v>
      </c>
      <c r="W34" s="288"/>
      <c r="X34" s="126">
        <f t="shared" si="4"/>
        <v>3</v>
      </c>
      <c r="Y34" s="125">
        <f t="shared" si="5"/>
        <v>2</v>
      </c>
      <c r="AA34" t="s">
        <v>177</v>
      </c>
    </row>
    <row r="35" spans="1:27" x14ac:dyDescent="0.3">
      <c r="A35" s="326"/>
      <c r="B35" s="323"/>
      <c r="C35" s="40">
        <v>41803</v>
      </c>
      <c r="D35" s="49" t="s">
        <v>6</v>
      </c>
      <c r="E35" s="49" t="s">
        <v>152</v>
      </c>
      <c r="F35" s="49">
        <v>3</v>
      </c>
      <c r="G35" s="49">
        <v>1</v>
      </c>
      <c r="H35" s="323"/>
      <c r="I35" s="5" t="s">
        <v>420</v>
      </c>
      <c r="J35" s="5"/>
      <c r="K35" s="108"/>
      <c r="S35" s="117" t="s">
        <v>152</v>
      </c>
      <c r="T35" s="320" t="s">
        <v>63</v>
      </c>
      <c r="U35" s="320">
        <v>2</v>
      </c>
      <c r="V35" s="320">
        <v>3</v>
      </c>
      <c r="W35" s="288"/>
      <c r="X35" s="126">
        <f t="shared" si="4"/>
        <v>2</v>
      </c>
      <c r="Y35" s="125">
        <f t="shared" si="5"/>
        <v>3</v>
      </c>
      <c r="AA35" t="s">
        <v>307</v>
      </c>
    </row>
    <row r="36" spans="1:27" ht="15" thickBot="1" x14ac:dyDescent="0.35">
      <c r="A36" s="326"/>
      <c r="B36" s="323"/>
      <c r="C36" s="58"/>
      <c r="D36" s="79"/>
      <c r="E36" s="79"/>
      <c r="F36" s="79" t="s">
        <v>215</v>
      </c>
      <c r="G36" s="79" t="s">
        <v>183</v>
      </c>
      <c r="H36" s="328"/>
      <c r="I36" s="8"/>
      <c r="J36" s="5"/>
      <c r="K36" s="108"/>
      <c r="S36" s="117" t="s">
        <v>35</v>
      </c>
      <c r="T36" s="320" t="s">
        <v>6</v>
      </c>
      <c r="U36" s="320">
        <v>0</v>
      </c>
      <c r="V36" s="320">
        <v>2</v>
      </c>
      <c r="W36" s="288"/>
      <c r="X36" s="126">
        <f t="shared" si="4"/>
        <v>2</v>
      </c>
      <c r="Y36" s="125">
        <f t="shared" si="5"/>
        <v>3</v>
      </c>
      <c r="AA36" t="s">
        <v>88</v>
      </c>
    </row>
    <row r="37" spans="1:27" x14ac:dyDescent="0.3">
      <c r="A37" s="326"/>
      <c r="B37" s="323"/>
      <c r="C37" s="40">
        <v>41808</v>
      </c>
      <c r="D37" s="49" t="s">
        <v>152</v>
      </c>
      <c r="E37" s="49" t="s">
        <v>63</v>
      </c>
      <c r="F37" s="49">
        <v>2</v>
      </c>
      <c r="G37" s="49">
        <v>3</v>
      </c>
      <c r="H37" s="323"/>
      <c r="I37" s="5" t="s">
        <v>79</v>
      </c>
      <c r="J37" s="5"/>
      <c r="K37" s="108"/>
      <c r="S37" s="117" t="s">
        <v>152</v>
      </c>
      <c r="T37" s="320" t="s">
        <v>35</v>
      </c>
      <c r="U37" s="320">
        <v>0</v>
      </c>
      <c r="V37" s="320">
        <v>3</v>
      </c>
      <c r="W37" s="288"/>
      <c r="X37" s="126">
        <f t="shared" si="4"/>
        <v>2</v>
      </c>
      <c r="Y37" s="125">
        <f t="shared" si="5"/>
        <v>3</v>
      </c>
      <c r="AA37" t="s">
        <v>133</v>
      </c>
    </row>
    <row r="38" spans="1:27" ht="15" thickBot="1" x14ac:dyDescent="0.35">
      <c r="A38" s="326"/>
      <c r="B38" s="323"/>
      <c r="C38" s="58"/>
      <c r="D38" s="79"/>
      <c r="E38" s="79"/>
      <c r="F38" s="79" t="s">
        <v>172</v>
      </c>
      <c r="G38" s="79" t="s">
        <v>183</v>
      </c>
      <c r="H38" s="328"/>
      <c r="I38" s="8"/>
      <c r="J38" s="5"/>
      <c r="K38" s="108"/>
      <c r="S38" s="117" t="s">
        <v>63</v>
      </c>
      <c r="T38" s="320" t="s">
        <v>6</v>
      </c>
      <c r="U38" s="320">
        <v>2</v>
      </c>
      <c r="V38" s="320">
        <v>0</v>
      </c>
      <c r="W38" s="288"/>
      <c r="X38" s="126">
        <f t="shared" ref="X38" si="6">(IF(U38&gt;V38,3,IF(U38=V38,1,2)))</f>
        <v>3</v>
      </c>
      <c r="Y38" s="125">
        <f t="shared" ref="Y38" si="7">(IF(V38&gt;U38,3,IF(U38=V38,1,2)))</f>
        <v>2</v>
      </c>
      <c r="AA38" t="s">
        <v>390</v>
      </c>
    </row>
    <row r="39" spans="1:27" x14ac:dyDescent="0.3">
      <c r="A39" s="326"/>
      <c r="B39" s="323"/>
      <c r="C39" s="40">
        <v>41808</v>
      </c>
      <c r="D39" s="49" t="s">
        <v>35</v>
      </c>
      <c r="E39" s="49" t="s">
        <v>6</v>
      </c>
      <c r="F39" s="49">
        <v>0</v>
      </c>
      <c r="G39" s="49">
        <v>2</v>
      </c>
      <c r="H39" s="323"/>
      <c r="I39" s="5" t="s">
        <v>77</v>
      </c>
      <c r="J39" s="5"/>
      <c r="K39" s="108"/>
      <c r="S39" s="117"/>
      <c r="T39" s="320"/>
      <c r="U39" s="320"/>
      <c r="V39" s="320"/>
      <c r="W39" s="288"/>
      <c r="X39" s="126"/>
      <c r="Y39" s="125"/>
      <c r="AA39" t="s">
        <v>20</v>
      </c>
    </row>
    <row r="40" spans="1:27" ht="15" thickBot="1" x14ac:dyDescent="0.35">
      <c r="A40" s="326"/>
      <c r="B40" s="323"/>
      <c r="C40" s="58"/>
      <c r="D40" s="79"/>
      <c r="E40" s="79"/>
      <c r="F40" s="79" t="s">
        <v>170</v>
      </c>
      <c r="G40" s="79" t="s">
        <v>173</v>
      </c>
      <c r="H40" s="328"/>
      <c r="I40" s="8"/>
      <c r="J40" s="5"/>
      <c r="K40" s="108"/>
      <c r="S40" s="117"/>
      <c r="T40" s="320"/>
      <c r="U40" s="320"/>
      <c r="V40" s="320"/>
      <c r="W40" s="288"/>
      <c r="X40" s="126"/>
      <c r="Y40" s="125"/>
      <c r="AA40" t="s">
        <v>21</v>
      </c>
    </row>
    <row r="41" spans="1:27" x14ac:dyDescent="0.3">
      <c r="A41" s="326"/>
      <c r="B41" s="323"/>
      <c r="C41" s="40">
        <v>41813</v>
      </c>
      <c r="D41" s="43" t="s">
        <v>152</v>
      </c>
      <c r="E41" s="43" t="s">
        <v>35</v>
      </c>
      <c r="F41" s="43">
        <v>0</v>
      </c>
      <c r="G41" s="43">
        <v>3</v>
      </c>
      <c r="H41" s="17"/>
      <c r="I41" s="5" t="s">
        <v>75</v>
      </c>
      <c r="J41" s="5"/>
      <c r="K41" s="108"/>
      <c r="S41" s="117"/>
      <c r="T41" s="320"/>
      <c r="U41" s="320"/>
      <c r="V41" s="320"/>
      <c r="W41" s="287"/>
      <c r="X41" s="126"/>
      <c r="Y41" s="125"/>
      <c r="AA41" t="s">
        <v>192</v>
      </c>
    </row>
    <row r="42" spans="1:27" ht="15" thickBot="1" x14ac:dyDescent="0.35">
      <c r="A42" s="326"/>
      <c r="B42" s="323"/>
      <c r="C42" s="58"/>
      <c r="D42" s="80"/>
      <c r="E42" s="80"/>
      <c r="F42" s="80" t="s">
        <v>170</v>
      </c>
      <c r="G42" s="80" t="s">
        <v>183</v>
      </c>
      <c r="H42" s="30"/>
      <c r="I42" s="8"/>
      <c r="J42" s="5"/>
      <c r="K42" s="108"/>
      <c r="S42" s="117"/>
      <c r="T42" s="320"/>
      <c r="U42" s="320"/>
      <c r="V42" s="320"/>
      <c r="W42" s="287"/>
      <c r="X42" s="126"/>
      <c r="Y42" s="125"/>
      <c r="AA42" t="s">
        <v>302</v>
      </c>
    </row>
    <row r="43" spans="1:27" x14ac:dyDescent="0.3">
      <c r="A43" s="326"/>
      <c r="B43" s="323"/>
      <c r="C43" s="40">
        <v>41813</v>
      </c>
      <c r="D43" s="43" t="s">
        <v>63</v>
      </c>
      <c r="E43" s="43" t="s">
        <v>6</v>
      </c>
      <c r="F43" s="43">
        <v>2</v>
      </c>
      <c r="G43" s="43">
        <v>0</v>
      </c>
      <c r="H43" s="17"/>
      <c r="I43" s="5" t="s">
        <v>417</v>
      </c>
      <c r="J43" s="5"/>
      <c r="K43" s="108"/>
      <c r="S43" s="117"/>
      <c r="T43" s="287"/>
      <c r="U43" s="287"/>
      <c r="V43" s="287"/>
      <c r="W43" s="287"/>
      <c r="X43" s="126"/>
      <c r="Y43" s="125"/>
      <c r="AA43" t="s">
        <v>90</v>
      </c>
    </row>
    <row r="44" spans="1:27" x14ac:dyDescent="0.3">
      <c r="A44" s="326"/>
      <c r="B44" s="323"/>
      <c r="C44" s="40"/>
      <c r="D44" s="43"/>
      <c r="E44" s="43"/>
      <c r="F44" s="43" t="s">
        <v>170</v>
      </c>
      <c r="G44" s="43" t="s">
        <v>171</v>
      </c>
      <c r="H44" s="17"/>
      <c r="I44" s="5"/>
      <c r="J44" s="5"/>
      <c r="K44" s="108"/>
      <c r="S44" s="117"/>
      <c r="T44" s="287"/>
      <c r="U44" s="287"/>
      <c r="V44" s="287"/>
      <c r="W44" s="287"/>
      <c r="X44" s="126"/>
      <c r="Y44" s="125"/>
    </row>
    <row r="45" spans="1:27" x14ac:dyDescent="0.3">
      <c r="A45" s="156"/>
      <c r="B45" s="17"/>
      <c r="C45" s="17"/>
      <c r="D45" s="17"/>
      <c r="E45" s="17"/>
      <c r="F45" s="17"/>
      <c r="G45" s="18"/>
      <c r="H45" s="5"/>
      <c r="I45" s="5"/>
      <c r="J45" s="5"/>
      <c r="K45" s="108"/>
      <c r="S45" s="117"/>
      <c r="T45" s="287"/>
      <c r="U45" s="287"/>
      <c r="V45" s="287"/>
      <c r="W45" s="287"/>
      <c r="X45" s="126"/>
      <c r="Y45" s="125"/>
    </row>
    <row r="46" spans="1:27" ht="15" thickBot="1" x14ac:dyDescent="0.35">
      <c r="A46" s="326"/>
      <c r="B46" s="323" t="s">
        <v>298</v>
      </c>
      <c r="C46" s="323" t="s">
        <v>12</v>
      </c>
      <c r="D46" s="323" t="s">
        <v>13</v>
      </c>
      <c r="E46" s="323" t="s">
        <v>14</v>
      </c>
      <c r="F46" s="323" t="s">
        <v>15</v>
      </c>
      <c r="G46" s="5" t="s">
        <v>24</v>
      </c>
      <c r="H46" s="5" t="s">
        <v>25</v>
      </c>
      <c r="I46" s="5" t="s">
        <v>301</v>
      </c>
      <c r="J46" s="5"/>
      <c r="K46" s="108"/>
      <c r="S46" s="117"/>
      <c r="T46" s="287"/>
      <c r="U46" s="287"/>
      <c r="V46" s="287"/>
      <c r="W46" s="287"/>
      <c r="X46" s="126"/>
      <c r="Y46" s="125"/>
    </row>
    <row r="47" spans="1:27" x14ac:dyDescent="0.3">
      <c r="A47" s="326" t="s">
        <v>113</v>
      </c>
      <c r="B47" s="14" t="s">
        <v>35</v>
      </c>
      <c r="C47" s="329">
        <v>3</v>
      </c>
      <c r="D47" s="329">
        <v>2</v>
      </c>
      <c r="E47" s="329">
        <v>1</v>
      </c>
      <c r="F47" s="329">
        <v>0</v>
      </c>
      <c r="G47" s="15">
        <v>6</v>
      </c>
      <c r="H47" s="15">
        <v>1</v>
      </c>
      <c r="I47" s="15">
        <v>7</v>
      </c>
      <c r="J47" s="86"/>
      <c r="K47" s="108"/>
      <c r="S47" s="117"/>
      <c r="T47" s="287"/>
      <c r="U47" s="287"/>
      <c r="V47" s="287"/>
      <c r="W47" s="287"/>
      <c r="X47" s="126"/>
      <c r="Y47" s="125"/>
    </row>
    <row r="48" spans="1:27" x14ac:dyDescent="0.3">
      <c r="A48" s="326"/>
      <c r="B48" s="21" t="s">
        <v>63</v>
      </c>
      <c r="C48" s="17"/>
      <c r="D48" s="17"/>
      <c r="E48" s="17"/>
      <c r="F48" s="17"/>
      <c r="G48" s="18"/>
      <c r="H48" s="18"/>
      <c r="I48" s="18"/>
      <c r="J48" s="86"/>
      <c r="K48" s="108"/>
      <c r="S48" s="117"/>
      <c r="T48" s="287"/>
      <c r="U48" s="287"/>
      <c r="V48" s="287"/>
      <c r="W48" s="287"/>
      <c r="X48" s="126"/>
      <c r="Y48" s="125"/>
    </row>
    <row r="49" spans="1:25" x14ac:dyDescent="0.3">
      <c r="A49" s="326"/>
      <c r="B49" s="3" t="s">
        <v>6</v>
      </c>
      <c r="C49" s="323"/>
      <c r="D49" s="323"/>
      <c r="E49" s="323"/>
      <c r="F49" s="323"/>
      <c r="G49" s="5"/>
      <c r="H49" s="5"/>
      <c r="I49" s="5"/>
      <c r="J49" s="87"/>
      <c r="K49" s="108"/>
      <c r="S49" s="117"/>
      <c r="T49" s="287"/>
      <c r="U49" s="287"/>
      <c r="V49" s="287"/>
      <c r="W49" s="287"/>
      <c r="X49" s="126"/>
      <c r="Y49" s="125"/>
    </row>
    <row r="50" spans="1:25" ht="15" thickBot="1" x14ac:dyDescent="0.35">
      <c r="A50" s="326"/>
      <c r="B50" s="7" t="s">
        <v>152</v>
      </c>
      <c r="C50" s="328"/>
      <c r="D50" s="328"/>
      <c r="E50" s="328"/>
      <c r="F50" s="328"/>
      <c r="G50" s="8"/>
      <c r="H50" s="8"/>
      <c r="I50" s="8"/>
      <c r="J50" s="87"/>
      <c r="K50" s="108"/>
      <c r="S50" s="117"/>
      <c r="T50" s="287"/>
      <c r="U50" s="287"/>
      <c r="V50" s="287"/>
      <c r="W50" s="287"/>
      <c r="X50" s="126"/>
      <c r="Y50" s="125"/>
    </row>
    <row r="51" spans="1:25" ht="15" thickBot="1" x14ac:dyDescent="0.35">
      <c r="A51" s="326"/>
      <c r="B51" s="323"/>
      <c r="C51" s="323"/>
      <c r="D51" s="323"/>
      <c r="E51" s="323"/>
      <c r="F51" s="323"/>
      <c r="G51" s="5"/>
      <c r="H51" s="5"/>
      <c r="I51" s="5"/>
      <c r="J51" s="5"/>
      <c r="K51" s="193"/>
      <c r="S51" s="117"/>
      <c r="T51" s="287"/>
      <c r="U51" s="287"/>
      <c r="V51" s="287"/>
      <c r="W51" s="287"/>
      <c r="X51" s="126"/>
      <c r="Y51" s="125"/>
    </row>
    <row r="52" spans="1:25" ht="15" thickTop="1" x14ac:dyDescent="0.3">
      <c r="A52" s="106"/>
      <c r="B52" s="25"/>
      <c r="C52" s="25"/>
      <c r="D52" s="25"/>
      <c r="E52" s="25"/>
      <c r="F52" s="25"/>
      <c r="G52" s="26"/>
      <c r="H52" s="26"/>
      <c r="I52" s="26"/>
      <c r="J52" s="26"/>
      <c r="K52" s="108"/>
      <c r="S52" s="117"/>
      <c r="T52" s="287"/>
      <c r="U52" s="287"/>
      <c r="V52" s="287"/>
      <c r="W52" s="287"/>
      <c r="X52" s="126"/>
      <c r="Y52" s="125"/>
    </row>
    <row r="53" spans="1:25" ht="21" x14ac:dyDescent="0.4">
      <c r="A53" s="326"/>
      <c r="B53" s="323"/>
      <c r="C53" s="323"/>
      <c r="D53" s="323"/>
      <c r="E53" s="323"/>
      <c r="F53" s="322" t="s">
        <v>121</v>
      </c>
      <c r="G53" s="5"/>
      <c r="H53" s="5"/>
      <c r="I53" s="5"/>
      <c r="J53" s="5"/>
      <c r="K53" s="108"/>
      <c r="S53" s="122"/>
      <c r="T53" s="17"/>
      <c r="U53" s="17"/>
      <c r="V53" s="17"/>
      <c r="W53" s="17"/>
      <c r="X53" s="126"/>
      <c r="Y53" s="125"/>
    </row>
    <row r="54" spans="1:25" x14ac:dyDescent="0.3">
      <c r="A54" s="326"/>
      <c r="B54" s="323"/>
      <c r="C54" s="323"/>
      <c r="D54" s="323"/>
      <c r="E54" s="323"/>
      <c r="F54" s="28"/>
      <c r="G54" s="5"/>
      <c r="H54" s="5"/>
      <c r="I54" s="5"/>
      <c r="J54" s="5"/>
      <c r="K54" s="108"/>
      <c r="S54" s="122"/>
      <c r="T54" s="17"/>
      <c r="U54" s="17"/>
      <c r="V54" s="17"/>
      <c r="W54" s="17"/>
      <c r="X54" s="126"/>
      <c r="Y54" s="125"/>
    </row>
    <row r="55" spans="1:25" x14ac:dyDescent="0.3">
      <c r="A55" s="326"/>
      <c r="B55" s="323"/>
      <c r="C55" s="40">
        <v>41804</v>
      </c>
      <c r="D55" s="49" t="s">
        <v>117</v>
      </c>
      <c r="E55" s="49" t="s">
        <v>306</v>
      </c>
      <c r="F55" s="49">
        <v>3</v>
      </c>
      <c r="G55" s="51">
        <v>0</v>
      </c>
      <c r="H55" s="5"/>
      <c r="I55" s="5" t="s">
        <v>78</v>
      </c>
      <c r="J55" s="5"/>
      <c r="K55" s="108"/>
      <c r="S55" s="122" t="s">
        <v>117</v>
      </c>
      <c r="T55" s="17" t="s">
        <v>306</v>
      </c>
      <c r="U55" s="17">
        <v>3</v>
      </c>
      <c r="V55" s="17">
        <v>0</v>
      </c>
      <c r="W55" s="17"/>
      <c r="X55" s="126">
        <f t="shared" ref="X55:X59" si="8">(IF(U55&gt;V55,3,IF(U55=V55,1,2)))</f>
        <v>3</v>
      </c>
      <c r="Y55" s="125">
        <f t="shared" ref="Y55:Y59" si="9">(IF(V55&gt;U55,3,IF(U55=V55,1,2)))</f>
        <v>2</v>
      </c>
    </row>
    <row r="56" spans="1:25" ht="15" thickBot="1" x14ac:dyDescent="0.35">
      <c r="A56" s="326"/>
      <c r="B56" s="323"/>
      <c r="C56" s="58"/>
      <c r="D56" s="79"/>
      <c r="E56" s="79"/>
      <c r="F56" s="79" t="s">
        <v>172</v>
      </c>
      <c r="G56" s="81" t="s">
        <v>171</v>
      </c>
      <c r="H56" s="8"/>
      <c r="I56" s="8"/>
      <c r="J56" s="5"/>
      <c r="K56" s="108"/>
      <c r="S56" s="122" t="s">
        <v>385</v>
      </c>
      <c r="T56" s="17" t="s">
        <v>351</v>
      </c>
      <c r="U56" s="17">
        <v>2</v>
      </c>
      <c r="V56" s="17">
        <v>1</v>
      </c>
      <c r="W56" s="17"/>
      <c r="X56" s="126">
        <f t="shared" si="8"/>
        <v>3</v>
      </c>
      <c r="Y56" s="125">
        <f t="shared" si="9"/>
        <v>2</v>
      </c>
    </row>
    <row r="57" spans="1:25" x14ac:dyDescent="0.3">
      <c r="A57" s="326"/>
      <c r="B57" s="323"/>
      <c r="C57" s="40">
        <v>41804</v>
      </c>
      <c r="D57" s="49" t="s">
        <v>385</v>
      </c>
      <c r="E57" s="49" t="s">
        <v>351</v>
      </c>
      <c r="F57" s="49">
        <v>2</v>
      </c>
      <c r="G57" s="51">
        <v>1</v>
      </c>
      <c r="H57" s="5"/>
      <c r="I57" s="5" t="s">
        <v>80</v>
      </c>
      <c r="J57" s="5"/>
      <c r="K57" s="108"/>
      <c r="S57" s="122" t="s">
        <v>117</v>
      </c>
      <c r="T57" s="17" t="s">
        <v>385</v>
      </c>
      <c r="U57" s="17">
        <v>2</v>
      </c>
      <c r="V57" s="17">
        <v>1</v>
      </c>
      <c r="W57" s="17"/>
      <c r="X57" s="126">
        <f t="shared" si="8"/>
        <v>3</v>
      </c>
      <c r="Y57" s="125">
        <f t="shared" si="9"/>
        <v>2</v>
      </c>
    </row>
    <row r="58" spans="1:25" ht="15" thickBot="1" x14ac:dyDescent="0.35">
      <c r="A58" s="326"/>
      <c r="B58" s="323"/>
      <c r="C58" s="58"/>
      <c r="D58" s="79"/>
      <c r="E58" s="79"/>
      <c r="F58" s="79" t="s">
        <v>170</v>
      </c>
      <c r="G58" s="81" t="s">
        <v>183</v>
      </c>
      <c r="H58" s="8"/>
      <c r="I58" s="8"/>
      <c r="J58" s="5"/>
      <c r="K58" s="108"/>
      <c r="S58" s="122" t="s">
        <v>351</v>
      </c>
      <c r="T58" s="17" t="s">
        <v>306</v>
      </c>
      <c r="U58" s="17">
        <v>0</v>
      </c>
      <c r="V58" s="17">
        <v>0</v>
      </c>
      <c r="W58" s="17"/>
      <c r="X58" s="126">
        <f t="shared" si="8"/>
        <v>1</v>
      </c>
      <c r="Y58" s="125">
        <f t="shared" si="9"/>
        <v>1</v>
      </c>
    </row>
    <row r="59" spans="1:25" x14ac:dyDescent="0.3">
      <c r="A59" s="326"/>
      <c r="B59" s="323"/>
      <c r="C59" s="40">
        <v>41809</v>
      </c>
      <c r="D59" s="49" t="s">
        <v>117</v>
      </c>
      <c r="E59" s="49" t="s">
        <v>385</v>
      </c>
      <c r="F59" s="49">
        <v>2</v>
      </c>
      <c r="G59" s="51">
        <v>1</v>
      </c>
      <c r="H59" s="5"/>
      <c r="I59" s="5" t="s">
        <v>416</v>
      </c>
      <c r="J59" s="5"/>
      <c r="K59" s="108"/>
      <c r="S59" s="122" t="s">
        <v>351</v>
      </c>
      <c r="T59" s="17" t="s">
        <v>117</v>
      </c>
      <c r="U59" s="17">
        <v>1</v>
      </c>
      <c r="V59" s="17">
        <v>4</v>
      </c>
      <c r="W59" s="17"/>
      <c r="X59" s="126">
        <f t="shared" si="8"/>
        <v>2</v>
      </c>
      <c r="Y59" s="125">
        <f t="shared" si="9"/>
        <v>3</v>
      </c>
    </row>
    <row r="60" spans="1:25" ht="15" thickBot="1" x14ac:dyDescent="0.35">
      <c r="A60" s="326"/>
      <c r="B60" s="323"/>
      <c r="C60" s="58"/>
      <c r="D60" s="79"/>
      <c r="E60" s="79"/>
      <c r="F60" s="79" t="s">
        <v>170</v>
      </c>
      <c r="G60" s="81" t="s">
        <v>183</v>
      </c>
      <c r="H60" s="8"/>
      <c r="I60" s="8"/>
      <c r="J60" s="5"/>
      <c r="K60" s="108"/>
      <c r="S60" s="117" t="s">
        <v>306</v>
      </c>
      <c r="T60" s="320" t="s">
        <v>385</v>
      </c>
      <c r="U60" s="320">
        <v>2</v>
      </c>
      <c r="V60" s="320">
        <v>1</v>
      </c>
      <c r="W60" s="17"/>
      <c r="X60" s="126">
        <f t="shared" ref="X60" si="10">(IF(U60&gt;V60,3,IF(U60=V60,1,2)))</f>
        <v>3</v>
      </c>
      <c r="Y60" s="125">
        <f t="shared" ref="Y60" si="11">(IF(V60&gt;U60,3,IF(U60=V60,1,2)))</f>
        <v>2</v>
      </c>
    </row>
    <row r="61" spans="1:25" ht="15" thickBot="1" x14ac:dyDescent="0.35">
      <c r="A61" s="326"/>
      <c r="B61" s="323"/>
      <c r="C61" s="88">
        <v>41809</v>
      </c>
      <c r="D61" s="89" t="s">
        <v>351</v>
      </c>
      <c r="E61" s="89" t="s">
        <v>306</v>
      </c>
      <c r="F61" s="89">
        <v>0</v>
      </c>
      <c r="G61" s="90">
        <v>0</v>
      </c>
      <c r="H61" s="91"/>
      <c r="I61" s="91" t="s">
        <v>413</v>
      </c>
      <c r="J61" s="5"/>
      <c r="K61" s="108"/>
      <c r="S61" s="117"/>
      <c r="T61" s="320"/>
      <c r="U61" s="320"/>
      <c r="V61" s="320"/>
      <c r="W61" s="17"/>
      <c r="X61" s="126"/>
      <c r="Y61" s="125"/>
    </row>
    <row r="62" spans="1:25" x14ac:dyDescent="0.3">
      <c r="A62" s="326"/>
      <c r="B62" s="323"/>
      <c r="C62" s="40">
        <v>41814</v>
      </c>
      <c r="D62" s="49" t="s">
        <v>351</v>
      </c>
      <c r="E62" s="49" t="s">
        <v>117</v>
      </c>
      <c r="F62" s="49">
        <v>1</v>
      </c>
      <c r="G62" s="51">
        <v>4</v>
      </c>
      <c r="H62" s="5"/>
      <c r="I62" s="5" t="s">
        <v>420</v>
      </c>
      <c r="J62" s="5"/>
      <c r="K62" s="108"/>
      <c r="S62" s="117"/>
      <c r="T62" s="320"/>
      <c r="U62" s="320"/>
      <c r="V62" s="320"/>
      <c r="W62" s="17"/>
      <c r="X62" s="126"/>
      <c r="Y62" s="125"/>
    </row>
    <row r="63" spans="1:25" ht="15" thickBot="1" x14ac:dyDescent="0.35">
      <c r="A63" s="326"/>
      <c r="B63" s="323"/>
      <c r="C63" s="58"/>
      <c r="D63" s="79"/>
      <c r="E63" s="79"/>
      <c r="F63" s="79" t="s">
        <v>172</v>
      </c>
      <c r="G63" s="81" t="s">
        <v>183</v>
      </c>
      <c r="H63" s="8"/>
      <c r="I63" s="8"/>
      <c r="J63" s="5"/>
      <c r="K63" s="108"/>
      <c r="S63" s="117"/>
      <c r="T63" s="320"/>
      <c r="U63" s="320"/>
      <c r="V63" s="320"/>
      <c r="W63" s="17"/>
      <c r="X63" s="126"/>
      <c r="Y63" s="125"/>
    </row>
    <row r="64" spans="1:25" x14ac:dyDescent="0.3">
      <c r="A64" s="326"/>
      <c r="B64" s="323"/>
      <c r="C64" s="40">
        <v>41814</v>
      </c>
      <c r="D64" s="49" t="s">
        <v>306</v>
      </c>
      <c r="E64" s="49" t="s">
        <v>385</v>
      </c>
      <c r="F64" s="49">
        <v>2</v>
      </c>
      <c r="G64" s="51">
        <v>1</v>
      </c>
      <c r="H64" s="5"/>
      <c r="I64" s="5" t="s">
        <v>414</v>
      </c>
      <c r="J64" s="5"/>
      <c r="K64" s="108"/>
      <c r="S64" s="117"/>
      <c r="T64" s="287"/>
      <c r="U64" s="287"/>
      <c r="V64" s="287"/>
      <c r="W64" s="287"/>
      <c r="X64" s="126"/>
      <c r="Y64" s="125"/>
    </row>
    <row r="65" spans="1:25" x14ac:dyDescent="0.3">
      <c r="A65" s="156"/>
      <c r="B65" s="323"/>
      <c r="C65" s="323"/>
      <c r="D65" s="49"/>
      <c r="E65" s="49"/>
      <c r="F65" s="49" t="s">
        <v>172</v>
      </c>
      <c r="G65" s="51" t="s">
        <v>171</v>
      </c>
      <c r="H65" s="5"/>
      <c r="I65" s="5"/>
      <c r="J65" s="5"/>
      <c r="K65" s="108"/>
      <c r="S65" s="117"/>
      <c r="T65" s="287"/>
      <c r="U65" s="287"/>
      <c r="V65" s="287"/>
      <c r="W65" s="287"/>
      <c r="X65" s="126"/>
      <c r="Y65" s="125"/>
    </row>
    <row r="66" spans="1:25" x14ac:dyDescent="0.3">
      <c r="A66" s="156"/>
      <c r="B66" s="323"/>
      <c r="C66" s="323"/>
      <c r="D66" s="323"/>
      <c r="E66" s="323"/>
      <c r="F66" s="323"/>
      <c r="G66" s="5"/>
      <c r="H66" s="5"/>
      <c r="I66" s="5"/>
      <c r="J66" s="5"/>
      <c r="K66" s="108"/>
      <c r="S66" s="117"/>
      <c r="T66" s="287"/>
      <c r="U66" s="287"/>
      <c r="V66" s="287"/>
      <c r="W66" s="287"/>
      <c r="X66" s="126"/>
      <c r="Y66" s="125"/>
    </row>
    <row r="67" spans="1:25" ht="15" thickBot="1" x14ac:dyDescent="0.35">
      <c r="A67" s="326"/>
      <c r="B67" s="323" t="s">
        <v>298</v>
      </c>
      <c r="C67" s="323" t="s">
        <v>12</v>
      </c>
      <c r="D67" s="323" t="s">
        <v>13</v>
      </c>
      <c r="E67" s="323" t="s">
        <v>14</v>
      </c>
      <c r="F67" s="323" t="s">
        <v>15</v>
      </c>
      <c r="G67" s="5" t="s">
        <v>24</v>
      </c>
      <c r="H67" s="5" t="s">
        <v>25</v>
      </c>
      <c r="I67" s="5" t="s">
        <v>301</v>
      </c>
      <c r="J67" s="5"/>
      <c r="K67" s="108"/>
      <c r="S67" s="117"/>
      <c r="T67" s="287"/>
      <c r="U67" s="287"/>
      <c r="V67" s="287"/>
      <c r="W67" s="287"/>
      <c r="X67" s="126"/>
      <c r="Y67" s="125"/>
    </row>
    <row r="68" spans="1:25" x14ac:dyDescent="0.3">
      <c r="A68" s="326" t="s">
        <v>113</v>
      </c>
      <c r="B68" s="14" t="s">
        <v>117</v>
      </c>
      <c r="C68" s="329">
        <v>3</v>
      </c>
      <c r="D68" s="329">
        <v>2</v>
      </c>
      <c r="E68" s="329">
        <v>1</v>
      </c>
      <c r="F68" s="329">
        <v>0</v>
      </c>
      <c r="G68" s="15">
        <v>5</v>
      </c>
      <c r="H68" s="15">
        <v>3</v>
      </c>
      <c r="I68" s="15">
        <v>7</v>
      </c>
      <c r="J68" s="86"/>
      <c r="K68" s="108"/>
      <c r="S68" s="117"/>
      <c r="T68" s="287"/>
      <c r="U68" s="287"/>
      <c r="V68" s="287"/>
      <c r="W68" s="287"/>
      <c r="X68" s="126"/>
      <c r="Y68" s="125"/>
    </row>
    <row r="69" spans="1:25" x14ac:dyDescent="0.3">
      <c r="A69" s="326"/>
      <c r="B69" s="21" t="s">
        <v>306</v>
      </c>
      <c r="C69" s="17"/>
      <c r="D69" s="17"/>
      <c r="E69" s="17"/>
      <c r="F69" s="17"/>
      <c r="G69" s="18"/>
      <c r="H69" s="18"/>
      <c r="I69" s="18"/>
      <c r="J69" s="86"/>
      <c r="K69" s="108"/>
      <c r="S69" s="117"/>
      <c r="T69" s="287"/>
      <c r="U69" s="287"/>
      <c r="V69" s="287"/>
      <c r="W69" s="287"/>
      <c r="X69" s="126"/>
      <c r="Y69" s="125"/>
    </row>
    <row r="70" spans="1:25" x14ac:dyDescent="0.3">
      <c r="A70" s="326"/>
      <c r="B70" s="3" t="s">
        <v>385</v>
      </c>
      <c r="C70" s="323"/>
      <c r="D70" s="323"/>
      <c r="E70" s="323"/>
      <c r="F70" s="323"/>
      <c r="G70" s="5"/>
      <c r="H70" s="5"/>
      <c r="I70" s="5"/>
      <c r="J70" s="87"/>
      <c r="K70" s="108"/>
      <c r="S70" s="117"/>
      <c r="T70" s="287"/>
      <c r="U70" s="287"/>
      <c r="V70" s="287"/>
      <c r="W70" s="287"/>
      <c r="X70" s="126"/>
      <c r="Y70" s="125"/>
    </row>
    <row r="71" spans="1:25" ht="15" thickBot="1" x14ac:dyDescent="0.35">
      <c r="A71" s="326"/>
      <c r="B71" s="7" t="s">
        <v>351</v>
      </c>
      <c r="C71" s="328"/>
      <c r="D71" s="328"/>
      <c r="E71" s="328"/>
      <c r="F71" s="328"/>
      <c r="G71" s="8"/>
      <c r="H71" s="8"/>
      <c r="I71" s="8"/>
      <c r="J71" s="87"/>
      <c r="K71" s="108"/>
      <c r="S71" s="117"/>
      <c r="T71" s="287"/>
      <c r="U71" s="287"/>
      <c r="V71" s="287"/>
      <c r="W71" s="287"/>
      <c r="X71" s="126"/>
      <c r="Y71" s="125"/>
    </row>
    <row r="72" spans="1:25" ht="15" thickBot="1" x14ac:dyDescent="0.35">
      <c r="A72" s="326"/>
      <c r="B72" s="323"/>
      <c r="C72" s="323"/>
      <c r="D72" s="323"/>
      <c r="E72" s="323"/>
      <c r="F72" s="323"/>
      <c r="G72" s="5"/>
      <c r="H72" s="5"/>
      <c r="I72" s="5"/>
      <c r="J72" s="5"/>
      <c r="K72" s="193"/>
      <c r="S72" s="117"/>
      <c r="T72" s="287"/>
      <c r="U72" s="287"/>
      <c r="V72" s="287"/>
      <c r="W72" s="287"/>
      <c r="X72" s="126"/>
      <c r="Y72" s="125"/>
    </row>
    <row r="73" spans="1:25" ht="15" thickTop="1" x14ac:dyDescent="0.3">
      <c r="A73" s="106"/>
      <c r="B73" s="25"/>
      <c r="C73" s="25"/>
      <c r="D73" s="25"/>
      <c r="E73" s="25"/>
      <c r="F73" s="25"/>
      <c r="G73" s="26"/>
      <c r="H73" s="26"/>
      <c r="I73" s="26"/>
      <c r="J73" s="26"/>
      <c r="K73" s="108"/>
      <c r="S73" s="117"/>
      <c r="T73" s="287"/>
      <c r="U73" s="287"/>
      <c r="V73" s="287"/>
      <c r="W73" s="287"/>
      <c r="X73" s="126"/>
      <c r="Y73" s="125"/>
    </row>
    <row r="74" spans="1:25" ht="21" x14ac:dyDescent="0.4">
      <c r="A74" s="326"/>
      <c r="B74" s="323"/>
      <c r="C74" s="323"/>
      <c r="D74" s="323"/>
      <c r="E74" s="323"/>
      <c r="F74" s="322" t="s">
        <v>122</v>
      </c>
      <c r="G74" s="5"/>
      <c r="H74" s="5"/>
      <c r="I74" s="5"/>
      <c r="J74" s="5"/>
      <c r="K74" s="108"/>
      <c r="S74" s="117"/>
      <c r="T74" s="287"/>
      <c r="U74" s="287"/>
      <c r="V74" s="287"/>
      <c r="W74" s="287"/>
      <c r="X74" s="126"/>
      <c r="Y74" s="125"/>
    </row>
    <row r="75" spans="1:25" x14ac:dyDescent="0.3">
      <c r="A75" s="326"/>
      <c r="B75" s="323"/>
      <c r="C75" s="323"/>
      <c r="D75" s="323"/>
      <c r="E75" s="323"/>
      <c r="F75" s="28"/>
      <c r="G75" s="5"/>
      <c r="H75" s="5"/>
      <c r="I75" s="5"/>
      <c r="J75" s="5"/>
      <c r="K75" s="108"/>
      <c r="S75" s="117"/>
      <c r="T75" s="287"/>
      <c r="U75" s="287"/>
      <c r="V75" s="287"/>
      <c r="W75" s="287"/>
      <c r="X75" s="126"/>
      <c r="Y75" s="125"/>
    </row>
    <row r="76" spans="1:25" x14ac:dyDescent="0.3">
      <c r="A76" s="326"/>
      <c r="B76" s="323"/>
      <c r="C76" s="40">
        <v>41804</v>
      </c>
      <c r="D76" s="49" t="s">
        <v>18</v>
      </c>
      <c r="E76" s="49" t="s">
        <v>286</v>
      </c>
      <c r="F76" s="49">
        <v>1</v>
      </c>
      <c r="G76" s="51">
        <v>3</v>
      </c>
      <c r="H76" s="5"/>
      <c r="I76" s="5" t="s">
        <v>414</v>
      </c>
      <c r="J76" s="5"/>
      <c r="K76" s="108"/>
      <c r="S76" s="117" t="s">
        <v>18</v>
      </c>
      <c r="T76" s="287" t="s">
        <v>286</v>
      </c>
      <c r="U76" s="287">
        <v>1</v>
      </c>
      <c r="V76" s="287">
        <v>3</v>
      </c>
      <c r="W76" s="287"/>
      <c r="X76" s="126">
        <f t="shared" ref="X76:X81" si="12">(IF(U76&gt;V76,3,IF(U76=V76,1,2)))</f>
        <v>2</v>
      </c>
      <c r="Y76" s="125">
        <f t="shared" ref="Y76:Y81" si="13">(IF(V76&gt;U76,3,IF(U76=V76,1,2)))</f>
        <v>3</v>
      </c>
    </row>
    <row r="77" spans="1:25" ht="15" thickBot="1" x14ac:dyDescent="0.35">
      <c r="A77" s="326"/>
      <c r="B77" s="323"/>
      <c r="C77" s="58"/>
      <c r="D77" s="79"/>
      <c r="E77" s="79"/>
      <c r="F77" s="79" t="s">
        <v>172</v>
      </c>
      <c r="G77" s="81" t="s">
        <v>171</v>
      </c>
      <c r="H77" s="8"/>
      <c r="I77" s="8"/>
      <c r="J77" s="5"/>
      <c r="K77" s="108"/>
      <c r="S77" s="117" t="s">
        <v>74</v>
      </c>
      <c r="T77" s="321" t="s">
        <v>37</v>
      </c>
      <c r="U77" s="321">
        <v>1</v>
      </c>
      <c r="V77" s="321">
        <v>2</v>
      </c>
      <c r="W77" s="287"/>
      <c r="X77" s="126">
        <f t="shared" si="12"/>
        <v>2</v>
      </c>
      <c r="Y77" s="125">
        <f t="shared" si="13"/>
        <v>3</v>
      </c>
    </row>
    <row r="78" spans="1:25" x14ac:dyDescent="0.3">
      <c r="A78" s="326"/>
      <c r="B78" s="323"/>
      <c r="C78" s="40">
        <v>41804</v>
      </c>
      <c r="D78" s="49" t="s">
        <v>74</v>
      </c>
      <c r="E78" s="49" t="s">
        <v>37</v>
      </c>
      <c r="F78" s="49">
        <v>1</v>
      </c>
      <c r="G78" s="51">
        <v>2</v>
      </c>
      <c r="H78" s="5"/>
      <c r="I78" s="5" t="s">
        <v>415</v>
      </c>
      <c r="J78" s="5"/>
      <c r="K78" s="108"/>
      <c r="S78" s="117" t="s">
        <v>18</v>
      </c>
      <c r="T78" s="321" t="s">
        <v>74</v>
      </c>
      <c r="U78" s="321">
        <v>2</v>
      </c>
      <c r="V78" s="321">
        <v>1</v>
      </c>
      <c r="W78" s="287"/>
      <c r="X78" s="126">
        <f t="shared" si="12"/>
        <v>3</v>
      </c>
      <c r="Y78" s="125">
        <f t="shared" si="13"/>
        <v>2</v>
      </c>
    </row>
    <row r="79" spans="1:25" ht="15" thickBot="1" x14ac:dyDescent="0.35">
      <c r="A79" s="326"/>
      <c r="B79" s="323"/>
      <c r="C79" s="58"/>
      <c r="D79" s="79"/>
      <c r="E79" s="79"/>
      <c r="F79" s="79" t="s">
        <v>172</v>
      </c>
      <c r="G79" s="81" t="s">
        <v>183</v>
      </c>
      <c r="H79" s="8"/>
      <c r="I79" s="8"/>
      <c r="J79" s="5"/>
      <c r="K79" s="108"/>
      <c r="S79" s="117" t="s">
        <v>37</v>
      </c>
      <c r="T79" s="321" t="s">
        <v>286</v>
      </c>
      <c r="U79" s="321">
        <v>0</v>
      </c>
      <c r="V79" s="321">
        <v>1</v>
      </c>
      <c r="W79" s="287"/>
      <c r="X79" s="126">
        <f t="shared" si="12"/>
        <v>2</v>
      </c>
      <c r="Y79" s="125">
        <f t="shared" si="13"/>
        <v>3</v>
      </c>
    </row>
    <row r="80" spans="1:25" x14ac:dyDescent="0.3">
      <c r="A80" s="326"/>
      <c r="B80" s="323"/>
      <c r="C80" s="40">
        <v>41809</v>
      </c>
      <c r="D80" s="49" t="s">
        <v>18</v>
      </c>
      <c r="E80" s="49" t="s">
        <v>74</v>
      </c>
      <c r="F80" s="49">
        <v>2</v>
      </c>
      <c r="G80" s="51">
        <v>1</v>
      </c>
      <c r="H80" s="5"/>
      <c r="I80" s="5" t="s">
        <v>417</v>
      </c>
      <c r="J80" s="5"/>
      <c r="K80" s="108"/>
      <c r="S80" s="117" t="s">
        <v>37</v>
      </c>
      <c r="T80" s="321" t="s">
        <v>18</v>
      </c>
      <c r="U80" s="321">
        <v>0</v>
      </c>
      <c r="V80" s="321">
        <v>1</v>
      </c>
      <c r="W80" s="287"/>
      <c r="X80" s="126">
        <f t="shared" si="12"/>
        <v>2</v>
      </c>
      <c r="Y80" s="125">
        <f t="shared" si="13"/>
        <v>3</v>
      </c>
    </row>
    <row r="81" spans="1:25" ht="15" thickBot="1" x14ac:dyDescent="0.35">
      <c r="A81" s="326"/>
      <c r="B81" s="323"/>
      <c r="C81" s="58"/>
      <c r="D81" s="79"/>
      <c r="E81" s="79"/>
      <c r="F81" s="79" t="s">
        <v>172</v>
      </c>
      <c r="G81" s="81" t="s">
        <v>171</v>
      </c>
      <c r="H81" s="8"/>
      <c r="I81" s="8"/>
      <c r="J81" s="5"/>
      <c r="K81" s="108"/>
      <c r="S81" s="117" t="s">
        <v>286</v>
      </c>
      <c r="T81" s="321" t="s">
        <v>74</v>
      </c>
      <c r="U81" s="321">
        <v>0</v>
      </c>
      <c r="V81" s="321">
        <v>0</v>
      </c>
      <c r="W81" s="287"/>
      <c r="X81" s="126">
        <f t="shared" si="12"/>
        <v>1</v>
      </c>
      <c r="Y81" s="125">
        <f t="shared" si="13"/>
        <v>1</v>
      </c>
    </row>
    <row r="82" spans="1:25" x14ac:dyDescent="0.3">
      <c r="A82" s="326"/>
      <c r="B82" s="323"/>
      <c r="C82" s="40">
        <v>41810</v>
      </c>
      <c r="D82" s="49" t="s">
        <v>37</v>
      </c>
      <c r="E82" s="49" t="s">
        <v>286</v>
      </c>
      <c r="F82" s="49">
        <v>0</v>
      </c>
      <c r="G82" s="51">
        <v>1</v>
      </c>
      <c r="H82" s="5"/>
      <c r="I82" s="5" t="s">
        <v>80</v>
      </c>
      <c r="J82" s="5"/>
      <c r="K82" s="108"/>
      <c r="S82" s="117"/>
      <c r="T82" s="321"/>
      <c r="U82" s="321"/>
      <c r="V82" s="321"/>
      <c r="W82" s="287"/>
      <c r="X82" s="126"/>
      <c r="Y82" s="125"/>
    </row>
    <row r="83" spans="1:25" ht="15" thickBot="1" x14ac:dyDescent="0.35">
      <c r="A83" s="326"/>
      <c r="B83" s="323"/>
      <c r="C83" s="58"/>
      <c r="D83" s="79"/>
      <c r="E83" s="79"/>
      <c r="F83" s="79" t="s">
        <v>170</v>
      </c>
      <c r="G83" s="81" t="s">
        <v>183</v>
      </c>
      <c r="H83" s="8"/>
      <c r="I83" s="8"/>
      <c r="J83" s="5"/>
      <c r="K83" s="108"/>
      <c r="S83" s="117"/>
      <c r="T83" s="321"/>
      <c r="U83" s="321"/>
      <c r="V83" s="321"/>
      <c r="W83" s="287"/>
      <c r="X83" s="126"/>
      <c r="Y83" s="125"/>
    </row>
    <row r="84" spans="1:25" x14ac:dyDescent="0.3">
      <c r="A84" s="326"/>
      <c r="B84" s="323"/>
      <c r="C84" s="40">
        <v>41814</v>
      </c>
      <c r="D84" s="49" t="s">
        <v>37</v>
      </c>
      <c r="E84" s="49" t="s">
        <v>18</v>
      </c>
      <c r="F84" s="49">
        <v>0</v>
      </c>
      <c r="G84" s="51">
        <v>1</v>
      </c>
      <c r="H84" s="5"/>
      <c r="I84" s="5" t="s">
        <v>413</v>
      </c>
      <c r="J84" s="5"/>
      <c r="K84" s="108"/>
      <c r="S84" s="117"/>
      <c r="T84" s="321"/>
      <c r="U84" s="321"/>
      <c r="V84" s="321"/>
      <c r="W84" s="287"/>
      <c r="X84" s="126"/>
      <c r="Y84" s="125"/>
    </row>
    <row r="85" spans="1:25" ht="15" thickBot="1" x14ac:dyDescent="0.35">
      <c r="A85" s="326"/>
      <c r="B85" s="323"/>
      <c r="C85" s="58"/>
      <c r="D85" s="79"/>
      <c r="E85" s="79"/>
      <c r="F85" s="79" t="s">
        <v>170</v>
      </c>
      <c r="G85" s="81" t="s">
        <v>171</v>
      </c>
      <c r="H85" s="8"/>
      <c r="I85" s="8"/>
      <c r="J85" s="5"/>
      <c r="K85" s="108"/>
      <c r="S85" s="117"/>
      <c r="T85" s="321"/>
      <c r="U85" s="321"/>
      <c r="V85" s="321"/>
      <c r="W85" s="287"/>
      <c r="X85" s="126"/>
      <c r="Y85" s="125"/>
    </row>
    <row r="86" spans="1:25" x14ac:dyDescent="0.3">
      <c r="A86" s="326"/>
      <c r="B86" s="17"/>
      <c r="C86" s="40">
        <v>41814</v>
      </c>
      <c r="D86" s="43" t="s">
        <v>286</v>
      </c>
      <c r="E86" s="43" t="s">
        <v>74</v>
      </c>
      <c r="F86" s="49">
        <v>0</v>
      </c>
      <c r="G86" s="51">
        <v>0</v>
      </c>
      <c r="H86" s="5"/>
      <c r="I86" s="5" t="s">
        <v>78</v>
      </c>
      <c r="J86" s="5"/>
      <c r="K86" s="108"/>
      <c r="S86" s="117"/>
      <c r="T86" s="287"/>
      <c r="U86" s="287"/>
      <c r="V86" s="287"/>
      <c r="W86" s="287"/>
      <c r="X86" s="287"/>
      <c r="Y86" s="118"/>
    </row>
    <row r="87" spans="1:25" x14ac:dyDescent="0.3">
      <c r="A87" s="156"/>
      <c r="B87" s="17"/>
      <c r="C87" s="17"/>
      <c r="D87" s="17"/>
      <c r="E87" s="17"/>
      <c r="F87" s="323"/>
      <c r="G87" s="5"/>
      <c r="H87" s="5"/>
      <c r="I87" s="5"/>
      <c r="J87" s="5"/>
      <c r="K87" s="108"/>
      <c r="S87" s="117"/>
      <c r="T87" s="287"/>
      <c r="U87" s="287"/>
      <c r="V87" s="287"/>
      <c r="W87" s="287"/>
      <c r="X87" s="126"/>
      <c r="Y87" s="125"/>
    </row>
    <row r="88" spans="1:25" ht="15" thickBot="1" x14ac:dyDescent="0.35">
      <c r="A88" s="326"/>
      <c r="B88" s="323" t="s">
        <v>298</v>
      </c>
      <c r="C88" s="323" t="s">
        <v>12</v>
      </c>
      <c r="D88" s="323" t="s">
        <v>13</v>
      </c>
      <c r="E88" s="323" t="s">
        <v>14</v>
      </c>
      <c r="F88" s="323" t="s">
        <v>15</v>
      </c>
      <c r="G88" s="5" t="s">
        <v>24</v>
      </c>
      <c r="H88" s="5" t="s">
        <v>25</v>
      </c>
      <c r="I88" s="5" t="s">
        <v>301</v>
      </c>
      <c r="J88" s="5"/>
      <c r="K88" s="108"/>
      <c r="S88" s="117"/>
      <c r="T88" s="287"/>
      <c r="U88" s="287"/>
      <c r="V88" s="287"/>
      <c r="W88" s="287"/>
      <c r="X88" s="126"/>
      <c r="Y88" s="125"/>
    </row>
    <row r="89" spans="1:25" x14ac:dyDescent="0.3">
      <c r="A89" s="326" t="s">
        <v>113</v>
      </c>
      <c r="B89" s="14" t="s">
        <v>18</v>
      </c>
      <c r="C89" s="329">
        <v>3</v>
      </c>
      <c r="D89" s="329">
        <v>2</v>
      </c>
      <c r="E89" s="329">
        <v>0</v>
      </c>
      <c r="F89" s="329">
        <v>1</v>
      </c>
      <c r="G89" s="15">
        <v>6</v>
      </c>
      <c r="H89" s="15">
        <v>2</v>
      </c>
      <c r="I89" s="15">
        <v>6</v>
      </c>
      <c r="J89" s="86"/>
      <c r="K89" s="108"/>
      <c r="S89" s="117"/>
      <c r="T89" s="287"/>
      <c r="U89" s="287"/>
      <c r="V89" s="287"/>
      <c r="W89" s="287"/>
      <c r="X89" s="126"/>
      <c r="Y89" s="125"/>
    </row>
    <row r="90" spans="1:25" x14ac:dyDescent="0.3">
      <c r="A90" s="326"/>
      <c r="B90" s="21" t="s">
        <v>286</v>
      </c>
      <c r="C90" s="17"/>
      <c r="D90" s="17"/>
      <c r="E90" s="17"/>
      <c r="F90" s="17"/>
      <c r="G90" s="18"/>
      <c r="H90" s="18"/>
      <c r="I90" s="18"/>
      <c r="J90" s="86"/>
      <c r="K90" s="108"/>
      <c r="S90" s="117"/>
      <c r="T90" s="287"/>
      <c r="U90" s="287"/>
      <c r="V90" s="287"/>
      <c r="W90" s="287"/>
      <c r="X90" s="287"/>
      <c r="Y90" s="118"/>
    </row>
    <row r="91" spans="1:25" x14ac:dyDescent="0.3">
      <c r="A91" s="326"/>
      <c r="B91" s="3" t="s">
        <v>74</v>
      </c>
      <c r="C91" s="323"/>
      <c r="D91" s="323"/>
      <c r="E91" s="323"/>
      <c r="F91" s="323"/>
      <c r="G91" s="5"/>
      <c r="H91" s="5"/>
      <c r="I91" s="5"/>
      <c r="J91" s="87"/>
      <c r="K91" s="108"/>
      <c r="S91" s="117"/>
      <c r="T91" s="287"/>
      <c r="U91" s="287"/>
      <c r="V91" s="287"/>
      <c r="W91" s="287"/>
      <c r="X91" s="287"/>
      <c r="Y91" s="118"/>
    </row>
    <row r="92" spans="1:25" ht="15" thickBot="1" x14ac:dyDescent="0.35">
      <c r="A92" s="326"/>
      <c r="B92" s="7" t="s">
        <v>37</v>
      </c>
      <c r="C92" s="328"/>
      <c r="D92" s="328"/>
      <c r="E92" s="328"/>
      <c r="F92" s="328"/>
      <c r="G92" s="8"/>
      <c r="H92" s="8"/>
      <c r="I92" s="8"/>
      <c r="J92" s="87"/>
      <c r="K92" s="108"/>
      <c r="S92" s="117"/>
      <c r="T92" s="287"/>
      <c r="U92" s="287"/>
      <c r="V92" s="287"/>
      <c r="W92" s="287"/>
      <c r="X92" s="287"/>
      <c r="Y92" s="118"/>
    </row>
    <row r="93" spans="1:25" ht="15" thickBot="1" x14ac:dyDescent="0.35">
      <c r="A93" s="326"/>
      <c r="B93" s="323"/>
      <c r="C93" s="323"/>
      <c r="D93" s="323"/>
      <c r="E93" s="323"/>
      <c r="F93" s="323"/>
      <c r="G93" s="5"/>
      <c r="H93" s="5"/>
      <c r="I93" s="5"/>
      <c r="J93" s="5"/>
      <c r="K93" s="193"/>
      <c r="S93" s="117"/>
      <c r="T93" s="287"/>
      <c r="U93" s="287"/>
      <c r="V93" s="287"/>
      <c r="W93" s="287"/>
      <c r="X93" s="126"/>
      <c r="Y93" s="125"/>
    </row>
    <row r="94" spans="1:25" ht="15" thickTop="1" x14ac:dyDescent="0.3">
      <c r="A94" s="106"/>
      <c r="B94" s="25"/>
      <c r="C94" s="25"/>
      <c r="D94" s="25"/>
      <c r="E94" s="25"/>
      <c r="F94" s="25"/>
      <c r="G94" s="26"/>
      <c r="H94" s="26"/>
      <c r="I94" s="26"/>
      <c r="J94" s="26"/>
      <c r="K94" s="108"/>
      <c r="S94" s="117"/>
      <c r="T94" s="287"/>
      <c r="U94" s="287"/>
      <c r="V94" s="287"/>
      <c r="W94" s="287"/>
      <c r="X94" s="126"/>
      <c r="Y94" s="125"/>
    </row>
    <row r="95" spans="1:25" ht="21" x14ac:dyDescent="0.4">
      <c r="A95" s="326"/>
      <c r="B95" s="323"/>
      <c r="C95" s="323"/>
      <c r="D95" s="323"/>
      <c r="E95" s="323"/>
      <c r="F95" s="322" t="s">
        <v>246</v>
      </c>
      <c r="G95" s="5"/>
      <c r="H95" s="5"/>
      <c r="I95" s="5"/>
      <c r="J95" s="5"/>
      <c r="K95" s="108"/>
      <c r="S95" s="117"/>
      <c r="T95" s="287"/>
      <c r="U95" s="287"/>
      <c r="V95" s="287"/>
      <c r="W95" s="287"/>
      <c r="X95" s="126"/>
      <c r="Y95" s="125"/>
    </row>
    <row r="96" spans="1:25" x14ac:dyDescent="0.3">
      <c r="A96" s="326"/>
      <c r="B96" s="323"/>
      <c r="C96" s="323"/>
      <c r="D96" s="323"/>
      <c r="E96" s="323"/>
      <c r="F96" s="28"/>
      <c r="G96" s="5"/>
      <c r="H96" s="5"/>
      <c r="I96" s="5"/>
      <c r="J96" s="5"/>
      <c r="K96" s="108"/>
      <c r="S96" s="117"/>
      <c r="T96" s="287"/>
      <c r="U96" s="287"/>
      <c r="V96" s="287"/>
      <c r="W96" s="287"/>
      <c r="X96" s="126"/>
      <c r="Y96" s="125"/>
    </row>
    <row r="97" spans="1:25" x14ac:dyDescent="0.3">
      <c r="A97" s="326"/>
      <c r="B97" s="323"/>
      <c r="C97" s="40">
        <v>41805</v>
      </c>
      <c r="D97" s="49" t="s">
        <v>43</v>
      </c>
      <c r="E97" s="49" t="s">
        <v>377</v>
      </c>
      <c r="F97" s="49">
        <v>2</v>
      </c>
      <c r="G97" s="51">
        <v>1</v>
      </c>
      <c r="H97" s="5"/>
      <c r="I97" s="5" t="s">
        <v>416</v>
      </c>
      <c r="J97" s="5"/>
      <c r="K97" s="108"/>
      <c r="S97" s="117" t="s">
        <v>43</v>
      </c>
      <c r="T97" s="287" t="s">
        <v>377</v>
      </c>
      <c r="U97" s="287">
        <v>2</v>
      </c>
      <c r="V97" s="287">
        <v>1</v>
      </c>
      <c r="W97" s="287"/>
      <c r="X97" s="126">
        <f t="shared" ref="X97:X100" si="14">(IF(U97&gt;V97,3,IF(U97=V97,1,2)))</f>
        <v>3</v>
      </c>
      <c r="Y97" s="125">
        <f t="shared" ref="Y97:Y100" si="15">(IF(V97&gt;U97,3,IF(U97=V97,1,2)))</f>
        <v>2</v>
      </c>
    </row>
    <row r="98" spans="1:25" ht="15" thickBot="1" x14ac:dyDescent="0.35">
      <c r="A98" s="326"/>
      <c r="B98" s="323"/>
      <c r="C98" s="58"/>
      <c r="D98" s="79"/>
      <c r="E98" s="79"/>
      <c r="F98" s="79" t="s">
        <v>170</v>
      </c>
      <c r="G98" s="81" t="s">
        <v>183</v>
      </c>
      <c r="H98" s="8"/>
      <c r="I98" s="8"/>
      <c r="J98" s="5"/>
      <c r="K98" s="108"/>
      <c r="S98" s="117" t="s">
        <v>3</v>
      </c>
      <c r="T98" s="321" t="s">
        <v>200</v>
      </c>
      <c r="U98" s="321">
        <v>3</v>
      </c>
      <c r="V98" s="321">
        <v>0</v>
      </c>
      <c r="W98" s="287"/>
      <c r="X98" s="126">
        <f t="shared" si="14"/>
        <v>3</v>
      </c>
      <c r="Y98" s="125">
        <f t="shared" si="15"/>
        <v>2</v>
      </c>
    </row>
    <row r="99" spans="1:25" x14ac:dyDescent="0.3">
      <c r="A99" s="326"/>
      <c r="B99" s="323"/>
      <c r="C99" s="40">
        <v>41805</v>
      </c>
      <c r="D99" s="49" t="s">
        <v>3</v>
      </c>
      <c r="E99" s="49" t="s">
        <v>200</v>
      </c>
      <c r="F99" s="49">
        <v>3</v>
      </c>
      <c r="G99" s="51">
        <v>0</v>
      </c>
      <c r="H99" s="5"/>
      <c r="I99" s="5" t="s">
        <v>79</v>
      </c>
      <c r="J99" s="5"/>
      <c r="K99" s="108"/>
      <c r="S99" s="117" t="s">
        <v>43</v>
      </c>
      <c r="T99" s="321" t="s">
        <v>3</v>
      </c>
      <c r="U99" s="321">
        <v>2</v>
      </c>
      <c r="V99" s="321">
        <v>5</v>
      </c>
      <c r="W99" s="287"/>
      <c r="X99" s="126">
        <f t="shared" si="14"/>
        <v>2</v>
      </c>
      <c r="Y99" s="125">
        <f t="shared" si="15"/>
        <v>3</v>
      </c>
    </row>
    <row r="100" spans="1:25" s="13" customFormat="1" ht="15" thickBot="1" x14ac:dyDescent="0.35">
      <c r="A100" s="326"/>
      <c r="B100" s="323"/>
      <c r="C100" s="58"/>
      <c r="D100" s="79"/>
      <c r="E100" s="79"/>
      <c r="F100" s="79" t="s">
        <v>172</v>
      </c>
      <c r="G100" s="81" t="s">
        <v>171</v>
      </c>
      <c r="H100" s="8"/>
      <c r="I100" s="8"/>
      <c r="J100" s="5"/>
      <c r="K100" s="108"/>
      <c r="S100" s="117" t="s">
        <v>200</v>
      </c>
      <c r="T100" s="321" t="s">
        <v>377</v>
      </c>
      <c r="U100" s="321">
        <v>1</v>
      </c>
      <c r="V100" s="321">
        <v>2</v>
      </c>
      <c r="W100" s="287"/>
      <c r="X100" s="126">
        <f t="shared" si="14"/>
        <v>2</v>
      </c>
      <c r="Y100" s="125">
        <f t="shared" si="15"/>
        <v>3</v>
      </c>
    </row>
    <row r="101" spans="1:25" s="13" customFormat="1" x14ac:dyDescent="0.3">
      <c r="A101" s="326"/>
      <c r="B101" s="323"/>
      <c r="C101" s="40">
        <v>41810</v>
      </c>
      <c r="D101" s="49" t="s">
        <v>43</v>
      </c>
      <c r="E101" s="49" t="s">
        <v>3</v>
      </c>
      <c r="F101" s="49">
        <v>2</v>
      </c>
      <c r="G101" s="51">
        <v>5</v>
      </c>
      <c r="H101" s="5"/>
      <c r="I101" s="5" t="s">
        <v>419</v>
      </c>
      <c r="J101" s="5"/>
      <c r="K101" s="108"/>
      <c r="S101" s="117" t="s">
        <v>200</v>
      </c>
      <c r="T101" s="321" t="s">
        <v>43</v>
      </c>
      <c r="U101" s="321">
        <v>0</v>
      </c>
      <c r="V101" s="321">
        <v>3</v>
      </c>
      <c r="W101" s="287"/>
      <c r="X101" s="126">
        <f t="shared" ref="X101:X102" si="16">(IF(U101&gt;V101,3,IF(U101=V101,1,2)))</f>
        <v>2</v>
      </c>
      <c r="Y101" s="125">
        <f t="shared" ref="Y101:Y102" si="17">(IF(V101&gt;U101,3,IF(U101=V101,1,2)))</f>
        <v>3</v>
      </c>
    </row>
    <row r="102" spans="1:25" s="13" customFormat="1" ht="15" thickBot="1" x14ac:dyDescent="0.35">
      <c r="A102" s="326"/>
      <c r="B102" s="323"/>
      <c r="C102" s="58"/>
      <c r="D102" s="79"/>
      <c r="E102" s="79"/>
      <c r="F102" s="79" t="s">
        <v>170</v>
      </c>
      <c r="G102" s="81" t="s">
        <v>274</v>
      </c>
      <c r="H102" s="8"/>
      <c r="I102" s="8"/>
      <c r="J102" s="5"/>
      <c r="K102" s="108"/>
      <c r="S102" s="117" t="s">
        <v>377</v>
      </c>
      <c r="T102" s="321" t="s">
        <v>3</v>
      </c>
      <c r="U102" s="321">
        <v>0</v>
      </c>
      <c r="V102" s="321">
        <v>0</v>
      </c>
      <c r="W102" s="287"/>
      <c r="X102" s="126">
        <f t="shared" si="16"/>
        <v>1</v>
      </c>
      <c r="Y102" s="125">
        <f t="shared" si="17"/>
        <v>1</v>
      </c>
    </row>
    <row r="103" spans="1:25" x14ac:dyDescent="0.3">
      <c r="A103" s="326"/>
      <c r="B103" s="323"/>
      <c r="C103" s="40">
        <v>41810</v>
      </c>
      <c r="D103" s="49" t="s">
        <v>200</v>
      </c>
      <c r="E103" s="49" t="s">
        <v>377</v>
      </c>
      <c r="F103" s="49">
        <v>1</v>
      </c>
      <c r="G103" s="51">
        <v>2</v>
      </c>
      <c r="H103" s="5"/>
      <c r="I103" s="5" t="s">
        <v>75</v>
      </c>
      <c r="J103" s="5"/>
      <c r="K103" s="108"/>
      <c r="S103" s="117"/>
      <c r="T103" s="321"/>
      <c r="U103" s="321"/>
      <c r="V103" s="321"/>
      <c r="W103" s="287"/>
      <c r="X103" s="126"/>
      <c r="Y103" s="125"/>
    </row>
    <row r="104" spans="1:25" ht="15" thickBot="1" x14ac:dyDescent="0.35">
      <c r="A104" s="326"/>
      <c r="B104" s="323"/>
      <c r="C104" s="58"/>
      <c r="D104" s="79"/>
      <c r="E104" s="79"/>
      <c r="F104" s="79" t="s">
        <v>172</v>
      </c>
      <c r="G104" s="81" t="s">
        <v>183</v>
      </c>
      <c r="H104" s="8"/>
      <c r="I104" s="8"/>
      <c r="J104" s="5"/>
      <c r="K104" s="108"/>
      <c r="S104" s="117"/>
      <c r="T104" s="321"/>
      <c r="U104" s="321"/>
      <c r="V104" s="321"/>
      <c r="W104" s="287"/>
      <c r="X104" s="126"/>
      <c r="Y104" s="125"/>
    </row>
    <row r="105" spans="1:25" x14ac:dyDescent="0.3">
      <c r="A105" s="326"/>
      <c r="B105" s="323"/>
      <c r="C105" s="269">
        <v>41815</v>
      </c>
      <c r="D105" s="270" t="s">
        <v>200</v>
      </c>
      <c r="E105" s="270" t="s">
        <v>43</v>
      </c>
      <c r="F105" s="270">
        <v>0</v>
      </c>
      <c r="G105" s="271">
        <v>3</v>
      </c>
      <c r="H105" s="20"/>
      <c r="I105" s="20" t="s">
        <v>415</v>
      </c>
      <c r="J105" s="5"/>
      <c r="K105" s="108"/>
      <c r="S105" s="117"/>
      <c r="T105" s="321"/>
      <c r="U105" s="321"/>
      <c r="V105" s="321"/>
      <c r="W105" s="287"/>
      <c r="X105" s="126"/>
      <c r="Y105" s="125"/>
    </row>
    <row r="106" spans="1:25" ht="15" thickBot="1" x14ac:dyDescent="0.35">
      <c r="A106" s="326"/>
      <c r="B106" s="323"/>
      <c r="C106" s="58"/>
      <c r="D106" s="79"/>
      <c r="E106" s="79"/>
      <c r="F106" s="79" t="s">
        <v>170</v>
      </c>
      <c r="G106" s="81" t="s">
        <v>173</v>
      </c>
      <c r="H106" s="8"/>
      <c r="I106" s="8"/>
      <c r="J106" s="5"/>
      <c r="K106" s="108"/>
      <c r="S106" s="117"/>
      <c r="T106" s="321"/>
      <c r="U106" s="321"/>
      <c r="V106" s="321"/>
      <c r="W106" s="321"/>
      <c r="X106" s="126"/>
      <c r="Y106" s="125"/>
    </row>
    <row r="107" spans="1:25" x14ac:dyDescent="0.3">
      <c r="A107" s="326"/>
      <c r="B107" s="17"/>
      <c r="C107" s="40">
        <v>41815</v>
      </c>
      <c r="D107" s="43" t="s">
        <v>377</v>
      </c>
      <c r="E107" s="43" t="s">
        <v>3</v>
      </c>
      <c r="F107" s="49">
        <v>0</v>
      </c>
      <c r="G107" s="51">
        <v>0</v>
      </c>
      <c r="H107" s="5"/>
      <c r="I107" s="5" t="s">
        <v>77</v>
      </c>
      <c r="J107" s="5"/>
      <c r="K107" s="108"/>
      <c r="S107" s="117"/>
      <c r="T107" s="287"/>
      <c r="U107" s="287"/>
      <c r="V107" s="287"/>
      <c r="W107" s="287"/>
      <c r="X107" s="126"/>
      <c r="Y107" s="125"/>
    </row>
    <row r="108" spans="1:25" x14ac:dyDescent="0.3">
      <c r="A108" s="156"/>
      <c r="B108" s="17"/>
      <c r="C108" s="17"/>
      <c r="D108" s="17"/>
      <c r="E108" s="17"/>
      <c r="F108" s="323"/>
      <c r="G108" s="5"/>
      <c r="H108" s="5"/>
      <c r="I108" s="5"/>
      <c r="J108" s="5"/>
      <c r="K108" s="108"/>
      <c r="S108" s="117"/>
      <c r="T108" s="287"/>
      <c r="U108" s="287"/>
      <c r="V108" s="287"/>
      <c r="W108" s="287"/>
      <c r="X108" s="287"/>
      <c r="Y108" s="118"/>
    </row>
    <row r="109" spans="1:25" ht="15" thickBot="1" x14ac:dyDescent="0.35">
      <c r="A109" s="326"/>
      <c r="B109" s="323" t="s">
        <v>298</v>
      </c>
      <c r="C109" s="323" t="s">
        <v>12</v>
      </c>
      <c r="D109" s="323" t="s">
        <v>13</v>
      </c>
      <c r="E109" s="323" t="s">
        <v>14</v>
      </c>
      <c r="F109" s="323" t="s">
        <v>15</v>
      </c>
      <c r="G109" s="5" t="s">
        <v>24</v>
      </c>
      <c r="H109" s="5" t="s">
        <v>25</v>
      </c>
      <c r="I109" s="5" t="s">
        <v>301</v>
      </c>
      <c r="J109" s="5"/>
      <c r="K109" s="108"/>
      <c r="S109" s="117"/>
      <c r="T109" s="287"/>
      <c r="U109" s="287"/>
      <c r="V109" s="287"/>
      <c r="W109" s="287"/>
      <c r="X109" s="287"/>
      <c r="Y109" s="118"/>
    </row>
    <row r="110" spans="1:25" x14ac:dyDescent="0.3">
      <c r="A110" s="326" t="s">
        <v>113</v>
      </c>
      <c r="B110" s="14" t="s">
        <v>43</v>
      </c>
      <c r="C110" s="329">
        <v>3</v>
      </c>
      <c r="D110" s="329">
        <v>1</v>
      </c>
      <c r="E110" s="329">
        <v>1</v>
      </c>
      <c r="F110" s="329">
        <v>1</v>
      </c>
      <c r="G110" s="15">
        <v>3</v>
      </c>
      <c r="H110" s="15">
        <v>3</v>
      </c>
      <c r="I110" s="15">
        <v>4</v>
      </c>
      <c r="J110" s="86"/>
      <c r="K110" s="108"/>
      <c r="S110" s="117"/>
      <c r="T110" s="287"/>
      <c r="U110" s="287"/>
      <c r="V110" s="287"/>
      <c r="W110" s="287"/>
      <c r="X110" s="126"/>
      <c r="Y110" s="125"/>
    </row>
    <row r="111" spans="1:25" s="13" customFormat="1" x14ac:dyDescent="0.3">
      <c r="A111" s="326"/>
      <c r="B111" s="21" t="s">
        <v>377</v>
      </c>
      <c r="C111" s="17"/>
      <c r="D111" s="17"/>
      <c r="E111" s="17"/>
      <c r="F111" s="17"/>
      <c r="G111" s="18"/>
      <c r="H111" s="18"/>
      <c r="I111" s="18"/>
      <c r="J111" s="86"/>
      <c r="K111" s="108"/>
      <c r="S111" s="117"/>
      <c r="T111" s="287"/>
      <c r="U111" s="287"/>
      <c r="V111" s="287"/>
      <c r="W111" s="287"/>
      <c r="X111" s="126"/>
      <c r="Y111" s="125"/>
    </row>
    <row r="112" spans="1:25" s="13" customFormat="1" x14ac:dyDescent="0.3">
      <c r="A112" s="326"/>
      <c r="B112" s="3" t="s">
        <v>3</v>
      </c>
      <c r="C112" s="323"/>
      <c r="D112" s="323"/>
      <c r="E112" s="323"/>
      <c r="F112" s="323"/>
      <c r="G112" s="5"/>
      <c r="H112" s="5"/>
      <c r="I112" s="5"/>
      <c r="J112" s="87"/>
      <c r="K112" s="108"/>
      <c r="S112" s="117"/>
      <c r="T112" s="287"/>
      <c r="U112" s="287"/>
      <c r="V112" s="287"/>
      <c r="W112" s="287"/>
      <c r="X112" s="126"/>
      <c r="Y112" s="125"/>
    </row>
    <row r="113" spans="1:25" s="13" customFormat="1" ht="15" thickBot="1" x14ac:dyDescent="0.35">
      <c r="A113" s="326"/>
      <c r="B113" s="7" t="s">
        <v>200</v>
      </c>
      <c r="C113" s="328"/>
      <c r="D113" s="328"/>
      <c r="E113" s="328"/>
      <c r="F113" s="328"/>
      <c r="G113" s="8"/>
      <c r="H113" s="8"/>
      <c r="I113" s="8"/>
      <c r="J113" s="87"/>
      <c r="K113" s="108"/>
      <c r="S113" s="117"/>
      <c r="T113" s="287"/>
      <c r="U113" s="287"/>
      <c r="V113" s="287"/>
      <c r="W113" s="287"/>
      <c r="X113" s="126"/>
      <c r="Y113" s="125"/>
    </row>
    <row r="114" spans="1:25" ht="15" thickBot="1" x14ac:dyDescent="0.35">
      <c r="A114" s="110"/>
      <c r="B114" s="36"/>
      <c r="C114" s="36"/>
      <c r="D114" s="36"/>
      <c r="E114" s="36"/>
      <c r="F114" s="36"/>
      <c r="G114" s="37"/>
      <c r="H114" s="37"/>
      <c r="I114" s="37"/>
      <c r="J114" s="37"/>
      <c r="K114" s="193"/>
      <c r="S114" s="117"/>
      <c r="T114" s="287"/>
      <c r="U114" s="287"/>
      <c r="V114" s="287"/>
      <c r="W114" s="287"/>
      <c r="X114" s="126"/>
      <c r="Y114" s="125"/>
    </row>
    <row r="115" spans="1:25" ht="15" thickTop="1" x14ac:dyDescent="0.3">
      <c r="A115" s="106"/>
      <c r="B115" s="25"/>
      <c r="C115" s="25"/>
      <c r="D115" s="25"/>
      <c r="E115" s="25"/>
      <c r="F115" s="25"/>
      <c r="G115" s="26"/>
      <c r="H115" s="26"/>
      <c r="I115" s="26"/>
      <c r="J115" s="26"/>
      <c r="K115" s="108"/>
      <c r="S115" s="117"/>
      <c r="T115" s="287"/>
      <c r="U115" s="287"/>
      <c r="V115" s="287"/>
      <c r="W115" s="287"/>
      <c r="X115" s="126"/>
      <c r="Y115" s="125"/>
    </row>
    <row r="116" spans="1:25" ht="21" x14ac:dyDescent="0.4">
      <c r="A116" s="326"/>
      <c r="B116" s="323"/>
      <c r="C116" s="323"/>
      <c r="D116" s="323"/>
      <c r="E116" s="323"/>
      <c r="F116" s="322" t="s">
        <v>247</v>
      </c>
      <c r="G116" s="5"/>
      <c r="H116" s="5"/>
      <c r="I116" s="5"/>
      <c r="J116" s="5"/>
      <c r="K116" s="108"/>
      <c r="S116" s="117"/>
      <c r="T116" s="287"/>
      <c r="U116" s="287"/>
      <c r="V116" s="287"/>
      <c r="W116" s="287"/>
      <c r="X116" s="126"/>
      <c r="Y116" s="125"/>
    </row>
    <row r="117" spans="1:25" x14ac:dyDescent="0.3">
      <c r="A117" s="326"/>
      <c r="B117" s="323"/>
      <c r="C117" s="323"/>
      <c r="D117" s="323"/>
      <c r="E117" s="323"/>
      <c r="F117" s="28"/>
      <c r="G117" s="5"/>
      <c r="H117" s="5"/>
      <c r="I117" s="5"/>
      <c r="J117" s="5"/>
      <c r="K117" s="108"/>
      <c r="S117" s="117"/>
      <c r="T117" s="287"/>
      <c r="U117" s="287"/>
      <c r="V117" s="287"/>
      <c r="W117" s="287"/>
      <c r="X117" s="126"/>
      <c r="Y117" s="125"/>
    </row>
    <row r="118" spans="1:25" x14ac:dyDescent="0.3">
      <c r="A118" s="326"/>
      <c r="B118" s="323"/>
      <c r="C118" s="40">
        <v>41805</v>
      </c>
      <c r="D118" s="49" t="s">
        <v>5</v>
      </c>
      <c r="E118" s="49" t="s">
        <v>421</v>
      </c>
      <c r="F118" s="49">
        <v>2</v>
      </c>
      <c r="G118" s="51">
        <v>1</v>
      </c>
      <c r="H118" s="5"/>
      <c r="I118" s="5" t="s">
        <v>77</v>
      </c>
      <c r="J118" s="5"/>
      <c r="K118" s="108"/>
      <c r="S118" s="117" t="s">
        <v>5</v>
      </c>
      <c r="T118" s="287" t="s">
        <v>421</v>
      </c>
      <c r="U118" s="287">
        <v>2</v>
      </c>
      <c r="V118" s="287">
        <v>1</v>
      </c>
      <c r="W118" s="287"/>
      <c r="X118" s="126">
        <f t="shared" ref="X118:X120" si="18">(IF(U118&gt;V118,3,IF(U118=V118,1,2)))</f>
        <v>3</v>
      </c>
      <c r="Y118" s="125">
        <f t="shared" ref="Y118:Y120" si="19">(IF(V118&gt;U118,3,IF(U118=V118,1,2)))</f>
        <v>2</v>
      </c>
    </row>
    <row r="119" spans="1:25" ht="15" thickBot="1" x14ac:dyDescent="0.35">
      <c r="A119" s="326"/>
      <c r="B119" s="323"/>
      <c r="C119" s="58"/>
      <c r="D119" s="79"/>
      <c r="E119" s="79"/>
      <c r="F119" s="79" t="s">
        <v>172</v>
      </c>
      <c r="G119" s="81" t="s">
        <v>171</v>
      </c>
      <c r="H119" s="8"/>
      <c r="I119" s="8"/>
      <c r="J119" s="5"/>
      <c r="K119" s="108"/>
      <c r="S119" s="117" t="s">
        <v>177</v>
      </c>
      <c r="T119" s="321" t="s">
        <v>307</v>
      </c>
      <c r="U119" s="321">
        <v>0</v>
      </c>
      <c r="V119" s="321">
        <v>0</v>
      </c>
      <c r="W119" s="287"/>
      <c r="X119" s="126">
        <f t="shared" si="18"/>
        <v>1</v>
      </c>
      <c r="Y119" s="125">
        <f t="shared" si="19"/>
        <v>1</v>
      </c>
    </row>
    <row r="120" spans="1:25" s="13" customFormat="1" ht="15" thickBot="1" x14ac:dyDescent="0.35">
      <c r="A120" s="326"/>
      <c r="B120" s="323"/>
      <c r="C120" s="88">
        <v>41806</v>
      </c>
      <c r="D120" s="89" t="s">
        <v>177</v>
      </c>
      <c r="E120" s="89" t="s">
        <v>307</v>
      </c>
      <c r="F120" s="89">
        <v>0</v>
      </c>
      <c r="G120" s="90">
        <v>0</v>
      </c>
      <c r="H120" s="91"/>
      <c r="I120" s="91" t="s">
        <v>75</v>
      </c>
      <c r="J120" s="5"/>
      <c r="K120" s="108"/>
      <c r="S120" s="117" t="s">
        <v>5</v>
      </c>
      <c r="T120" s="321" t="s">
        <v>177</v>
      </c>
      <c r="U120" s="321">
        <v>1</v>
      </c>
      <c r="V120" s="321">
        <v>0</v>
      </c>
      <c r="W120" s="287"/>
      <c r="X120" s="126">
        <f t="shared" si="18"/>
        <v>3</v>
      </c>
      <c r="Y120" s="125">
        <f t="shared" si="19"/>
        <v>2</v>
      </c>
    </row>
    <row r="121" spans="1:25" s="13" customFormat="1" x14ac:dyDescent="0.3">
      <c r="A121" s="326"/>
      <c r="B121" s="323"/>
      <c r="C121" s="40">
        <v>41811</v>
      </c>
      <c r="D121" s="49" t="s">
        <v>5</v>
      </c>
      <c r="E121" s="49" t="s">
        <v>177</v>
      </c>
      <c r="F121" s="49">
        <v>1</v>
      </c>
      <c r="G121" s="51">
        <v>0</v>
      </c>
      <c r="H121" s="5"/>
      <c r="I121" s="5" t="s">
        <v>78</v>
      </c>
      <c r="J121" s="5"/>
      <c r="K121" s="108"/>
      <c r="S121" s="117" t="s">
        <v>307</v>
      </c>
      <c r="T121" s="321" t="s">
        <v>421</v>
      </c>
      <c r="U121" s="321">
        <v>1</v>
      </c>
      <c r="V121" s="321">
        <v>0</v>
      </c>
      <c r="W121" s="287"/>
      <c r="X121" s="126">
        <f t="shared" ref="X121:X123" si="20">(IF(U121&gt;V121,3,IF(U121=V121,1,2)))</f>
        <v>3</v>
      </c>
      <c r="Y121" s="125">
        <f t="shared" ref="Y121:Y123" si="21">(IF(V121&gt;U121,3,IF(U121=V121,1,2)))</f>
        <v>2</v>
      </c>
    </row>
    <row r="122" spans="1:25" ht="15" thickBot="1" x14ac:dyDescent="0.35">
      <c r="A122" s="326"/>
      <c r="B122" s="323"/>
      <c r="C122" s="58"/>
      <c r="D122" s="79"/>
      <c r="E122" s="79"/>
      <c r="F122" s="79" t="s">
        <v>170</v>
      </c>
      <c r="G122" s="81" t="s">
        <v>171</v>
      </c>
      <c r="H122" s="8"/>
      <c r="I122" s="8"/>
      <c r="J122" s="5"/>
      <c r="K122" s="108"/>
      <c r="S122" s="122" t="s">
        <v>307</v>
      </c>
      <c r="T122" s="17" t="s">
        <v>5</v>
      </c>
      <c r="U122" s="17">
        <v>2</v>
      </c>
      <c r="V122" s="17">
        <v>3</v>
      </c>
      <c r="W122" s="287"/>
      <c r="X122" s="126">
        <f t="shared" si="20"/>
        <v>2</v>
      </c>
      <c r="Y122" s="125">
        <f t="shared" si="21"/>
        <v>3</v>
      </c>
    </row>
    <row r="123" spans="1:25" x14ac:dyDescent="0.3">
      <c r="A123" s="326"/>
      <c r="B123" s="323"/>
      <c r="C123" s="40">
        <v>41811</v>
      </c>
      <c r="D123" s="49" t="s">
        <v>307</v>
      </c>
      <c r="E123" s="49" t="s">
        <v>421</v>
      </c>
      <c r="F123" s="49">
        <v>1</v>
      </c>
      <c r="G123" s="51">
        <v>0</v>
      </c>
      <c r="H123" s="5"/>
      <c r="I123" s="5" t="s">
        <v>420</v>
      </c>
      <c r="J123" s="5"/>
      <c r="K123" s="108"/>
      <c r="S123" s="117" t="s">
        <v>421</v>
      </c>
      <c r="T123" s="321" t="s">
        <v>177</v>
      </c>
      <c r="U123" s="321">
        <v>3</v>
      </c>
      <c r="V123" s="321">
        <v>1</v>
      </c>
      <c r="W123" s="287"/>
      <c r="X123" s="126">
        <f t="shared" si="20"/>
        <v>3</v>
      </c>
      <c r="Y123" s="125">
        <f t="shared" si="21"/>
        <v>2</v>
      </c>
    </row>
    <row r="124" spans="1:25" ht="15" thickBot="1" x14ac:dyDescent="0.35">
      <c r="A124" s="326"/>
      <c r="B124" s="323"/>
      <c r="C124" s="58"/>
      <c r="D124" s="79"/>
      <c r="E124" s="79"/>
      <c r="F124" s="79" t="s">
        <v>172</v>
      </c>
      <c r="G124" s="81" t="s">
        <v>171</v>
      </c>
      <c r="H124" s="8"/>
      <c r="I124" s="8"/>
      <c r="J124" s="5"/>
      <c r="K124" s="108"/>
      <c r="S124" s="117"/>
      <c r="T124" s="321"/>
      <c r="U124" s="321"/>
      <c r="V124" s="321"/>
      <c r="W124" s="287"/>
      <c r="X124" s="126"/>
      <c r="Y124" s="125"/>
    </row>
    <row r="125" spans="1:25" x14ac:dyDescent="0.3">
      <c r="A125" s="326"/>
      <c r="B125" s="323"/>
      <c r="C125" s="40">
        <v>41815</v>
      </c>
      <c r="D125" s="49" t="s">
        <v>307</v>
      </c>
      <c r="E125" s="49" t="s">
        <v>5</v>
      </c>
      <c r="F125" s="49">
        <v>2</v>
      </c>
      <c r="G125" s="51">
        <v>3</v>
      </c>
      <c r="H125" s="5"/>
      <c r="I125" s="5" t="s">
        <v>79</v>
      </c>
      <c r="J125" s="5"/>
      <c r="K125" s="108"/>
      <c r="S125" s="117"/>
      <c r="T125" s="321"/>
      <c r="U125" s="321"/>
      <c r="V125" s="321"/>
      <c r="W125" s="95"/>
      <c r="X125" s="95"/>
      <c r="Y125" s="169"/>
    </row>
    <row r="126" spans="1:25" ht="15" thickBot="1" x14ac:dyDescent="0.35">
      <c r="A126" s="326"/>
      <c r="B126" s="323"/>
      <c r="C126" s="58"/>
      <c r="D126" s="79"/>
      <c r="E126" s="79"/>
      <c r="F126" s="79" t="s">
        <v>172</v>
      </c>
      <c r="G126" s="81" t="s">
        <v>173</v>
      </c>
      <c r="H126" s="8"/>
      <c r="I126" s="8"/>
      <c r="J126" s="5"/>
      <c r="K126" s="108"/>
      <c r="S126" s="117"/>
      <c r="T126" s="321"/>
      <c r="U126" s="321"/>
      <c r="V126" s="321"/>
      <c r="W126" s="287"/>
      <c r="X126" s="126"/>
      <c r="Y126" s="125"/>
    </row>
    <row r="127" spans="1:25" x14ac:dyDescent="0.3">
      <c r="A127" s="326"/>
      <c r="B127" s="17"/>
      <c r="C127" s="40">
        <v>41815</v>
      </c>
      <c r="D127" s="43" t="s">
        <v>421</v>
      </c>
      <c r="E127" s="43" t="s">
        <v>177</v>
      </c>
      <c r="F127" s="49">
        <v>3</v>
      </c>
      <c r="G127" s="51">
        <v>1</v>
      </c>
      <c r="H127" s="5"/>
      <c r="I127" s="5" t="s">
        <v>419</v>
      </c>
      <c r="J127" s="5"/>
      <c r="K127" s="108"/>
      <c r="S127" s="117"/>
      <c r="T127" s="287"/>
      <c r="U127" s="287"/>
      <c r="V127" s="287"/>
      <c r="W127" s="287"/>
      <c r="X127" s="126"/>
      <c r="Y127" s="125"/>
    </row>
    <row r="128" spans="1:25" x14ac:dyDescent="0.3">
      <c r="A128" s="156"/>
      <c r="B128" s="17"/>
      <c r="C128" s="17"/>
      <c r="D128" s="43"/>
      <c r="E128" s="43"/>
      <c r="F128" s="49" t="s">
        <v>172</v>
      </c>
      <c r="G128" s="51" t="s">
        <v>171</v>
      </c>
      <c r="H128" s="5"/>
      <c r="I128" s="5"/>
      <c r="J128" s="5"/>
      <c r="K128" s="108"/>
      <c r="S128" s="117"/>
      <c r="T128" s="287"/>
      <c r="U128" s="287"/>
      <c r="V128" s="287"/>
      <c r="W128" s="287"/>
      <c r="X128" s="126"/>
      <c r="Y128" s="125"/>
    </row>
    <row r="129" spans="1:25" x14ac:dyDescent="0.3">
      <c r="A129" s="156"/>
      <c r="B129" s="17"/>
      <c r="C129" s="17"/>
      <c r="D129" s="17"/>
      <c r="E129" s="17"/>
      <c r="F129" s="323"/>
      <c r="G129" s="5"/>
      <c r="H129" s="5"/>
      <c r="I129" s="5"/>
      <c r="J129" s="5"/>
      <c r="K129" s="108"/>
      <c r="S129" s="117"/>
      <c r="T129" s="287"/>
      <c r="U129" s="287"/>
      <c r="V129" s="287"/>
      <c r="W129" s="287"/>
      <c r="X129" s="126"/>
      <c r="Y129" s="125"/>
    </row>
    <row r="130" spans="1:25" s="13" customFormat="1" ht="15" thickBot="1" x14ac:dyDescent="0.35">
      <c r="A130" s="326"/>
      <c r="B130" s="323" t="s">
        <v>298</v>
      </c>
      <c r="C130" s="323" t="s">
        <v>12</v>
      </c>
      <c r="D130" s="323" t="s">
        <v>13</v>
      </c>
      <c r="E130" s="323" t="s">
        <v>14</v>
      </c>
      <c r="F130" s="323" t="s">
        <v>15</v>
      </c>
      <c r="G130" s="5" t="s">
        <v>24</v>
      </c>
      <c r="H130" s="5" t="s">
        <v>25</v>
      </c>
      <c r="I130" s="5" t="s">
        <v>301</v>
      </c>
      <c r="J130" s="5"/>
      <c r="K130" s="108"/>
      <c r="S130" s="117"/>
      <c r="T130" s="287"/>
      <c r="U130" s="287"/>
      <c r="V130" s="287"/>
      <c r="W130" s="287"/>
      <c r="X130" s="126"/>
      <c r="Y130" s="125"/>
    </row>
    <row r="131" spans="1:25" s="13" customFormat="1" x14ac:dyDescent="0.3">
      <c r="A131" s="326" t="s">
        <v>113</v>
      </c>
      <c r="B131" s="14" t="s">
        <v>5</v>
      </c>
      <c r="C131" s="329">
        <v>3</v>
      </c>
      <c r="D131" s="329">
        <v>2</v>
      </c>
      <c r="E131" s="329">
        <v>0</v>
      </c>
      <c r="F131" s="329">
        <v>1</v>
      </c>
      <c r="G131" s="15">
        <v>4</v>
      </c>
      <c r="H131" s="15">
        <v>3</v>
      </c>
      <c r="I131" s="15">
        <v>6</v>
      </c>
      <c r="J131" s="86"/>
      <c r="K131" s="108"/>
      <c r="S131" s="168"/>
      <c r="T131" s="95"/>
      <c r="U131" s="95"/>
      <c r="V131" s="95"/>
      <c r="W131" s="95"/>
      <c r="X131" s="95"/>
      <c r="Y131" s="169"/>
    </row>
    <row r="132" spans="1:25" s="13" customFormat="1" x14ac:dyDescent="0.3">
      <c r="A132" s="326"/>
      <c r="B132" s="21" t="s">
        <v>421</v>
      </c>
      <c r="C132" s="17"/>
      <c r="D132" s="17"/>
      <c r="E132" s="17"/>
      <c r="F132" s="17"/>
      <c r="G132" s="18"/>
      <c r="H132" s="18"/>
      <c r="I132" s="18"/>
      <c r="J132" s="86"/>
      <c r="K132" s="108"/>
      <c r="S132" s="168"/>
      <c r="T132" s="95"/>
      <c r="U132" s="95"/>
      <c r="V132" s="95"/>
      <c r="W132" s="95"/>
      <c r="X132" s="95"/>
      <c r="Y132" s="169"/>
    </row>
    <row r="133" spans="1:25" x14ac:dyDescent="0.3">
      <c r="A133" s="326"/>
      <c r="B133" s="3" t="s">
        <v>177</v>
      </c>
      <c r="C133" s="323"/>
      <c r="D133" s="323"/>
      <c r="E133" s="323"/>
      <c r="F133" s="323"/>
      <c r="G133" s="5"/>
      <c r="H133" s="5"/>
      <c r="I133" s="5"/>
      <c r="J133" s="87"/>
      <c r="K133" s="108"/>
      <c r="S133" s="117"/>
      <c r="T133" s="287"/>
      <c r="U133" s="287"/>
      <c r="V133" s="287"/>
      <c r="W133" s="287"/>
      <c r="X133" s="126"/>
      <c r="Y133" s="125"/>
    </row>
    <row r="134" spans="1:25" ht="15" thickBot="1" x14ac:dyDescent="0.35">
      <c r="A134" s="326"/>
      <c r="B134" s="7" t="s">
        <v>307</v>
      </c>
      <c r="C134" s="328"/>
      <c r="D134" s="328"/>
      <c r="E134" s="328"/>
      <c r="F134" s="328"/>
      <c r="G134" s="8"/>
      <c r="H134" s="8"/>
      <c r="I134" s="8"/>
      <c r="J134" s="87"/>
      <c r="K134" s="108"/>
      <c r="S134" s="117"/>
      <c r="T134" s="287"/>
      <c r="U134" s="287"/>
      <c r="V134" s="287"/>
      <c r="W134" s="287"/>
      <c r="X134" s="126"/>
      <c r="Y134" s="125"/>
    </row>
    <row r="135" spans="1:25" s="13" customFormat="1" ht="15" thickBot="1" x14ac:dyDescent="0.35">
      <c r="A135" s="110"/>
      <c r="B135" s="36"/>
      <c r="C135" s="36"/>
      <c r="D135" s="36"/>
      <c r="E135" s="36"/>
      <c r="F135" s="36"/>
      <c r="G135" s="37"/>
      <c r="H135" s="37"/>
      <c r="I135" s="37"/>
      <c r="J135" s="37"/>
      <c r="K135" s="193"/>
      <c r="S135" s="117"/>
      <c r="T135" s="287"/>
      <c r="U135" s="287"/>
      <c r="V135" s="287"/>
      <c r="W135" s="287"/>
      <c r="X135" s="126"/>
      <c r="Y135" s="125"/>
    </row>
    <row r="136" spans="1:25" ht="15" thickTop="1" x14ac:dyDescent="0.3">
      <c r="A136" s="106"/>
      <c r="B136" s="25"/>
      <c r="C136" s="25"/>
      <c r="D136" s="25"/>
      <c r="E136" s="25"/>
      <c r="F136" s="25"/>
      <c r="G136" s="26"/>
      <c r="H136" s="26"/>
      <c r="I136" s="26"/>
      <c r="J136" s="26"/>
      <c r="K136" s="108"/>
      <c r="S136" s="117"/>
      <c r="T136" s="287"/>
      <c r="U136" s="287"/>
      <c r="V136" s="287"/>
      <c r="W136" s="287"/>
      <c r="X136" s="126"/>
      <c r="Y136" s="125"/>
    </row>
    <row r="137" spans="1:25" ht="21" x14ac:dyDescent="0.4">
      <c r="A137" s="326"/>
      <c r="B137" s="323"/>
      <c r="C137" s="323"/>
      <c r="D137" s="323"/>
      <c r="E137" s="323"/>
      <c r="F137" s="322" t="s">
        <v>349</v>
      </c>
      <c r="G137" s="5"/>
      <c r="H137" s="5"/>
      <c r="I137" s="5"/>
      <c r="J137" s="5"/>
      <c r="K137" s="108"/>
      <c r="S137" s="117"/>
      <c r="T137" s="287"/>
      <c r="U137" s="287"/>
      <c r="V137" s="287"/>
      <c r="W137" s="287"/>
      <c r="X137" s="126"/>
      <c r="Y137" s="125"/>
    </row>
    <row r="138" spans="1:25" x14ac:dyDescent="0.3">
      <c r="A138" s="326"/>
      <c r="B138" s="323"/>
      <c r="C138" s="323"/>
      <c r="D138" s="323"/>
      <c r="E138" s="323"/>
      <c r="F138" s="28"/>
      <c r="G138" s="5"/>
      <c r="H138" s="5"/>
      <c r="I138" s="5"/>
      <c r="J138" s="5"/>
      <c r="K138" s="108"/>
      <c r="S138" s="117"/>
      <c r="T138" s="287"/>
      <c r="U138" s="287"/>
      <c r="V138" s="287"/>
      <c r="W138" s="287"/>
      <c r="X138" s="126"/>
      <c r="Y138" s="125"/>
    </row>
    <row r="139" spans="1:25" x14ac:dyDescent="0.3">
      <c r="A139" s="326"/>
      <c r="B139" s="323"/>
      <c r="C139" s="40">
        <v>41806</v>
      </c>
      <c r="D139" s="49" t="s">
        <v>88</v>
      </c>
      <c r="E139" s="49" t="s">
        <v>133</v>
      </c>
      <c r="F139" s="49">
        <v>4</v>
      </c>
      <c r="G139" s="51">
        <v>0</v>
      </c>
      <c r="H139" s="5"/>
      <c r="I139" s="5" t="s">
        <v>419</v>
      </c>
      <c r="J139" s="5"/>
      <c r="K139" s="108"/>
      <c r="S139" s="117" t="s">
        <v>88</v>
      </c>
      <c r="T139" s="287" t="s">
        <v>133</v>
      </c>
      <c r="U139" s="287">
        <v>4</v>
      </c>
      <c r="V139" s="287">
        <v>0</v>
      </c>
      <c r="W139" s="287"/>
      <c r="X139" s="126">
        <f t="shared" ref="X139:X140" si="22">(IF(U139&gt;V139,3,IF(U139=V139,1,2)))</f>
        <v>3</v>
      </c>
      <c r="Y139" s="125">
        <f t="shared" ref="Y139:Y140" si="23">(IF(V139&gt;U139,3,IF(U139=V139,1,2)))</f>
        <v>2</v>
      </c>
    </row>
    <row r="140" spans="1:25" ht="15" thickBot="1" x14ac:dyDescent="0.35">
      <c r="A140" s="326"/>
      <c r="B140" s="323"/>
      <c r="C140" s="58"/>
      <c r="D140" s="79"/>
      <c r="E140" s="79"/>
      <c r="F140" s="79" t="s">
        <v>264</v>
      </c>
      <c r="G140" s="81" t="s">
        <v>171</v>
      </c>
      <c r="H140" s="8"/>
      <c r="I140" s="8"/>
      <c r="J140" s="5"/>
      <c r="K140" s="108"/>
      <c r="S140" s="117" t="s">
        <v>390</v>
      </c>
      <c r="T140" s="323" t="s">
        <v>20</v>
      </c>
      <c r="U140" s="323">
        <v>1</v>
      </c>
      <c r="V140" s="323">
        <v>2</v>
      </c>
      <c r="W140" s="287"/>
      <c r="X140" s="126">
        <f t="shared" si="22"/>
        <v>2</v>
      </c>
      <c r="Y140" s="125">
        <f t="shared" si="23"/>
        <v>3</v>
      </c>
    </row>
    <row r="141" spans="1:25" s="13" customFormat="1" x14ac:dyDescent="0.3">
      <c r="A141" s="326"/>
      <c r="B141" s="323"/>
      <c r="C141" s="40">
        <v>41806</v>
      </c>
      <c r="D141" s="49" t="s">
        <v>390</v>
      </c>
      <c r="E141" s="49" t="s">
        <v>20</v>
      </c>
      <c r="F141" s="49">
        <v>1</v>
      </c>
      <c r="G141" s="51">
        <v>2</v>
      </c>
      <c r="H141" s="5"/>
      <c r="I141" s="5" t="s">
        <v>413</v>
      </c>
      <c r="J141" s="5"/>
      <c r="K141" s="108"/>
      <c r="S141" s="117" t="s">
        <v>88</v>
      </c>
      <c r="T141" s="323" t="s">
        <v>390</v>
      </c>
      <c r="U141" s="323">
        <v>2</v>
      </c>
      <c r="V141" s="323">
        <v>2</v>
      </c>
      <c r="W141" s="287"/>
      <c r="X141" s="126">
        <f t="shared" ref="X141:X144" si="24">(IF(U141&gt;V141,3,IF(U141=V141,1,2)))</f>
        <v>1</v>
      </c>
      <c r="Y141" s="125">
        <f t="shared" ref="Y141:Y144" si="25">(IF(V141&gt;U141,3,IF(U141=V141,1,2)))</f>
        <v>1</v>
      </c>
    </row>
    <row r="142" spans="1:25" s="13" customFormat="1" ht="15" thickBot="1" x14ac:dyDescent="0.35">
      <c r="A142" s="326"/>
      <c r="B142" s="323"/>
      <c r="C142" s="58"/>
      <c r="D142" s="79"/>
      <c r="E142" s="79"/>
      <c r="F142" s="79" t="s">
        <v>170</v>
      </c>
      <c r="G142" s="81" t="s">
        <v>183</v>
      </c>
      <c r="H142" s="8"/>
      <c r="I142" s="8"/>
      <c r="J142" s="5"/>
      <c r="K142" s="108"/>
      <c r="S142" s="117" t="s">
        <v>20</v>
      </c>
      <c r="T142" s="323" t="s">
        <v>133</v>
      </c>
      <c r="U142" s="323">
        <v>2</v>
      </c>
      <c r="V142" s="323">
        <v>2</v>
      </c>
      <c r="W142" s="287"/>
      <c r="X142" s="126">
        <f t="shared" si="24"/>
        <v>1</v>
      </c>
      <c r="Y142" s="125">
        <f t="shared" si="25"/>
        <v>1</v>
      </c>
    </row>
    <row r="143" spans="1:25" s="13" customFormat="1" x14ac:dyDescent="0.3">
      <c r="A143" s="326"/>
      <c r="B143" s="323"/>
      <c r="C143" s="40">
        <v>41811</v>
      </c>
      <c r="D143" s="49" t="s">
        <v>88</v>
      </c>
      <c r="E143" s="49" t="s">
        <v>390</v>
      </c>
      <c r="F143" s="49">
        <v>2</v>
      </c>
      <c r="G143" s="51">
        <v>2</v>
      </c>
      <c r="H143" s="5"/>
      <c r="I143" s="5" t="s">
        <v>414</v>
      </c>
      <c r="J143" s="5"/>
      <c r="K143" s="108"/>
      <c r="S143" s="122" t="s">
        <v>20</v>
      </c>
      <c r="T143" s="17" t="s">
        <v>88</v>
      </c>
      <c r="U143" s="17">
        <v>0</v>
      </c>
      <c r="V143" s="17">
        <v>1</v>
      </c>
      <c r="W143" s="287"/>
      <c r="X143" s="126">
        <f t="shared" si="24"/>
        <v>2</v>
      </c>
      <c r="Y143" s="125">
        <f t="shared" si="25"/>
        <v>3</v>
      </c>
    </row>
    <row r="144" spans="1:25" ht="15" thickBot="1" x14ac:dyDescent="0.35">
      <c r="A144" s="326"/>
      <c r="B144" s="323"/>
      <c r="C144" s="58"/>
      <c r="D144" s="79"/>
      <c r="E144" s="79"/>
      <c r="F144" s="79" t="s">
        <v>170</v>
      </c>
      <c r="G144" s="81" t="s">
        <v>171</v>
      </c>
      <c r="H144" s="8"/>
      <c r="I144" s="8"/>
      <c r="J144" s="5"/>
      <c r="K144" s="108"/>
      <c r="S144" s="117" t="s">
        <v>133</v>
      </c>
      <c r="T144" s="323" t="s">
        <v>390</v>
      </c>
      <c r="U144" s="323">
        <v>2</v>
      </c>
      <c r="V144" s="323">
        <v>1</v>
      </c>
      <c r="W144" s="287"/>
      <c r="X144" s="126">
        <f t="shared" si="24"/>
        <v>3</v>
      </c>
      <c r="Y144" s="125">
        <f t="shared" si="25"/>
        <v>2</v>
      </c>
    </row>
    <row r="145" spans="1:25" x14ac:dyDescent="0.3">
      <c r="A145" s="326"/>
      <c r="B145" s="323"/>
      <c r="C145" s="40">
        <v>41812</v>
      </c>
      <c r="D145" s="49" t="s">
        <v>20</v>
      </c>
      <c r="E145" s="49" t="s">
        <v>133</v>
      </c>
      <c r="F145" s="49">
        <v>2</v>
      </c>
      <c r="G145" s="51">
        <v>2</v>
      </c>
      <c r="H145" s="5"/>
      <c r="I145" s="5" t="s">
        <v>415</v>
      </c>
      <c r="J145" s="5"/>
      <c r="K145" s="108"/>
      <c r="S145" s="117"/>
      <c r="T145" s="323"/>
      <c r="U145" s="323"/>
      <c r="V145" s="323"/>
      <c r="W145" s="287"/>
      <c r="X145" s="126"/>
      <c r="Y145" s="125"/>
    </row>
    <row r="146" spans="1:25" ht="15" thickBot="1" x14ac:dyDescent="0.35">
      <c r="A146" s="326"/>
      <c r="B146" s="323"/>
      <c r="C146" s="58"/>
      <c r="D146" s="79"/>
      <c r="E146" s="79"/>
      <c r="F146" s="79" t="s">
        <v>170</v>
      </c>
      <c r="G146" s="81" t="s">
        <v>183</v>
      </c>
      <c r="H146" s="8"/>
      <c r="I146" s="8"/>
      <c r="J146" s="5"/>
      <c r="K146" s="108"/>
      <c r="S146" s="117"/>
      <c r="T146" s="323"/>
      <c r="U146" s="323"/>
      <c r="V146" s="323"/>
      <c r="W146" s="287"/>
      <c r="X146" s="126"/>
      <c r="Y146" s="125"/>
    </row>
    <row r="147" spans="1:25" x14ac:dyDescent="0.3">
      <c r="A147" s="326"/>
      <c r="B147" s="323"/>
      <c r="C147" s="40">
        <v>41816</v>
      </c>
      <c r="D147" s="49" t="s">
        <v>20</v>
      </c>
      <c r="E147" s="49" t="s">
        <v>88</v>
      </c>
      <c r="F147" s="49">
        <v>0</v>
      </c>
      <c r="G147" s="51">
        <v>1</v>
      </c>
      <c r="H147" s="5"/>
      <c r="I147" s="5" t="s">
        <v>80</v>
      </c>
      <c r="J147" s="5"/>
      <c r="K147" s="108"/>
      <c r="S147" s="117"/>
      <c r="T147" s="323"/>
      <c r="U147" s="323"/>
      <c r="V147" s="323"/>
      <c r="W147" s="95"/>
      <c r="X147" s="95"/>
      <c r="Y147" s="169"/>
    </row>
    <row r="148" spans="1:25" ht="15" thickBot="1" x14ac:dyDescent="0.35">
      <c r="A148" s="326"/>
      <c r="B148" s="323"/>
      <c r="C148" s="58"/>
      <c r="D148" s="79"/>
      <c r="E148" s="79"/>
      <c r="F148" s="79" t="s">
        <v>170</v>
      </c>
      <c r="G148" s="81" t="s">
        <v>171</v>
      </c>
      <c r="H148" s="8"/>
      <c r="I148" s="8"/>
      <c r="J148" s="5"/>
      <c r="K148" s="108"/>
      <c r="S148" s="117"/>
      <c r="T148" s="323"/>
      <c r="U148" s="323"/>
      <c r="V148" s="323"/>
      <c r="W148" s="287"/>
      <c r="X148" s="126"/>
      <c r="Y148" s="125"/>
    </row>
    <row r="149" spans="1:25" x14ac:dyDescent="0.3">
      <c r="A149" s="326"/>
      <c r="B149" s="17"/>
      <c r="C149" s="40">
        <v>41816</v>
      </c>
      <c r="D149" s="43" t="s">
        <v>133</v>
      </c>
      <c r="E149" s="43" t="s">
        <v>390</v>
      </c>
      <c r="F149" s="49">
        <v>2</v>
      </c>
      <c r="G149" s="51">
        <v>1</v>
      </c>
      <c r="H149" s="5"/>
      <c r="I149" s="5" t="s">
        <v>416</v>
      </c>
      <c r="J149" s="5"/>
      <c r="K149" s="108"/>
      <c r="S149" s="117"/>
      <c r="T149" s="287"/>
      <c r="U149" s="287"/>
      <c r="V149" s="287"/>
      <c r="W149" s="287"/>
      <c r="X149" s="126"/>
      <c r="Y149" s="125"/>
    </row>
    <row r="150" spans="1:25" x14ac:dyDescent="0.3">
      <c r="A150" s="156"/>
      <c r="B150" s="17"/>
      <c r="C150" s="17"/>
      <c r="D150" s="43"/>
      <c r="E150" s="43"/>
      <c r="F150" s="43" t="s">
        <v>172</v>
      </c>
      <c r="G150" s="48" t="s">
        <v>171</v>
      </c>
      <c r="H150" s="5"/>
      <c r="I150" s="5" t="s">
        <v>422</v>
      </c>
      <c r="J150" s="5"/>
      <c r="K150" s="108"/>
      <c r="S150" s="117"/>
      <c r="T150" s="287"/>
      <c r="U150" s="287"/>
      <c r="V150" s="287"/>
      <c r="W150" s="287"/>
      <c r="X150" s="126"/>
      <c r="Y150" s="125"/>
    </row>
    <row r="151" spans="1:25" x14ac:dyDescent="0.3">
      <c r="A151" s="156"/>
      <c r="B151" s="17"/>
      <c r="C151" s="17"/>
      <c r="D151" s="17"/>
      <c r="E151" s="17"/>
      <c r="F151" s="323"/>
      <c r="G151" s="5"/>
      <c r="H151" s="5"/>
      <c r="I151" s="5"/>
      <c r="J151" s="5"/>
      <c r="K151" s="108"/>
      <c r="S151" s="117"/>
      <c r="T151" s="287"/>
      <c r="U151" s="287"/>
      <c r="V151" s="287"/>
      <c r="W151" s="287"/>
      <c r="X151" s="126"/>
      <c r="Y151" s="125"/>
    </row>
    <row r="152" spans="1:25" s="13" customFormat="1" ht="15" thickBot="1" x14ac:dyDescent="0.35">
      <c r="A152" s="326"/>
      <c r="B152" s="323" t="s">
        <v>298</v>
      </c>
      <c r="C152" s="323" t="s">
        <v>12</v>
      </c>
      <c r="D152" s="323" t="s">
        <v>13</v>
      </c>
      <c r="E152" s="323" t="s">
        <v>14</v>
      </c>
      <c r="F152" s="323" t="s">
        <v>15</v>
      </c>
      <c r="G152" s="5" t="s">
        <v>24</v>
      </c>
      <c r="H152" s="5" t="s">
        <v>25</v>
      </c>
      <c r="I152" s="5" t="s">
        <v>301</v>
      </c>
      <c r="J152" s="5"/>
      <c r="K152" s="108"/>
      <c r="S152" s="117"/>
      <c r="T152" s="287"/>
      <c r="U152" s="287"/>
      <c r="V152" s="287"/>
      <c r="W152" s="287"/>
      <c r="X152" s="126"/>
      <c r="Y152" s="125"/>
    </row>
    <row r="153" spans="1:25" s="13" customFormat="1" x14ac:dyDescent="0.3">
      <c r="A153" s="326" t="s">
        <v>113</v>
      </c>
      <c r="B153" s="14" t="s">
        <v>88</v>
      </c>
      <c r="C153" s="329">
        <v>3</v>
      </c>
      <c r="D153" s="329">
        <v>2</v>
      </c>
      <c r="E153" s="329">
        <v>0</v>
      </c>
      <c r="F153" s="329">
        <v>1</v>
      </c>
      <c r="G153" s="15">
        <v>4</v>
      </c>
      <c r="H153" s="15">
        <v>3</v>
      </c>
      <c r="I153" s="15">
        <v>6</v>
      </c>
      <c r="J153" s="86"/>
      <c r="K153" s="108"/>
      <c r="S153" s="168"/>
      <c r="T153" s="95"/>
      <c r="U153" s="95"/>
      <c r="V153" s="95"/>
      <c r="W153" s="95"/>
      <c r="X153" s="95"/>
      <c r="Y153" s="169"/>
    </row>
    <row r="154" spans="1:25" s="13" customFormat="1" x14ac:dyDescent="0.3">
      <c r="A154" s="326"/>
      <c r="B154" s="21" t="s">
        <v>133</v>
      </c>
      <c r="C154" s="17"/>
      <c r="D154" s="17"/>
      <c r="E154" s="17"/>
      <c r="F154" s="17"/>
      <c r="G154" s="18"/>
      <c r="H154" s="18"/>
      <c r="I154" s="18"/>
      <c r="J154" s="86"/>
      <c r="K154" s="108"/>
      <c r="S154" s="168"/>
      <c r="T154" s="95"/>
      <c r="U154" s="95"/>
      <c r="V154" s="95"/>
      <c r="W154" s="95"/>
      <c r="X154" s="95"/>
      <c r="Y154" s="169"/>
    </row>
    <row r="155" spans="1:25" x14ac:dyDescent="0.3">
      <c r="A155" s="326"/>
      <c r="B155" s="3" t="s">
        <v>390</v>
      </c>
      <c r="C155" s="323"/>
      <c r="D155" s="323"/>
      <c r="E155" s="323"/>
      <c r="F155" s="323"/>
      <c r="G155" s="5"/>
      <c r="H155" s="5"/>
      <c r="I155" s="5"/>
      <c r="J155" s="87"/>
      <c r="K155" s="108"/>
      <c r="S155" s="117"/>
      <c r="T155" s="287"/>
      <c r="U155" s="287"/>
      <c r="V155" s="287"/>
      <c r="W155" s="287"/>
      <c r="X155" s="126"/>
      <c r="Y155" s="125"/>
    </row>
    <row r="156" spans="1:25" ht="15" thickBot="1" x14ac:dyDescent="0.35">
      <c r="A156" s="326"/>
      <c r="B156" s="7" t="s">
        <v>20</v>
      </c>
      <c r="C156" s="328"/>
      <c r="D156" s="328"/>
      <c r="E156" s="328"/>
      <c r="F156" s="328"/>
      <c r="G156" s="8"/>
      <c r="H156" s="8"/>
      <c r="I156" s="8"/>
      <c r="J156" s="87"/>
      <c r="K156" s="108"/>
      <c r="S156" s="117"/>
      <c r="T156" s="287"/>
      <c r="U156" s="287"/>
      <c r="V156" s="287"/>
      <c r="W156" s="287"/>
      <c r="X156" s="126"/>
      <c r="Y156" s="125"/>
    </row>
    <row r="157" spans="1:25" s="13" customFormat="1" ht="15" thickBot="1" x14ac:dyDescent="0.35">
      <c r="A157" s="326"/>
      <c r="B157" s="323"/>
      <c r="C157" s="323"/>
      <c r="D157" s="323"/>
      <c r="E157" s="323"/>
      <c r="F157" s="323"/>
      <c r="G157" s="5"/>
      <c r="H157" s="5"/>
      <c r="I157" s="5"/>
      <c r="J157" s="5"/>
      <c r="K157" s="108"/>
      <c r="S157" s="117"/>
      <c r="T157" s="287"/>
      <c r="U157" s="287"/>
      <c r="V157" s="287"/>
      <c r="W157" s="287"/>
      <c r="X157" s="126"/>
      <c r="Y157" s="125"/>
    </row>
    <row r="158" spans="1:25" ht="15" thickTop="1" x14ac:dyDescent="0.3">
      <c r="A158" s="106"/>
      <c r="B158" s="25"/>
      <c r="C158" s="25"/>
      <c r="D158" s="25"/>
      <c r="E158" s="25"/>
      <c r="F158" s="25"/>
      <c r="G158" s="26"/>
      <c r="H158" s="26"/>
      <c r="I158" s="26"/>
      <c r="J158" s="26"/>
      <c r="K158" s="108"/>
      <c r="S158" s="117"/>
      <c r="T158" s="287"/>
      <c r="U158" s="287"/>
      <c r="V158" s="287"/>
      <c r="W158" s="287"/>
      <c r="X158" s="126"/>
      <c r="Y158" s="125"/>
    </row>
    <row r="159" spans="1:25" ht="21" x14ac:dyDescent="0.4">
      <c r="A159" s="326"/>
      <c r="B159" s="323"/>
      <c r="C159" s="323"/>
      <c r="D159" s="323"/>
      <c r="E159" s="323"/>
      <c r="F159" s="322" t="s">
        <v>350</v>
      </c>
      <c r="G159" s="5"/>
      <c r="H159" s="5"/>
      <c r="I159" s="5"/>
      <c r="J159" s="5"/>
      <c r="K159" s="108"/>
      <c r="S159" s="117"/>
      <c r="T159" s="287"/>
      <c r="U159" s="287"/>
      <c r="V159" s="287"/>
      <c r="W159" s="287"/>
      <c r="X159" s="126"/>
      <c r="Y159" s="125"/>
    </row>
    <row r="160" spans="1:25" x14ac:dyDescent="0.3">
      <c r="A160" s="326"/>
      <c r="B160" s="323"/>
      <c r="C160" s="323"/>
      <c r="D160" s="323"/>
      <c r="E160" s="323"/>
      <c r="F160" s="28"/>
      <c r="G160" s="5"/>
      <c r="H160" s="5"/>
      <c r="I160" s="5"/>
      <c r="J160" s="5"/>
      <c r="K160" s="108"/>
      <c r="S160" s="117"/>
      <c r="T160" s="287"/>
      <c r="U160" s="287"/>
      <c r="V160" s="287"/>
      <c r="W160" s="287"/>
      <c r="X160" s="126"/>
      <c r="Y160" s="125"/>
    </row>
    <row r="161" spans="1:25" x14ac:dyDescent="0.3">
      <c r="A161" s="326"/>
      <c r="B161" s="323"/>
      <c r="C161" s="40">
        <v>41807</v>
      </c>
      <c r="D161" s="49" t="s">
        <v>21</v>
      </c>
      <c r="E161" s="49" t="s">
        <v>192</v>
      </c>
      <c r="F161" s="49">
        <v>2</v>
      </c>
      <c r="G161" s="51">
        <v>1</v>
      </c>
      <c r="H161" s="5"/>
      <c r="I161" s="5" t="s">
        <v>78</v>
      </c>
      <c r="J161" s="5"/>
      <c r="K161" s="108"/>
      <c r="S161" s="117" t="s">
        <v>21</v>
      </c>
      <c r="T161" s="287" t="s">
        <v>192</v>
      </c>
      <c r="U161" s="287">
        <v>2</v>
      </c>
      <c r="V161" s="287">
        <v>1</v>
      </c>
      <c r="W161" s="287"/>
      <c r="X161" s="126">
        <f t="shared" ref="X161:X162" si="26">(IF(U161&gt;V161,3,IF(U161=V161,1,2)))</f>
        <v>3</v>
      </c>
      <c r="Y161" s="125">
        <f t="shared" ref="Y161:Y162" si="27">(IF(V161&gt;U161,3,IF(U161=V161,1,2)))</f>
        <v>2</v>
      </c>
    </row>
    <row r="162" spans="1:25" ht="15" thickBot="1" x14ac:dyDescent="0.35">
      <c r="A162" s="326"/>
      <c r="B162" s="323"/>
      <c r="C162" s="58"/>
      <c r="D162" s="79"/>
      <c r="E162" s="79"/>
      <c r="F162" s="79" t="s">
        <v>170</v>
      </c>
      <c r="G162" s="81" t="s">
        <v>183</v>
      </c>
      <c r="H162" s="8"/>
      <c r="I162" s="8"/>
      <c r="J162" s="5"/>
      <c r="K162" s="108"/>
      <c r="S162" s="117" t="s">
        <v>302</v>
      </c>
      <c r="T162" s="323" t="s">
        <v>90</v>
      </c>
      <c r="U162" s="323">
        <v>1</v>
      </c>
      <c r="V162" s="323">
        <v>1</v>
      </c>
      <c r="W162" s="287"/>
      <c r="X162" s="126">
        <f t="shared" si="26"/>
        <v>1</v>
      </c>
      <c r="Y162" s="125">
        <f t="shared" si="27"/>
        <v>1</v>
      </c>
    </row>
    <row r="163" spans="1:25" s="13" customFormat="1" x14ac:dyDescent="0.3">
      <c r="A163" s="326"/>
      <c r="B163" s="323"/>
      <c r="C163" s="40">
        <v>41807</v>
      </c>
      <c r="D163" s="49" t="s">
        <v>302</v>
      </c>
      <c r="E163" s="49" t="s">
        <v>90</v>
      </c>
      <c r="F163" s="49">
        <v>1</v>
      </c>
      <c r="G163" s="51">
        <v>1</v>
      </c>
      <c r="H163" s="5"/>
      <c r="I163" s="5" t="s">
        <v>420</v>
      </c>
      <c r="J163" s="5"/>
      <c r="K163" s="108"/>
      <c r="S163" s="117" t="s">
        <v>21</v>
      </c>
      <c r="T163" s="323" t="s">
        <v>302</v>
      </c>
      <c r="U163" s="323">
        <v>1</v>
      </c>
      <c r="V163" s="323">
        <v>0</v>
      </c>
      <c r="W163" s="323"/>
      <c r="X163" s="126">
        <f t="shared" ref="X163:X166" si="28">(IF(U163&gt;V163,3,IF(U163=V163,1,2)))</f>
        <v>3</v>
      </c>
      <c r="Y163" s="125">
        <f t="shared" ref="Y163:Y166" si="29">(IF(V163&gt;U163,3,IF(U163=V163,1,2)))</f>
        <v>2</v>
      </c>
    </row>
    <row r="164" spans="1:25" s="13" customFormat="1" ht="15" thickBot="1" x14ac:dyDescent="0.35">
      <c r="A164" s="326"/>
      <c r="B164" s="323"/>
      <c r="C164" s="58"/>
      <c r="D164" s="79"/>
      <c r="E164" s="79"/>
      <c r="F164" s="79" t="s">
        <v>170</v>
      </c>
      <c r="G164" s="81" t="s">
        <v>171</v>
      </c>
      <c r="H164" s="8"/>
      <c r="I164" s="8"/>
      <c r="J164" s="5"/>
      <c r="K164" s="108"/>
      <c r="S164" s="117" t="s">
        <v>90</v>
      </c>
      <c r="T164" s="323" t="s">
        <v>192</v>
      </c>
      <c r="U164" s="323">
        <v>2</v>
      </c>
      <c r="V164" s="323">
        <v>4</v>
      </c>
      <c r="W164" s="323"/>
      <c r="X164" s="126">
        <f t="shared" si="28"/>
        <v>2</v>
      </c>
      <c r="Y164" s="125">
        <f t="shared" si="29"/>
        <v>3</v>
      </c>
    </row>
    <row r="165" spans="1:25" s="13" customFormat="1" x14ac:dyDescent="0.3">
      <c r="A165" s="326"/>
      <c r="B165" s="323"/>
      <c r="C165" s="40">
        <v>41812</v>
      </c>
      <c r="D165" s="49" t="s">
        <v>21</v>
      </c>
      <c r="E165" s="49" t="s">
        <v>302</v>
      </c>
      <c r="F165" s="49">
        <v>1</v>
      </c>
      <c r="G165" s="51">
        <v>0</v>
      </c>
      <c r="H165" s="5"/>
      <c r="I165" s="5" t="s">
        <v>77</v>
      </c>
      <c r="J165" s="5"/>
      <c r="K165" s="108"/>
      <c r="S165" s="117" t="s">
        <v>90</v>
      </c>
      <c r="T165" s="323" t="s">
        <v>21</v>
      </c>
      <c r="U165" s="323">
        <v>0</v>
      </c>
      <c r="V165" s="323">
        <v>1</v>
      </c>
      <c r="W165" s="323"/>
      <c r="X165" s="126">
        <f t="shared" si="28"/>
        <v>2</v>
      </c>
      <c r="Y165" s="125">
        <f t="shared" si="29"/>
        <v>3</v>
      </c>
    </row>
    <row r="166" spans="1:25" ht="15" thickBot="1" x14ac:dyDescent="0.35">
      <c r="A166" s="326"/>
      <c r="B166" s="323"/>
      <c r="C166" s="58"/>
      <c r="D166" s="79"/>
      <c r="E166" s="79"/>
      <c r="F166" s="79" t="s">
        <v>170</v>
      </c>
      <c r="G166" s="81" t="s">
        <v>171</v>
      </c>
      <c r="H166" s="8"/>
      <c r="I166" s="8"/>
      <c r="J166" s="5"/>
      <c r="K166" s="108"/>
      <c r="S166" s="117" t="s">
        <v>192</v>
      </c>
      <c r="T166" s="323" t="s">
        <v>302</v>
      </c>
      <c r="U166" s="323">
        <v>1</v>
      </c>
      <c r="V166" s="323">
        <v>1</v>
      </c>
      <c r="W166" s="323"/>
      <c r="X166" s="126">
        <f t="shared" si="28"/>
        <v>1</v>
      </c>
      <c r="Y166" s="125">
        <f t="shared" si="29"/>
        <v>1</v>
      </c>
    </row>
    <row r="167" spans="1:25" x14ac:dyDescent="0.3">
      <c r="A167" s="326"/>
      <c r="B167" s="323"/>
      <c r="C167" s="40">
        <v>41812</v>
      </c>
      <c r="D167" s="49" t="s">
        <v>90</v>
      </c>
      <c r="E167" s="49" t="s">
        <v>192</v>
      </c>
      <c r="F167" s="49">
        <v>2</v>
      </c>
      <c r="G167" s="51">
        <v>4</v>
      </c>
      <c r="H167" s="5"/>
      <c r="I167" s="5" t="s">
        <v>79</v>
      </c>
      <c r="J167" s="5"/>
      <c r="K167" s="108"/>
      <c r="S167" s="117"/>
      <c r="T167" s="323"/>
      <c r="U167" s="323"/>
      <c r="V167" s="323"/>
      <c r="W167" s="287"/>
      <c r="X167" s="126"/>
      <c r="Y167" s="125"/>
    </row>
    <row r="168" spans="1:25" ht="15" thickBot="1" x14ac:dyDescent="0.35">
      <c r="A168" s="326"/>
      <c r="B168" s="323"/>
      <c r="C168" s="58"/>
      <c r="D168" s="79"/>
      <c r="E168" s="79"/>
      <c r="F168" s="79" t="s">
        <v>170</v>
      </c>
      <c r="G168" s="81" t="s">
        <v>274</v>
      </c>
      <c r="H168" s="8"/>
      <c r="I168" s="8"/>
      <c r="J168" s="5"/>
      <c r="K168" s="108"/>
      <c r="S168" s="117"/>
      <c r="T168" s="323"/>
      <c r="U168" s="323"/>
      <c r="V168" s="323"/>
      <c r="W168" s="95"/>
      <c r="X168" s="95"/>
      <c r="Y168" s="169"/>
    </row>
    <row r="169" spans="1:25" x14ac:dyDescent="0.3">
      <c r="A169" s="326"/>
      <c r="B169" s="323"/>
      <c r="C169" s="40">
        <v>41816</v>
      </c>
      <c r="D169" s="49" t="s">
        <v>90</v>
      </c>
      <c r="E169" s="49" t="s">
        <v>21</v>
      </c>
      <c r="F169" s="49">
        <v>0</v>
      </c>
      <c r="G169" s="51">
        <v>1</v>
      </c>
      <c r="H169" s="5"/>
      <c r="I169" s="5" t="s">
        <v>417</v>
      </c>
      <c r="J169" s="5"/>
      <c r="K169" s="108"/>
      <c r="S169" s="117"/>
      <c r="T169" s="323"/>
      <c r="U169" s="323"/>
      <c r="V169" s="323"/>
      <c r="W169" s="287"/>
      <c r="X169" s="126"/>
      <c r="Y169" s="125"/>
    </row>
    <row r="170" spans="1:25" ht="15" thickBot="1" x14ac:dyDescent="0.35">
      <c r="A170" s="326"/>
      <c r="B170" s="323"/>
      <c r="C170" s="58"/>
      <c r="D170" s="79"/>
      <c r="E170" s="79"/>
      <c r="F170" s="79" t="s">
        <v>170</v>
      </c>
      <c r="G170" s="81" t="s">
        <v>171</v>
      </c>
      <c r="H170" s="8"/>
      <c r="I170" s="8"/>
      <c r="J170" s="5"/>
      <c r="K170" s="108"/>
      <c r="S170" s="117"/>
      <c r="T170" s="323"/>
      <c r="U170" s="323"/>
      <c r="V170" s="323"/>
      <c r="W170" s="287"/>
      <c r="X170" s="126"/>
      <c r="Y170" s="125"/>
    </row>
    <row r="171" spans="1:25" x14ac:dyDescent="0.3">
      <c r="A171" s="326"/>
      <c r="B171" s="17"/>
      <c r="C171" s="40">
        <v>41816</v>
      </c>
      <c r="D171" s="43" t="s">
        <v>192</v>
      </c>
      <c r="E171" s="43" t="s">
        <v>302</v>
      </c>
      <c r="F171" s="49">
        <v>1</v>
      </c>
      <c r="G171" s="51">
        <v>1</v>
      </c>
      <c r="H171" s="5"/>
      <c r="I171" s="5" t="s">
        <v>75</v>
      </c>
      <c r="J171" s="5"/>
      <c r="K171" s="108"/>
      <c r="S171" s="117"/>
      <c r="T171" s="287"/>
      <c r="U171" s="287"/>
      <c r="V171" s="287"/>
      <c r="W171" s="287"/>
      <c r="X171" s="126"/>
      <c r="Y171" s="125"/>
    </row>
    <row r="172" spans="1:25" x14ac:dyDescent="0.3">
      <c r="A172" s="156"/>
      <c r="B172" s="17"/>
      <c r="C172" s="17"/>
      <c r="D172" s="43"/>
      <c r="E172" s="43"/>
      <c r="F172" s="49" t="s">
        <v>170</v>
      </c>
      <c r="G172" s="51" t="s">
        <v>183</v>
      </c>
      <c r="H172" s="5"/>
      <c r="I172" s="5"/>
      <c r="J172" s="5"/>
      <c r="K172" s="108"/>
      <c r="S172" s="117"/>
      <c r="T172" s="287"/>
      <c r="U172" s="287"/>
      <c r="V172" s="287"/>
      <c r="W172" s="287"/>
      <c r="X172" s="126"/>
      <c r="Y172" s="125"/>
    </row>
    <row r="173" spans="1:25" x14ac:dyDescent="0.3">
      <c r="A173" s="156"/>
      <c r="B173" s="17"/>
      <c r="C173" s="17"/>
      <c r="D173" s="17"/>
      <c r="E173" s="17"/>
      <c r="F173" s="323"/>
      <c r="G173" s="5"/>
      <c r="H173" s="5"/>
      <c r="I173" s="5"/>
      <c r="J173" s="5"/>
      <c r="K173" s="108"/>
      <c r="S173" s="117"/>
      <c r="T173" s="287"/>
      <c r="U173" s="287"/>
      <c r="V173" s="287"/>
      <c r="W173" s="287"/>
      <c r="X173" s="126"/>
      <c r="Y173" s="125"/>
    </row>
    <row r="174" spans="1:25" s="13" customFormat="1" ht="15" thickBot="1" x14ac:dyDescent="0.35">
      <c r="A174" s="326"/>
      <c r="B174" s="323" t="s">
        <v>298</v>
      </c>
      <c r="C174" s="323" t="s">
        <v>12</v>
      </c>
      <c r="D174" s="323" t="s">
        <v>13</v>
      </c>
      <c r="E174" s="323" t="s">
        <v>14</v>
      </c>
      <c r="F174" s="323" t="s">
        <v>15</v>
      </c>
      <c r="G174" s="5" t="s">
        <v>24</v>
      </c>
      <c r="H174" s="5" t="s">
        <v>25</v>
      </c>
      <c r="I174" s="5" t="s">
        <v>301</v>
      </c>
      <c r="J174" s="5"/>
      <c r="K174" s="108"/>
      <c r="S174" s="168"/>
      <c r="T174" s="95"/>
      <c r="U174" s="95"/>
      <c r="V174" s="95"/>
      <c r="W174" s="95"/>
      <c r="X174" s="95"/>
      <c r="Y174" s="169"/>
    </row>
    <row r="175" spans="1:25" s="13" customFormat="1" x14ac:dyDescent="0.3">
      <c r="A175" s="326" t="s">
        <v>113</v>
      </c>
      <c r="B175" s="14" t="s">
        <v>21</v>
      </c>
      <c r="C175" s="329">
        <v>3</v>
      </c>
      <c r="D175" s="329">
        <v>2</v>
      </c>
      <c r="E175" s="329">
        <v>0</v>
      </c>
      <c r="F175" s="329">
        <v>1</v>
      </c>
      <c r="G175" s="15">
        <v>4</v>
      </c>
      <c r="H175" s="15">
        <v>3</v>
      </c>
      <c r="I175" s="15">
        <v>6</v>
      </c>
      <c r="J175" s="86"/>
      <c r="K175" s="108"/>
      <c r="S175" s="117"/>
      <c r="T175" s="287"/>
      <c r="U175" s="287"/>
      <c r="V175" s="287"/>
      <c r="W175" s="287"/>
      <c r="X175" s="126"/>
      <c r="Y175" s="125"/>
    </row>
    <row r="176" spans="1:25" s="13" customFormat="1" x14ac:dyDescent="0.3">
      <c r="A176" s="326"/>
      <c r="B176" s="21" t="s">
        <v>192</v>
      </c>
      <c r="C176" s="17"/>
      <c r="D176" s="17"/>
      <c r="E176" s="17"/>
      <c r="F176" s="17"/>
      <c r="G176" s="18"/>
      <c r="H176" s="18"/>
      <c r="I176" s="18"/>
      <c r="J176" s="86"/>
      <c r="K176" s="108"/>
      <c r="S176" s="122"/>
      <c r="T176" s="17"/>
      <c r="U176" s="17"/>
      <c r="V176" s="17"/>
      <c r="W176" s="17"/>
      <c r="X176" s="126"/>
      <c r="Y176" s="125"/>
    </row>
    <row r="177" spans="1:25" x14ac:dyDescent="0.3">
      <c r="A177" s="326"/>
      <c r="B177" s="3" t="s">
        <v>302</v>
      </c>
      <c r="C177" s="323"/>
      <c r="D177" s="323"/>
      <c r="E177" s="323"/>
      <c r="F177" s="323"/>
      <c r="G177" s="5"/>
      <c r="H177" s="5"/>
      <c r="I177" s="5"/>
      <c r="J177" s="87"/>
      <c r="K177" s="108"/>
      <c r="S177" s="117"/>
      <c r="T177" s="287"/>
      <c r="U177" s="287"/>
      <c r="V177" s="287"/>
      <c r="W177" s="287"/>
      <c r="X177" s="126"/>
      <c r="Y177" s="125"/>
    </row>
    <row r="178" spans="1:25" ht="15" thickBot="1" x14ac:dyDescent="0.35">
      <c r="A178" s="326"/>
      <c r="B178" s="7" t="s">
        <v>90</v>
      </c>
      <c r="C178" s="328"/>
      <c r="D178" s="328"/>
      <c r="E178" s="328"/>
      <c r="F178" s="328"/>
      <c r="G178" s="8"/>
      <c r="H178" s="8"/>
      <c r="I178" s="8"/>
      <c r="J178" s="87"/>
      <c r="K178" s="108"/>
      <c r="S178" s="117"/>
      <c r="T178" s="287"/>
      <c r="U178" s="287"/>
      <c r="V178" s="287"/>
      <c r="W178" s="287"/>
      <c r="X178" s="126"/>
      <c r="Y178" s="125"/>
    </row>
    <row r="179" spans="1:25" ht="15" thickBot="1" x14ac:dyDescent="0.35">
      <c r="A179" s="110"/>
      <c r="B179" s="36"/>
      <c r="C179" s="36"/>
      <c r="D179" s="36"/>
      <c r="E179" s="36"/>
      <c r="F179" s="36"/>
      <c r="G179" s="37"/>
      <c r="H179" s="37"/>
      <c r="I179" s="37"/>
      <c r="J179" s="37"/>
      <c r="K179" s="193"/>
      <c r="L179" s="288"/>
      <c r="S179" s="122"/>
      <c r="T179" s="17"/>
      <c r="U179" s="17"/>
      <c r="V179" s="17"/>
      <c r="W179" s="17"/>
      <c r="X179" s="126"/>
      <c r="Y179" s="125"/>
    </row>
    <row r="180" spans="1:25" s="13" customFormat="1" ht="15" thickTop="1" x14ac:dyDescent="0.3">
      <c r="A180" s="326"/>
      <c r="B180" s="323"/>
      <c r="C180" s="323"/>
      <c r="D180" s="323"/>
      <c r="E180" s="323"/>
      <c r="F180" s="323"/>
      <c r="G180" s="5"/>
      <c r="H180" s="5"/>
      <c r="I180" s="5"/>
      <c r="J180" s="5"/>
      <c r="K180" s="108"/>
      <c r="L180" s="10"/>
      <c r="S180" s="117"/>
      <c r="T180" s="287"/>
      <c r="U180" s="287"/>
      <c r="V180" s="287"/>
      <c r="W180" s="287"/>
      <c r="X180" s="126"/>
      <c r="Y180" s="125"/>
    </row>
    <row r="181" spans="1:25" s="13" customFormat="1" ht="21" x14ac:dyDescent="0.4">
      <c r="A181" s="326"/>
      <c r="B181" s="323"/>
      <c r="C181" s="323"/>
      <c r="D181" s="323"/>
      <c r="E181" s="323"/>
      <c r="F181" s="322" t="s">
        <v>457</v>
      </c>
      <c r="G181" s="5"/>
      <c r="H181" s="5"/>
      <c r="I181" s="5"/>
      <c r="J181" s="5"/>
      <c r="K181" s="108"/>
      <c r="L181" s="10"/>
      <c r="S181" s="117"/>
      <c r="T181" s="287"/>
      <c r="U181" s="287"/>
      <c r="V181" s="287"/>
      <c r="W181" s="287"/>
      <c r="X181" s="126"/>
      <c r="Y181" s="125"/>
    </row>
    <row r="182" spans="1:25" x14ac:dyDescent="0.3">
      <c r="A182" s="326"/>
      <c r="B182" s="323"/>
      <c r="C182" s="49"/>
      <c r="D182" s="49"/>
      <c r="E182" s="49"/>
      <c r="F182" s="49"/>
      <c r="G182" s="51"/>
      <c r="H182" s="51"/>
      <c r="I182" s="51"/>
      <c r="J182" s="5"/>
      <c r="K182" s="108"/>
      <c r="L182" s="288"/>
      <c r="S182" s="117"/>
      <c r="T182" s="287"/>
      <c r="U182" s="287"/>
      <c r="V182" s="287"/>
      <c r="W182" s="287"/>
      <c r="X182" s="287"/>
      <c r="Y182" s="118"/>
    </row>
    <row r="183" spans="1:25" x14ac:dyDescent="0.3">
      <c r="A183" s="326"/>
      <c r="B183" s="323"/>
      <c r="C183" s="82">
        <v>41818</v>
      </c>
      <c r="D183" s="43" t="s">
        <v>9</v>
      </c>
      <c r="E183" s="43" t="s">
        <v>6</v>
      </c>
      <c r="F183" s="43">
        <v>3</v>
      </c>
      <c r="G183" s="48">
        <v>2</v>
      </c>
      <c r="H183" s="51" t="s">
        <v>214</v>
      </c>
      <c r="I183" s="51" t="s">
        <v>78</v>
      </c>
      <c r="J183" s="5"/>
      <c r="K183" s="108"/>
      <c r="L183" s="288"/>
      <c r="S183" s="122" t="s">
        <v>9</v>
      </c>
      <c r="T183" s="17" t="s">
        <v>6</v>
      </c>
      <c r="U183" s="17">
        <v>4</v>
      </c>
      <c r="V183" s="17">
        <v>3</v>
      </c>
      <c r="W183" s="17" t="s">
        <v>214</v>
      </c>
      <c r="X183" s="17">
        <f t="shared" ref="X183" si="30">(IF(U183&gt;V183,3,IF(U183=V183,1,2)))</f>
        <v>3</v>
      </c>
      <c r="Y183" s="123">
        <f t="shared" ref="Y183" si="31">(IF(V183&gt;U183,3,IF(U183=V183,1,2)))</f>
        <v>2</v>
      </c>
    </row>
    <row r="184" spans="1:25" x14ac:dyDescent="0.3">
      <c r="A184" s="326"/>
      <c r="B184" s="323"/>
      <c r="C184" s="82"/>
      <c r="D184" s="43"/>
      <c r="E184" s="43"/>
      <c r="F184" s="43">
        <v>1</v>
      </c>
      <c r="G184" s="48">
        <v>1</v>
      </c>
      <c r="H184" s="51" t="s">
        <v>30</v>
      </c>
      <c r="I184" s="51"/>
      <c r="J184" s="5"/>
      <c r="K184" s="108"/>
      <c r="L184" s="330"/>
      <c r="S184" s="122" t="s">
        <v>117</v>
      </c>
      <c r="T184" s="17" t="s">
        <v>18</v>
      </c>
      <c r="U184" s="17">
        <v>2</v>
      </c>
      <c r="V184" s="17">
        <v>0</v>
      </c>
      <c r="W184" s="17"/>
      <c r="X184" s="17">
        <f t="shared" ref="X184:X190" si="32">(IF(U184&gt;V184,3,IF(U184=V184,1,2)))</f>
        <v>3</v>
      </c>
      <c r="Y184" s="123">
        <f t="shared" ref="Y184:Y190" si="33">(IF(V184&gt;U184,3,IF(U184=V184,1,2)))</f>
        <v>2</v>
      </c>
    </row>
    <row r="185" spans="1:25" x14ac:dyDescent="0.3">
      <c r="A185" s="326"/>
      <c r="B185" s="323"/>
      <c r="C185" s="82"/>
      <c r="D185" s="43"/>
      <c r="E185" s="43"/>
      <c r="F185" s="43">
        <v>1</v>
      </c>
      <c r="G185" s="48">
        <v>1</v>
      </c>
      <c r="H185" s="51"/>
      <c r="I185" s="51"/>
      <c r="J185" s="5"/>
      <c r="K185" s="108"/>
      <c r="L185" s="330"/>
      <c r="S185" s="117" t="s">
        <v>63</v>
      </c>
      <c r="T185" s="323" t="s">
        <v>4</v>
      </c>
      <c r="U185" s="17">
        <v>2</v>
      </c>
      <c r="V185" s="17">
        <v>1</v>
      </c>
      <c r="W185" s="17"/>
      <c r="X185" s="17">
        <f t="shared" si="32"/>
        <v>3</v>
      </c>
      <c r="Y185" s="123">
        <f t="shared" si="33"/>
        <v>2</v>
      </c>
    </row>
    <row r="186" spans="1:25" ht="15" thickBot="1" x14ac:dyDescent="0.35">
      <c r="A186" s="326"/>
      <c r="B186" s="323"/>
      <c r="C186" s="83"/>
      <c r="D186" s="80"/>
      <c r="E186" s="80"/>
      <c r="F186" s="80" t="s">
        <v>172</v>
      </c>
      <c r="G186" s="84" t="s">
        <v>183</v>
      </c>
      <c r="H186" s="81"/>
      <c r="I186" s="81"/>
      <c r="J186" s="5"/>
      <c r="K186" s="108"/>
      <c r="L186" s="288"/>
      <c r="S186" s="122" t="s">
        <v>286</v>
      </c>
      <c r="T186" s="17" t="s">
        <v>306</v>
      </c>
      <c r="U186" s="17">
        <v>6</v>
      </c>
      <c r="V186" s="17">
        <v>4</v>
      </c>
      <c r="W186" s="17" t="s">
        <v>214</v>
      </c>
      <c r="X186" s="17">
        <f t="shared" si="32"/>
        <v>3</v>
      </c>
      <c r="Y186" s="123">
        <f t="shared" si="33"/>
        <v>2</v>
      </c>
    </row>
    <row r="187" spans="1:25" s="13" customFormat="1" x14ac:dyDescent="0.3">
      <c r="A187" s="326"/>
      <c r="B187" s="323"/>
      <c r="C187" s="82">
        <v>41818</v>
      </c>
      <c r="D187" s="43" t="s">
        <v>117</v>
      </c>
      <c r="E187" s="43" t="s">
        <v>18</v>
      </c>
      <c r="F187" s="43">
        <v>2</v>
      </c>
      <c r="G187" s="48">
        <v>0</v>
      </c>
      <c r="H187" s="51"/>
      <c r="I187" s="51" t="s">
        <v>77</v>
      </c>
      <c r="J187" s="5"/>
      <c r="K187" s="108"/>
      <c r="L187" s="10"/>
      <c r="S187" s="117" t="s">
        <v>3</v>
      </c>
      <c r="T187" s="323" t="s">
        <v>307</v>
      </c>
      <c r="U187" s="323">
        <v>2</v>
      </c>
      <c r="V187" s="323">
        <v>0</v>
      </c>
      <c r="W187" s="17"/>
      <c r="X187" s="17">
        <f t="shared" si="32"/>
        <v>3</v>
      </c>
      <c r="Y187" s="123">
        <f t="shared" si="33"/>
        <v>2</v>
      </c>
    </row>
    <row r="188" spans="1:25" ht="15" thickBot="1" x14ac:dyDescent="0.35">
      <c r="A188" s="326"/>
      <c r="B188" s="323"/>
      <c r="C188" s="83"/>
      <c r="D188" s="80"/>
      <c r="E188" s="80"/>
      <c r="F188" s="80" t="s">
        <v>172</v>
      </c>
      <c r="G188" s="84" t="s">
        <v>171</v>
      </c>
      <c r="H188" s="81"/>
      <c r="I188" s="81"/>
      <c r="J188" s="5"/>
      <c r="K188" s="108"/>
      <c r="L188" s="288"/>
      <c r="S188" s="117" t="s">
        <v>88</v>
      </c>
      <c r="T188" s="323" t="s">
        <v>192</v>
      </c>
      <c r="U188" s="323">
        <v>2</v>
      </c>
      <c r="V188" s="323">
        <v>1</v>
      </c>
      <c r="W188" s="17" t="s">
        <v>30</v>
      </c>
      <c r="X188" s="17">
        <f t="shared" si="32"/>
        <v>3</v>
      </c>
      <c r="Y188" s="123">
        <f t="shared" si="33"/>
        <v>2</v>
      </c>
    </row>
    <row r="189" spans="1:25" x14ac:dyDescent="0.3">
      <c r="A189" s="326"/>
      <c r="B189" s="33"/>
      <c r="C189" s="82">
        <v>41819</v>
      </c>
      <c r="D189" s="43" t="s">
        <v>63</v>
      </c>
      <c r="E189" s="43" t="s">
        <v>4</v>
      </c>
      <c r="F189" s="43">
        <v>2</v>
      </c>
      <c r="G189" s="48">
        <v>1</v>
      </c>
      <c r="H189" s="51"/>
      <c r="I189" s="51" t="s">
        <v>414</v>
      </c>
      <c r="J189" s="5"/>
      <c r="K189" s="108"/>
      <c r="L189" s="288"/>
      <c r="S189" s="117" t="s">
        <v>5</v>
      </c>
      <c r="T189" s="323" t="s">
        <v>43</v>
      </c>
      <c r="U189" s="323">
        <v>1</v>
      </c>
      <c r="V189" s="323">
        <v>0</v>
      </c>
      <c r="W189" s="17" t="s">
        <v>30</v>
      </c>
      <c r="X189" s="17">
        <f t="shared" si="32"/>
        <v>3</v>
      </c>
      <c r="Y189" s="123">
        <f t="shared" si="33"/>
        <v>2</v>
      </c>
    </row>
    <row r="190" spans="1:25" ht="15" thickBot="1" x14ac:dyDescent="0.35">
      <c r="A190" s="326"/>
      <c r="B190" s="33"/>
      <c r="C190" s="83"/>
      <c r="D190" s="80"/>
      <c r="E190" s="80"/>
      <c r="F190" s="80" t="s">
        <v>170</v>
      </c>
      <c r="G190" s="84" t="s">
        <v>171</v>
      </c>
      <c r="H190" s="81"/>
      <c r="I190" s="81"/>
      <c r="J190" s="5"/>
      <c r="K190" s="108"/>
      <c r="L190" s="288"/>
      <c r="S190" s="117" t="s">
        <v>21</v>
      </c>
      <c r="T190" s="323" t="s">
        <v>20</v>
      </c>
      <c r="U190" s="323">
        <v>2</v>
      </c>
      <c r="V190" s="323">
        <v>1</v>
      </c>
      <c r="W190" s="17" t="s">
        <v>30</v>
      </c>
      <c r="X190" s="17">
        <f t="shared" si="32"/>
        <v>3</v>
      </c>
      <c r="Y190" s="123">
        <f t="shared" si="33"/>
        <v>2</v>
      </c>
    </row>
    <row r="191" spans="1:25" x14ac:dyDescent="0.3">
      <c r="A191" s="156"/>
      <c r="B191" s="323"/>
      <c r="C191" s="82">
        <v>41819</v>
      </c>
      <c r="D191" s="43" t="s">
        <v>286</v>
      </c>
      <c r="E191" s="43" t="s">
        <v>306</v>
      </c>
      <c r="F191" s="43">
        <v>5</v>
      </c>
      <c r="G191" s="48">
        <v>3</v>
      </c>
      <c r="H191" s="51" t="s">
        <v>214</v>
      </c>
      <c r="I191" s="51" t="s">
        <v>80</v>
      </c>
      <c r="J191" s="5"/>
      <c r="K191" s="108"/>
      <c r="L191" s="288"/>
      <c r="S191" s="117"/>
      <c r="T191" s="323"/>
      <c r="U191" s="323"/>
      <c r="V191" s="323"/>
      <c r="W191" s="17"/>
      <c r="X191" s="17"/>
      <c r="Y191" s="123"/>
    </row>
    <row r="192" spans="1:25" x14ac:dyDescent="0.3">
      <c r="A192" s="156"/>
      <c r="B192" s="323"/>
      <c r="C192" s="82"/>
      <c r="D192" s="43"/>
      <c r="E192" s="43"/>
      <c r="F192" s="43">
        <v>1</v>
      </c>
      <c r="G192" s="48">
        <v>1</v>
      </c>
      <c r="H192" s="51" t="s">
        <v>30</v>
      </c>
      <c r="I192" s="51"/>
      <c r="J192" s="5"/>
      <c r="K192" s="108"/>
      <c r="L192" s="330"/>
      <c r="S192" s="117"/>
      <c r="T192" s="323"/>
      <c r="U192" s="323"/>
      <c r="V192" s="323"/>
      <c r="W192" s="17"/>
      <c r="X192" s="17"/>
      <c r="Y192" s="123"/>
    </row>
    <row r="193" spans="1:25" x14ac:dyDescent="0.3">
      <c r="A193" s="156"/>
      <c r="B193" s="323"/>
      <c r="C193" s="82"/>
      <c r="D193" s="43"/>
      <c r="E193" s="43"/>
      <c r="F193" s="43">
        <v>1</v>
      </c>
      <c r="G193" s="48">
        <v>1</v>
      </c>
      <c r="H193" s="51"/>
      <c r="I193" s="51"/>
      <c r="J193" s="5"/>
      <c r="K193" s="108"/>
      <c r="L193" s="330"/>
      <c r="S193" s="117"/>
      <c r="T193" s="323"/>
      <c r="U193" s="323"/>
      <c r="V193" s="323"/>
      <c r="W193" s="17"/>
      <c r="X193" s="17"/>
      <c r="Y193" s="123"/>
    </row>
    <row r="194" spans="1:25" s="13" customFormat="1" ht="15" thickBot="1" x14ac:dyDescent="0.35">
      <c r="A194" s="156"/>
      <c r="B194" s="323"/>
      <c r="C194" s="83"/>
      <c r="D194" s="80"/>
      <c r="E194" s="80"/>
      <c r="F194" s="80" t="s">
        <v>170</v>
      </c>
      <c r="G194" s="84" t="s">
        <v>171</v>
      </c>
      <c r="H194" s="81"/>
      <c r="I194" s="81"/>
      <c r="J194" s="5"/>
      <c r="K194" s="108"/>
      <c r="L194" s="10"/>
      <c r="S194" s="117"/>
      <c r="T194" s="323"/>
      <c r="U194" s="323"/>
      <c r="V194" s="323"/>
      <c r="W194" s="287"/>
      <c r="X194" s="287"/>
      <c r="Y194" s="118"/>
    </row>
    <row r="195" spans="1:25" s="13" customFormat="1" x14ac:dyDescent="0.3">
      <c r="A195" s="156"/>
      <c r="B195" s="323"/>
      <c r="C195" s="82">
        <v>41820</v>
      </c>
      <c r="D195" s="43" t="s">
        <v>3</v>
      </c>
      <c r="E195" s="43" t="s">
        <v>307</v>
      </c>
      <c r="F195" s="43">
        <v>2</v>
      </c>
      <c r="G195" s="48">
        <v>0</v>
      </c>
      <c r="H195" s="51"/>
      <c r="I195" s="51" t="s">
        <v>416</v>
      </c>
      <c r="J195" s="5"/>
      <c r="K195" s="108"/>
      <c r="L195" s="10"/>
      <c r="S195" s="117"/>
      <c r="T195" s="323"/>
      <c r="U195" s="323"/>
      <c r="V195" s="323"/>
      <c r="W195" s="287"/>
      <c r="X195" s="287"/>
      <c r="Y195" s="118"/>
    </row>
    <row r="196" spans="1:25" s="13" customFormat="1" ht="15" thickBot="1" x14ac:dyDescent="0.35">
      <c r="A196" s="156"/>
      <c r="B196" s="323"/>
      <c r="C196" s="83"/>
      <c r="D196" s="80"/>
      <c r="E196" s="80"/>
      <c r="F196" s="80" t="s">
        <v>170</v>
      </c>
      <c r="G196" s="84" t="s">
        <v>171</v>
      </c>
      <c r="H196" s="81"/>
      <c r="I196" s="81"/>
      <c r="J196" s="5"/>
      <c r="K196" s="108"/>
      <c r="S196" s="117"/>
      <c r="T196" s="323"/>
      <c r="U196" s="323"/>
      <c r="V196" s="323"/>
      <c r="W196" s="287"/>
      <c r="X196" s="287"/>
      <c r="Y196" s="118"/>
    </row>
    <row r="197" spans="1:25" s="13" customFormat="1" x14ac:dyDescent="0.3">
      <c r="A197" s="156"/>
      <c r="B197" s="323"/>
      <c r="C197" s="82">
        <v>41820</v>
      </c>
      <c r="D197" s="43" t="s">
        <v>88</v>
      </c>
      <c r="E197" s="43" t="s">
        <v>192</v>
      </c>
      <c r="F197" s="43">
        <v>2</v>
      </c>
      <c r="G197" s="48">
        <v>1</v>
      </c>
      <c r="H197" s="51" t="s">
        <v>30</v>
      </c>
      <c r="I197" s="51" t="s">
        <v>79</v>
      </c>
      <c r="J197" s="5"/>
      <c r="K197" s="108"/>
      <c r="S197" s="117"/>
      <c r="T197" s="323"/>
      <c r="U197" s="323"/>
      <c r="V197" s="323"/>
      <c r="W197" s="287"/>
      <c r="X197" s="287"/>
      <c r="Y197" s="118"/>
    </row>
    <row r="198" spans="1:25" s="13" customFormat="1" x14ac:dyDescent="0.3">
      <c r="A198" s="156"/>
      <c r="B198" s="323"/>
      <c r="C198" s="82"/>
      <c r="D198" s="43"/>
      <c r="E198" s="43"/>
      <c r="F198" s="43">
        <v>0</v>
      </c>
      <c r="G198" s="48">
        <v>0</v>
      </c>
      <c r="H198" s="51"/>
      <c r="I198" s="51"/>
      <c r="J198" s="5"/>
      <c r="K198" s="108"/>
      <c r="S198" s="117"/>
      <c r="T198" s="323"/>
      <c r="U198" s="323"/>
      <c r="V198" s="323"/>
      <c r="W198" s="323"/>
      <c r="X198" s="323"/>
      <c r="Y198" s="118"/>
    </row>
    <row r="199" spans="1:25" ht="15" thickBot="1" x14ac:dyDescent="0.35">
      <c r="A199" s="156"/>
      <c r="B199" s="323"/>
      <c r="C199" s="83"/>
      <c r="D199" s="80"/>
      <c r="E199" s="80"/>
      <c r="F199" s="80" t="s">
        <v>170</v>
      </c>
      <c r="G199" s="84" t="s">
        <v>171</v>
      </c>
      <c r="H199" s="81"/>
      <c r="I199" s="81"/>
      <c r="J199" s="5"/>
      <c r="K199" s="108"/>
      <c r="L199" s="288"/>
      <c r="S199" s="117"/>
      <c r="T199" s="323"/>
      <c r="U199" s="323"/>
      <c r="V199" s="323"/>
      <c r="W199" s="287"/>
      <c r="X199" s="287"/>
      <c r="Y199" s="118"/>
    </row>
    <row r="200" spans="1:25" x14ac:dyDescent="0.3">
      <c r="A200" s="156"/>
      <c r="B200" s="323"/>
      <c r="C200" s="82">
        <v>41821</v>
      </c>
      <c r="D200" s="43" t="s">
        <v>5</v>
      </c>
      <c r="E200" s="43" t="s">
        <v>43</v>
      </c>
      <c r="F200" s="43">
        <v>1</v>
      </c>
      <c r="G200" s="48">
        <v>0</v>
      </c>
      <c r="H200" s="51" t="s">
        <v>30</v>
      </c>
      <c r="I200" s="51" t="s">
        <v>423</v>
      </c>
      <c r="J200" s="5"/>
      <c r="K200" s="108"/>
      <c r="L200" s="288"/>
      <c r="S200" s="117"/>
      <c r="T200" s="323"/>
      <c r="U200" s="323"/>
      <c r="V200" s="323"/>
      <c r="W200" s="287"/>
      <c r="X200" s="126"/>
      <c r="Y200" s="125"/>
    </row>
    <row r="201" spans="1:25" s="13" customFormat="1" x14ac:dyDescent="0.3">
      <c r="A201" s="156"/>
      <c r="B201" s="323"/>
      <c r="C201" s="82"/>
      <c r="D201" s="43"/>
      <c r="E201" s="43"/>
      <c r="F201" s="43">
        <v>0</v>
      </c>
      <c r="G201" s="48">
        <v>0</v>
      </c>
      <c r="H201" s="51"/>
      <c r="I201" s="51"/>
      <c r="J201" s="5"/>
      <c r="K201" s="108"/>
      <c r="L201" s="10"/>
      <c r="S201" s="117"/>
      <c r="T201" s="323"/>
      <c r="U201" s="323"/>
      <c r="V201" s="323"/>
      <c r="W201" s="287"/>
      <c r="X201" s="287"/>
      <c r="Y201" s="118"/>
    </row>
    <row r="202" spans="1:25" s="13" customFormat="1" ht="15" thickBot="1" x14ac:dyDescent="0.35">
      <c r="A202" s="156"/>
      <c r="B202" s="323"/>
      <c r="C202" s="83"/>
      <c r="D202" s="80"/>
      <c r="E202" s="80"/>
      <c r="F202" s="80" t="s">
        <v>170</v>
      </c>
      <c r="G202" s="84" t="s">
        <v>171</v>
      </c>
      <c r="H202" s="81"/>
      <c r="I202" s="81"/>
      <c r="J202" s="5"/>
      <c r="K202" s="108"/>
      <c r="L202" s="10"/>
      <c r="S202" s="117"/>
      <c r="T202" s="323"/>
      <c r="U202" s="323"/>
      <c r="V202" s="323"/>
      <c r="W202" s="287"/>
      <c r="X202" s="287"/>
      <c r="Y202" s="118"/>
    </row>
    <row r="203" spans="1:25" s="13" customFormat="1" x14ac:dyDescent="0.3">
      <c r="A203" s="156"/>
      <c r="B203" s="323"/>
      <c r="C203" s="82">
        <v>41821</v>
      </c>
      <c r="D203" s="43" t="s">
        <v>21</v>
      </c>
      <c r="E203" s="43" t="s">
        <v>20</v>
      </c>
      <c r="F203" s="43">
        <v>2</v>
      </c>
      <c r="G203" s="48">
        <v>1</v>
      </c>
      <c r="H203" s="51" t="s">
        <v>30</v>
      </c>
      <c r="I203" s="51" t="s">
        <v>419</v>
      </c>
      <c r="J203" s="5"/>
      <c r="K203" s="108"/>
      <c r="L203" s="10"/>
      <c r="S203" s="117"/>
      <c r="T203" s="287"/>
      <c r="U203" s="287"/>
      <c r="V203" s="287"/>
      <c r="W203" s="287"/>
      <c r="X203" s="287"/>
      <c r="Y203" s="118"/>
    </row>
    <row r="204" spans="1:25" s="13" customFormat="1" x14ac:dyDescent="0.3">
      <c r="A204" s="156"/>
      <c r="B204" s="323"/>
      <c r="C204" s="49"/>
      <c r="D204" s="49"/>
      <c r="E204" s="49"/>
      <c r="F204" s="49">
        <v>0</v>
      </c>
      <c r="G204" s="51">
        <v>0</v>
      </c>
      <c r="H204" s="51"/>
      <c r="I204" s="51"/>
      <c r="J204" s="5"/>
      <c r="K204" s="108"/>
      <c r="L204" s="10"/>
      <c r="S204" s="117"/>
      <c r="T204" s="287"/>
      <c r="U204" s="287"/>
      <c r="V204" s="287"/>
      <c r="W204" s="287"/>
      <c r="X204" s="287"/>
      <c r="Y204" s="118"/>
    </row>
    <row r="205" spans="1:25" s="13" customFormat="1" x14ac:dyDescent="0.3">
      <c r="A205" s="156"/>
      <c r="B205" s="323"/>
      <c r="C205" s="49"/>
      <c r="D205" s="49"/>
      <c r="E205" s="49"/>
      <c r="F205" s="49" t="s">
        <v>170</v>
      </c>
      <c r="G205" s="51" t="s">
        <v>171</v>
      </c>
      <c r="H205" s="51"/>
      <c r="I205" s="51"/>
      <c r="J205" s="5"/>
      <c r="K205" s="108"/>
      <c r="L205" s="10"/>
      <c r="S205" s="117"/>
      <c r="T205" s="287"/>
      <c r="U205" s="287"/>
      <c r="V205" s="287"/>
      <c r="W205" s="287"/>
      <c r="X205" s="126"/>
      <c r="Y205" s="125"/>
    </row>
    <row r="206" spans="1:25" s="13" customFormat="1" x14ac:dyDescent="0.3">
      <c r="A206" s="156"/>
      <c r="B206" s="323"/>
      <c r="C206" s="323"/>
      <c r="D206" s="323"/>
      <c r="E206" s="323"/>
      <c r="F206" s="323"/>
      <c r="G206" s="5"/>
      <c r="H206" s="5"/>
      <c r="I206" s="5"/>
      <c r="J206" s="5"/>
      <c r="K206" s="108"/>
      <c r="S206" s="117"/>
      <c r="T206" s="287"/>
      <c r="U206" s="287"/>
      <c r="V206" s="287"/>
      <c r="W206" s="287"/>
      <c r="X206" s="126"/>
      <c r="Y206" s="125"/>
    </row>
    <row r="207" spans="1:25" s="13" customFormat="1" x14ac:dyDescent="0.3">
      <c r="A207" s="156"/>
      <c r="B207" s="323"/>
      <c r="C207" s="323"/>
      <c r="D207" s="323"/>
      <c r="E207" s="323"/>
      <c r="F207" s="323"/>
      <c r="G207" s="5"/>
      <c r="H207" s="5"/>
      <c r="I207" s="5"/>
      <c r="J207" s="5"/>
      <c r="K207" s="108"/>
      <c r="L207" s="10"/>
      <c r="S207" s="117"/>
      <c r="T207" s="287"/>
      <c r="U207" s="287"/>
      <c r="V207" s="287"/>
      <c r="W207" s="287"/>
      <c r="X207" s="126"/>
      <c r="Y207" s="125"/>
    </row>
    <row r="208" spans="1:25" s="13" customFormat="1" ht="21" x14ac:dyDescent="0.4">
      <c r="A208" s="156"/>
      <c r="B208" s="323"/>
      <c r="C208" s="323"/>
      <c r="D208" s="323"/>
      <c r="E208" s="323"/>
      <c r="F208" s="322" t="s">
        <v>456</v>
      </c>
      <c r="G208" s="5"/>
      <c r="H208" s="5"/>
      <c r="I208" s="5"/>
      <c r="J208" s="5"/>
      <c r="K208" s="108"/>
      <c r="S208" s="117"/>
      <c r="T208" s="287"/>
      <c r="U208" s="287"/>
      <c r="V208" s="287"/>
      <c r="W208" s="287"/>
      <c r="X208" s="126"/>
      <c r="Y208" s="125"/>
    </row>
    <row r="209" spans="1:25" s="13" customFormat="1" x14ac:dyDescent="0.3">
      <c r="A209" s="156"/>
      <c r="B209" s="323"/>
      <c r="C209" s="323"/>
      <c r="D209" s="49"/>
      <c r="E209" s="49"/>
      <c r="F209" s="49"/>
      <c r="G209" s="51"/>
      <c r="H209" s="51"/>
      <c r="I209" s="5"/>
      <c r="J209" s="5"/>
      <c r="K209" s="108"/>
      <c r="L209" s="10"/>
      <c r="S209" s="117"/>
      <c r="T209" s="287"/>
      <c r="U209" s="323"/>
      <c r="V209" s="323"/>
      <c r="W209" s="323"/>
      <c r="X209" s="126"/>
      <c r="Y209" s="125"/>
    </row>
    <row r="210" spans="1:25" s="13" customFormat="1" x14ac:dyDescent="0.3">
      <c r="A210" s="156"/>
      <c r="B210" s="323"/>
      <c r="C210" s="40">
        <v>41824</v>
      </c>
      <c r="D210" s="49" t="s">
        <v>3</v>
      </c>
      <c r="E210" s="43" t="s">
        <v>88</v>
      </c>
      <c r="F210" s="43">
        <v>0</v>
      </c>
      <c r="G210" s="48">
        <v>1</v>
      </c>
      <c r="H210" s="48"/>
      <c r="I210" s="5" t="s">
        <v>77</v>
      </c>
      <c r="J210" s="5"/>
      <c r="K210" s="108"/>
      <c r="L210" s="10"/>
      <c r="S210" s="117" t="s">
        <v>3</v>
      </c>
      <c r="T210" s="287" t="s">
        <v>88</v>
      </c>
      <c r="U210" s="323">
        <v>0</v>
      </c>
      <c r="V210" s="323">
        <v>1</v>
      </c>
      <c r="W210" s="323"/>
      <c r="X210" s="126">
        <f t="shared" ref="X210:X213" si="34">(IF(U210&gt;V210,3,IF(U210=V210,1,2)))</f>
        <v>2</v>
      </c>
      <c r="Y210" s="125">
        <f t="shared" ref="Y210:Y213" si="35">(IF(V210&gt;U210,3,IF(U210=V210,1,2)))</f>
        <v>3</v>
      </c>
    </row>
    <row r="211" spans="1:25" s="13" customFormat="1" ht="15" thickBot="1" x14ac:dyDescent="0.35">
      <c r="A211" s="156"/>
      <c r="B211" s="323"/>
      <c r="C211" s="58"/>
      <c r="D211" s="80"/>
      <c r="E211" s="80"/>
      <c r="F211" s="80" t="s">
        <v>170</v>
      </c>
      <c r="G211" s="84" t="s">
        <v>183</v>
      </c>
      <c r="H211" s="84"/>
      <c r="I211" s="8"/>
      <c r="J211" s="5"/>
      <c r="K211" s="108"/>
      <c r="L211" s="10"/>
      <c r="S211" s="117" t="s">
        <v>9</v>
      </c>
      <c r="T211" s="323" t="s">
        <v>117</v>
      </c>
      <c r="U211" s="323">
        <v>2</v>
      </c>
      <c r="V211" s="323">
        <v>1</v>
      </c>
      <c r="W211" s="323"/>
      <c r="X211" s="126">
        <f t="shared" si="34"/>
        <v>3</v>
      </c>
      <c r="Y211" s="125">
        <f t="shared" si="35"/>
        <v>2</v>
      </c>
    </row>
    <row r="212" spans="1:25" s="13" customFormat="1" x14ac:dyDescent="0.3">
      <c r="A212" s="156"/>
      <c r="B212" s="323"/>
      <c r="C212" s="40">
        <v>41824</v>
      </c>
      <c r="D212" s="43" t="s">
        <v>9</v>
      </c>
      <c r="E212" s="43" t="s">
        <v>117</v>
      </c>
      <c r="F212" s="43">
        <v>2</v>
      </c>
      <c r="G212" s="48">
        <v>1</v>
      </c>
      <c r="H212" s="48"/>
      <c r="I212" s="5" t="s">
        <v>414</v>
      </c>
      <c r="J212" s="5"/>
      <c r="K212" s="108"/>
      <c r="S212" s="117" t="s">
        <v>5</v>
      </c>
      <c r="T212" s="323" t="s">
        <v>21</v>
      </c>
      <c r="U212" s="323">
        <v>1</v>
      </c>
      <c r="V212" s="323">
        <v>0</v>
      </c>
      <c r="W212" s="323"/>
      <c r="X212" s="126">
        <f t="shared" si="34"/>
        <v>3</v>
      </c>
      <c r="Y212" s="125">
        <f t="shared" si="35"/>
        <v>2</v>
      </c>
    </row>
    <row r="213" spans="1:25" s="13" customFormat="1" ht="15" thickBot="1" x14ac:dyDescent="0.35">
      <c r="A213" s="156"/>
      <c r="B213" s="323"/>
      <c r="C213" s="58"/>
      <c r="D213" s="80"/>
      <c r="E213" s="80"/>
      <c r="F213" s="80" t="s">
        <v>172</v>
      </c>
      <c r="G213" s="84" t="s">
        <v>171</v>
      </c>
      <c r="H213" s="84"/>
      <c r="I213" s="8"/>
      <c r="J213" s="5"/>
      <c r="K213" s="108"/>
      <c r="L213" s="10"/>
      <c r="S213" s="117" t="s">
        <v>63</v>
      </c>
      <c r="T213" s="330" t="s">
        <v>286</v>
      </c>
      <c r="U213" s="323">
        <v>4</v>
      </c>
      <c r="V213" s="323">
        <v>3</v>
      </c>
      <c r="W213" s="323" t="s">
        <v>214</v>
      </c>
      <c r="X213" s="126">
        <f t="shared" si="34"/>
        <v>3</v>
      </c>
      <c r="Y213" s="125">
        <f t="shared" si="35"/>
        <v>2</v>
      </c>
    </row>
    <row r="214" spans="1:25" s="13" customFormat="1" x14ac:dyDescent="0.3">
      <c r="A214" s="156"/>
      <c r="B214" s="323"/>
      <c r="C214" s="40">
        <v>41825</v>
      </c>
      <c r="D214" s="43" t="s">
        <v>5</v>
      </c>
      <c r="E214" s="43" t="s">
        <v>21</v>
      </c>
      <c r="F214" s="43">
        <v>1</v>
      </c>
      <c r="G214" s="48">
        <v>0</v>
      </c>
      <c r="H214" s="48"/>
      <c r="I214" s="5" t="s">
        <v>416</v>
      </c>
      <c r="J214" s="5"/>
      <c r="K214" s="108"/>
      <c r="S214" s="117"/>
      <c r="T214" s="330"/>
      <c r="U214" s="323"/>
      <c r="V214" s="323"/>
      <c r="W214" s="323"/>
      <c r="X214" s="126"/>
      <c r="Y214" s="125"/>
    </row>
    <row r="215" spans="1:25" s="13" customFormat="1" ht="15" thickBot="1" x14ac:dyDescent="0.35">
      <c r="A215" s="156"/>
      <c r="B215" s="323"/>
      <c r="C215" s="58"/>
      <c r="D215" s="80"/>
      <c r="E215" s="80"/>
      <c r="F215" s="80" t="s">
        <v>172</v>
      </c>
      <c r="G215" s="84" t="s">
        <v>171</v>
      </c>
      <c r="H215" s="84"/>
      <c r="I215" s="8"/>
      <c r="J215" s="5"/>
      <c r="K215" s="108"/>
      <c r="S215" s="117"/>
      <c r="T215" s="330"/>
      <c r="U215" s="323"/>
      <c r="V215" s="323"/>
      <c r="W215" s="323"/>
      <c r="X215" s="126"/>
      <c r="Y215" s="125"/>
    </row>
    <row r="216" spans="1:25" s="13" customFormat="1" x14ac:dyDescent="0.3">
      <c r="A216" s="156"/>
      <c r="B216" s="323"/>
      <c r="C216" s="40">
        <v>41825</v>
      </c>
      <c r="D216" s="43" t="s">
        <v>63</v>
      </c>
      <c r="E216" s="43" t="s">
        <v>286</v>
      </c>
      <c r="F216" s="43">
        <v>4</v>
      </c>
      <c r="G216" s="48">
        <v>3</v>
      </c>
      <c r="H216" s="48" t="s">
        <v>214</v>
      </c>
      <c r="I216" s="5" t="s">
        <v>419</v>
      </c>
      <c r="J216" s="5"/>
      <c r="K216" s="108"/>
      <c r="L216" s="10"/>
      <c r="S216" s="117"/>
      <c r="T216" s="288"/>
      <c r="U216" s="323"/>
      <c r="V216" s="323"/>
      <c r="W216" s="323"/>
      <c r="X216" s="126"/>
      <c r="Y216" s="125"/>
    </row>
    <row r="217" spans="1:25" s="13" customFormat="1" x14ac:dyDescent="0.3">
      <c r="A217" s="156"/>
      <c r="B217" s="323"/>
      <c r="C217" s="323"/>
      <c r="D217" s="43"/>
      <c r="E217" s="43"/>
      <c r="F217" s="43">
        <v>0</v>
      </c>
      <c r="G217" s="48">
        <v>0</v>
      </c>
      <c r="H217" s="48" t="s">
        <v>30</v>
      </c>
      <c r="I217" s="5"/>
      <c r="J217" s="5"/>
      <c r="K217" s="108"/>
      <c r="S217" s="117"/>
      <c r="T217" s="288"/>
      <c r="U217" s="288"/>
      <c r="V217" s="288"/>
      <c r="W217" s="288"/>
      <c r="X217" s="288"/>
      <c r="Y217" s="118"/>
    </row>
    <row r="218" spans="1:25" s="13" customFormat="1" x14ac:dyDescent="0.3">
      <c r="A218" s="156"/>
      <c r="B218" s="323"/>
      <c r="C218" s="323"/>
      <c r="D218" s="43"/>
      <c r="E218" s="43"/>
      <c r="F218" s="43">
        <v>0</v>
      </c>
      <c r="G218" s="48">
        <v>0</v>
      </c>
      <c r="H218" s="48"/>
      <c r="I218" s="5"/>
      <c r="J218" s="5"/>
      <c r="K218" s="108"/>
      <c r="L218" s="10"/>
      <c r="S218" s="117"/>
      <c r="T218" s="288"/>
      <c r="U218" s="288"/>
      <c r="V218" s="288"/>
      <c r="W218" s="288"/>
      <c r="X218" s="288"/>
      <c r="Y218" s="118"/>
    </row>
    <row r="219" spans="1:25" s="13" customFormat="1" x14ac:dyDescent="0.3">
      <c r="A219" s="156"/>
      <c r="B219" s="323"/>
      <c r="C219" s="323"/>
      <c r="D219" s="43"/>
      <c r="E219" s="43"/>
      <c r="F219" s="43" t="s">
        <v>170</v>
      </c>
      <c r="G219" s="48" t="s">
        <v>171</v>
      </c>
      <c r="H219" s="48"/>
      <c r="I219" s="5"/>
      <c r="J219" s="5"/>
      <c r="K219" s="108"/>
      <c r="L219" s="10"/>
      <c r="S219" s="117"/>
      <c r="T219" s="288"/>
      <c r="U219" s="288"/>
      <c r="V219" s="288"/>
      <c r="W219" s="288"/>
      <c r="X219" s="126"/>
      <c r="Y219" s="125"/>
    </row>
    <row r="220" spans="1:25" s="13" customFormat="1" x14ac:dyDescent="0.3">
      <c r="A220" s="156"/>
      <c r="B220" s="323"/>
      <c r="C220" s="323"/>
      <c r="D220" s="17"/>
      <c r="E220" s="17"/>
      <c r="F220" s="17"/>
      <c r="G220" s="18"/>
      <c r="H220" s="18"/>
      <c r="I220" s="5"/>
      <c r="J220" s="5"/>
      <c r="K220" s="108"/>
      <c r="L220" s="10"/>
      <c r="S220" s="117"/>
      <c r="T220" s="288"/>
      <c r="U220" s="288"/>
      <c r="V220" s="288"/>
      <c r="W220" s="288"/>
      <c r="X220" s="126"/>
      <c r="Y220" s="125"/>
    </row>
    <row r="221" spans="1:25" s="13" customFormat="1" x14ac:dyDescent="0.3">
      <c r="A221" s="24"/>
      <c r="B221" s="17"/>
      <c r="C221" s="17"/>
      <c r="D221" s="17"/>
      <c r="E221" s="17"/>
      <c r="F221" s="17"/>
      <c r="G221" s="18"/>
      <c r="H221" s="18"/>
      <c r="I221" s="18"/>
      <c r="J221" s="18"/>
      <c r="K221" s="108"/>
      <c r="L221" s="10"/>
      <c r="S221" s="117"/>
      <c r="T221" s="288"/>
      <c r="U221" s="288"/>
      <c r="V221" s="288"/>
      <c r="W221" s="288"/>
      <c r="X221" s="288"/>
      <c r="Y221" s="118"/>
    </row>
    <row r="222" spans="1:25" s="13" customFormat="1" ht="21" x14ac:dyDescent="0.4">
      <c r="A222" s="24"/>
      <c r="B222" s="17"/>
      <c r="C222" s="17"/>
      <c r="D222" s="17"/>
      <c r="E222" s="17"/>
      <c r="F222" s="70" t="s">
        <v>458</v>
      </c>
      <c r="G222" s="18"/>
      <c r="H222" s="18"/>
      <c r="I222" s="18"/>
      <c r="J222" s="18"/>
      <c r="K222" s="108"/>
      <c r="S222" s="117"/>
      <c r="T222" s="288"/>
      <c r="U222" s="288"/>
      <c r="V222" s="288"/>
      <c r="W222" s="288"/>
      <c r="X222" s="288"/>
      <c r="Y222" s="118"/>
    </row>
    <row r="223" spans="1:25" s="13" customFormat="1" x14ac:dyDescent="0.3">
      <c r="A223" s="156"/>
      <c r="B223" s="28"/>
      <c r="C223" s="323"/>
      <c r="D223" s="49"/>
      <c r="E223" s="49"/>
      <c r="F223" s="49"/>
      <c r="G223" s="51"/>
      <c r="H223" s="5"/>
      <c r="I223" s="5"/>
      <c r="J223" s="5"/>
      <c r="K223" s="108"/>
      <c r="L223" s="10"/>
      <c r="S223" s="117"/>
      <c r="T223" s="288"/>
      <c r="U223" s="288"/>
      <c r="V223" s="288"/>
      <c r="W223" s="288"/>
      <c r="X223" s="288"/>
      <c r="Y223" s="118"/>
    </row>
    <row r="224" spans="1:25" x14ac:dyDescent="0.3">
      <c r="A224" s="186"/>
      <c r="B224" s="95"/>
      <c r="C224" s="165">
        <v>41828</v>
      </c>
      <c r="D224" s="43" t="s">
        <v>9</v>
      </c>
      <c r="E224" s="43" t="s">
        <v>88</v>
      </c>
      <c r="F224" s="43">
        <v>1</v>
      </c>
      <c r="G224" s="43">
        <v>7</v>
      </c>
      <c r="H224" s="17"/>
      <c r="I224" s="18" t="s">
        <v>78</v>
      </c>
      <c r="J224" s="18"/>
      <c r="K224" s="109"/>
      <c r="S224" s="117" t="s">
        <v>9</v>
      </c>
      <c r="T224" s="288" t="s">
        <v>88</v>
      </c>
      <c r="U224" s="330">
        <v>1</v>
      </c>
      <c r="V224" s="330">
        <v>7</v>
      </c>
      <c r="W224" s="330"/>
      <c r="X224" s="126">
        <f t="shared" ref="X224:X225" si="36">(IF(U224&gt;V224,3,IF(U224=V224,1,2)))</f>
        <v>2</v>
      </c>
      <c r="Y224" s="125">
        <f t="shared" ref="Y224:Y225" si="37">(IF(V224&gt;U224,3,IF(U224=V224,1,2)))</f>
        <v>3</v>
      </c>
    </row>
    <row r="225" spans="1:25" ht="15" thickBot="1" x14ac:dyDescent="0.35">
      <c r="A225" s="186"/>
      <c r="B225" s="95"/>
      <c r="C225" s="62"/>
      <c r="D225" s="80"/>
      <c r="E225" s="80"/>
      <c r="F225" s="80" t="s">
        <v>170</v>
      </c>
      <c r="G225" s="80" t="s">
        <v>424</v>
      </c>
      <c r="H225" s="30"/>
      <c r="I225" s="31"/>
      <c r="J225" s="18"/>
      <c r="K225" s="109"/>
      <c r="S225" s="117" t="s">
        <v>63</v>
      </c>
      <c r="T225" s="330" t="s">
        <v>5</v>
      </c>
      <c r="U225" s="330">
        <v>2</v>
      </c>
      <c r="V225" s="330">
        <v>4</v>
      </c>
      <c r="W225" s="330" t="s">
        <v>214</v>
      </c>
      <c r="X225" s="126">
        <f t="shared" si="36"/>
        <v>2</v>
      </c>
      <c r="Y225" s="125">
        <f t="shared" si="37"/>
        <v>3</v>
      </c>
    </row>
    <row r="226" spans="1:25" x14ac:dyDescent="0.3">
      <c r="A226" s="186"/>
      <c r="B226" s="95"/>
      <c r="C226" s="165">
        <v>41829</v>
      </c>
      <c r="D226" s="43" t="s">
        <v>63</v>
      </c>
      <c r="E226" s="43" t="s">
        <v>5</v>
      </c>
      <c r="F226" s="43">
        <v>2</v>
      </c>
      <c r="G226" s="43">
        <v>4</v>
      </c>
      <c r="H226" s="17" t="s">
        <v>214</v>
      </c>
      <c r="I226" s="18" t="s">
        <v>417</v>
      </c>
      <c r="J226" s="18"/>
      <c r="K226" s="109"/>
      <c r="S226" s="117"/>
      <c r="T226" s="288"/>
      <c r="U226" s="288"/>
      <c r="V226" s="288"/>
      <c r="W226" s="288"/>
      <c r="X226" s="126"/>
      <c r="Y226" s="125"/>
    </row>
    <row r="227" spans="1:25" x14ac:dyDescent="0.3">
      <c r="A227" s="186"/>
      <c r="B227" s="95"/>
      <c r="C227" s="165"/>
      <c r="D227" s="43"/>
      <c r="E227" s="43"/>
      <c r="F227" s="43">
        <v>0</v>
      </c>
      <c r="G227" s="43">
        <v>0</v>
      </c>
      <c r="H227" s="17"/>
      <c r="I227" s="18"/>
      <c r="J227" s="18"/>
      <c r="K227" s="109"/>
      <c r="S227" s="117"/>
      <c r="T227" s="330"/>
      <c r="U227" s="330"/>
      <c r="V227" s="330"/>
      <c r="W227" s="330"/>
      <c r="X227" s="126"/>
      <c r="Y227" s="125"/>
    </row>
    <row r="228" spans="1:25" x14ac:dyDescent="0.3">
      <c r="A228" s="186"/>
      <c r="B228" s="95"/>
      <c r="C228" s="165"/>
      <c r="D228" s="43"/>
      <c r="E228" s="43"/>
      <c r="F228" s="43">
        <v>0</v>
      </c>
      <c r="G228" s="43">
        <v>0</v>
      </c>
      <c r="H228" s="17"/>
      <c r="I228" s="18"/>
      <c r="J228" s="18"/>
      <c r="K228" s="109"/>
      <c r="S228" s="117"/>
      <c r="T228" s="330"/>
      <c r="U228" s="330"/>
      <c r="V228" s="330"/>
      <c r="W228" s="330"/>
      <c r="X228" s="126"/>
      <c r="Y228" s="125"/>
    </row>
    <row r="229" spans="1:25" x14ac:dyDescent="0.3">
      <c r="A229" s="156"/>
      <c r="B229" s="323"/>
      <c r="C229" s="323"/>
      <c r="D229" s="49"/>
      <c r="E229" s="49"/>
      <c r="F229" s="49" t="s">
        <v>170</v>
      </c>
      <c r="G229" s="51" t="s">
        <v>171</v>
      </c>
      <c r="H229" s="5"/>
      <c r="I229" s="5"/>
      <c r="J229" s="5"/>
      <c r="K229" s="108"/>
      <c r="S229" s="117"/>
      <c r="T229" s="288"/>
      <c r="U229" s="288"/>
      <c r="V229" s="288"/>
      <c r="W229" s="288"/>
      <c r="X229" s="288"/>
      <c r="Y229" s="118"/>
    </row>
    <row r="230" spans="1:25" x14ac:dyDescent="0.3">
      <c r="A230" s="156"/>
      <c r="B230" s="323"/>
      <c r="C230" s="323"/>
      <c r="D230" s="323"/>
      <c r="E230" s="323"/>
      <c r="F230" s="323"/>
      <c r="G230" s="5"/>
      <c r="H230" s="5"/>
      <c r="I230" s="5"/>
      <c r="J230" s="5"/>
      <c r="K230" s="108"/>
      <c r="S230" s="117"/>
      <c r="T230" s="288"/>
      <c r="U230" s="288"/>
      <c r="V230" s="288"/>
      <c r="W230" s="288"/>
      <c r="X230" s="288"/>
      <c r="Y230" s="118"/>
    </row>
    <row r="231" spans="1:25" ht="15" thickBot="1" x14ac:dyDescent="0.35">
      <c r="A231" s="156"/>
      <c r="B231" s="323"/>
      <c r="C231" s="323"/>
      <c r="D231" s="323"/>
      <c r="E231" s="323"/>
      <c r="F231" s="323"/>
      <c r="G231" s="5"/>
      <c r="H231" s="5"/>
      <c r="I231" s="5"/>
      <c r="J231" s="5"/>
      <c r="K231" s="108"/>
      <c r="S231" s="117"/>
      <c r="T231" s="288"/>
      <c r="U231" s="288"/>
      <c r="V231" s="288"/>
      <c r="W231" s="288"/>
      <c r="X231" s="288"/>
      <c r="Y231" s="118"/>
    </row>
    <row r="232" spans="1:25" ht="21" x14ac:dyDescent="0.4">
      <c r="A232" s="156"/>
      <c r="B232" s="323"/>
      <c r="C232" s="420" t="s">
        <v>425</v>
      </c>
      <c r="D232" s="444"/>
      <c r="E232" s="444"/>
      <c r="F232" s="444"/>
      <c r="G232" s="444"/>
      <c r="H232" s="444"/>
      <c r="I232" s="445"/>
      <c r="J232" s="5"/>
      <c r="K232" s="93"/>
      <c r="S232" s="117"/>
      <c r="T232" s="288"/>
      <c r="U232" s="288"/>
      <c r="V232" s="288"/>
      <c r="W232" s="288"/>
      <c r="X232" s="288"/>
      <c r="Y232" s="118"/>
    </row>
    <row r="233" spans="1:25" ht="14.4" customHeight="1" x14ac:dyDescent="0.4">
      <c r="A233" s="156"/>
      <c r="B233" s="414"/>
      <c r="C233" s="364"/>
      <c r="D233" s="415"/>
      <c r="E233" s="415"/>
      <c r="F233" s="415"/>
      <c r="G233" s="415"/>
      <c r="H233" s="415"/>
      <c r="I233" s="384"/>
      <c r="J233" s="5"/>
      <c r="K233" s="416"/>
      <c r="S233" s="117"/>
      <c r="T233" s="357"/>
      <c r="U233" s="357"/>
      <c r="V233" s="357"/>
      <c r="W233" s="357"/>
      <c r="X233" s="357"/>
      <c r="Y233" s="118"/>
    </row>
    <row r="234" spans="1:25" x14ac:dyDescent="0.3">
      <c r="A234" s="194"/>
      <c r="B234" s="17"/>
      <c r="C234" s="21"/>
      <c r="D234" s="43" t="s">
        <v>9</v>
      </c>
      <c r="E234" s="85" t="s">
        <v>63</v>
      </c>
      <c r="F234" s="17">
        <v>0</v>
      </c>
      <c r="G234" s="18">
        <v>3</v>
      </c>
      <c r="I234" s="22"/>
      <c r="J234" s="18"/>
      <c r="K234" s="35"/>
      <c r="S234" s="117" t="s">
        <v>9</v>
      </c>
      <c r="T234" s="288" t="s">
        <v>63</v>
      </c>
      <c r="U234" s="288">
        <v>0</v>
      </c>
      <c r="V234" s="288">
        <v>3</v>
      </c>
      <c r="W234" s="288"/>
      <c r="X234" s="126">
        <f t="shared" ref="X234" si="38">(IF(U234&gt;V234,3,IF(U234=V234,1,2)))</f>
        <v>2</v>
      </c>
      <c r="Y234" s="125">
        <f t="shared" ref="Y234" si="39">(IF(V234&gt;U234,3,IF(U234=V234,1,2)))</f>
        <v>3</v>
      </c>
    </row>
    <row r="235" spans="1:25" x14ac:dyDescent="0.3">
      <c r="A235" s="156"/>
      <c r="B235" s="323"/>
      <c r="C235" s="3"/>
      <c r="D235" s="323"/>
      <c r="E235" s="49"/>
      <c r="F235" s="49" t="s">
        <v>170</v>
      </c>
      <c r="G235" s="323" t="s">
        <v>173</v>
      </c>
      <c r="H235" s="5"/>
      <c r="I235" s="6"/>
      <c r="J235" s="5"/>
      <c r="K235" s="93"/>
      <c r="S235" s="117"/>
      <c r="T235" s="288"/>
      <c r="U235" s="330"/>
      <c r="V235" s="330"/>
      <c r="W235" s="330"/>
      <c r="X235" s="126"/>
      <c r="Y235" s="125"/>
    </row>
    <row r="236" spans="1:25" ht="15" thickBot="1" x14ac:dyDescent="0.35">
      <c r="A236" s="156"/>
      <c r="B236" s="323"/>
      <c r="C236" s="7"/>
      <c r="D236" s="328"/>
      <c r="E236" s="328"/>
      <c r="F236" s="328"/>
      <c r="G236" s="328"/>
      <c r="H236" s="8"/>
      <c r="I236" s="9"/>
      <c r="J236" s="5"/>
      <c r="K236" s="93"/>
      <c r="S236" s="117"/>
      <c r="T236" s="288"/>
      <c r="U236" s="330"/>
      <c r="V236" s="330"/>
      <c r="W236" s="330"/>
      <c r="X236" s="126"/>
      <c r="Y236" s="125"/>
    </row>
    <row r="237" spans="1:25" x14ac:dyDescent="0.3">
      <c r="A237" s="156"/>
      <c r="B237" s="323"/>
      <c r="C237" s="323"/>
      <c r="D237" s="323"/>
      <c r="E237" s="323"/>
      <c r="F237" s="323"/>
      <c r="G237" s="323"/>
      <c r="H237" s="5"/>
      <c r="I237" s="5"/>
      <c r="J237" s="5"/>
      <c r="K237" s="93"/>
      <c r="S237" s="117"/>
      <c r="T237" s="288"/>
      <c r="U237" s="288"/>
      <c r="V237" s="288"/>
      <c r="W237" s="288"/>
      <c r="X237" s="126"/>
      <c r="Y237" s="125"/>
    </row>
    <row r="238" spans="1:25" x14ac:dyDescent="0.3">
      <c r="A238" s="156"/>
      <c r="B238" s="323"/>
      <c r="C238" s="323"/>
      <c r="D238" s="323"/>
      <c r="E238" s="323"/>
      <c r="F238" s="323"/>
      <c r="G238" s="323"/>
      <c r="H238" s="5"/>
      <c r="I238" s="5"/>
      <c r="J238" s="5"/>
      <c r="K238" s="93"/>
      <c r="S238" s="117"/>
      <c r="T238" s="323"/>
      <c r="U238" s="323"/>
      <c r="V238" s="323"/>
      <c r="W238" s="323"/>
      <c r="X238" s="126"/>
      <c r="Y238" s="125"/>
    </row>
    <row r="239" spans="1:25" x14ac:dyDescent="0.3">
      <c r="A239" s="156"/>
      <c r="B239" s="323"/>
      <c r="C239" s="323"/>
      <c r="D239" s="323"/>
      <c r="E239" s="323"/>
      <c r="F239" s="323"/>
      <c r="G239" s="323"/>
      <c r="H239" s="5"/>
      <c r="I239" s="5"/>
      <c r="J239" s="5"/>
      <c r="K239" s="93"/>
      <c r="S239" s="117"/>
      <c r="T239" s="323"/>
      <c r="U239" s="323"/>
      <c r="V239" s="323"/>
      <c r="W239" s="323"/>
      <c r="X239" s="126"/>
      <c r="Y239" s="125"/>
    </row>
    <row r="240" spans="1:25" ht="15" thickBot="1" x14ac:dyDescent="0.35">
      <c r="A240" s="156"/>
      <c r="B240" s="323"/>
      <c r="C240" s="323"/>
      <c r="D240" s="323"/>
      <c r="E240" s="323"/>
      <c r="F240" s="323"/>
      <c r="G240" s="323"/>
      <c r="H240" s="5"/>
      <c r="I240" s="5"/>
      <c r="J240" s="5"/>
      <c r="K240" s="93"/>
      <c r="S240" s="117"/>
      <c r="T240" s="323"/>
      <c r="U240" s="323"/>
      <c r="V240" s="323"/>
      <c r="W240" s="323"/>
      <c r="X240" s="126"/>
      <c r="Y240" s="125"/>
    </row>
    <row r="241" spans="1:25" ht="21" x14ac:dyDescent="0.4">
      <c r="A241" s="156"/>
      <c r="B241" s="323"/>
      <c r="C241" s="420" t="s">
        <v>450</v>
      </c>
      <c r="D241" s="444"/>
      <c r="E241" s="444"/>
      <c r="F241" s="444"/>
      <c r="G241" s="444"/>
      <c r="H241" s="444"/>
      <c r="I241" s="445"/>
      <c r="J241" s="5"/>
      <c r="K241" s="93"/>
      <c r="S241" s="117"/>
      <c r="T241" s="323"/>
      <c r="U241" s="323"/>
      <c r="V241" s="323"/>
      <c r="W241" s="323"/>
      <c r="X241" s="126"/>
      <c r="Y241" s="125"/>
    </row>
    <row r="242" spans="1:25" ht="14.4" customHeight="1" x14ac:dyDescent="0.4">
      <c r="A242" s="156"/>
      <c r="B242" s="414"/>
      <c r="C242" s="364"/>
      <c r="D242" s="415"/>
      <c r="E242" s="415"/>
      <c r="F242" s="415"/>
      <c r="G242" s="415"/>
      <c r="H242" s="415"/>
      <c r="I242" s="384"/>
      <c r="J242" s="5"/>
      <c r="K242" s="416"/>
      <c r="S242" s="117"/>
      <c r="T242" s="414"/>
      <c r="U242" s="414"/>
      <c r="V242" s="414"/>
      <c r="W242" s="414"/>
      <c r="X242" s="126"/>
      <c r="Y242" s="125"/>
    </row>
    <row r="243" spans="1:25" x14ac:dyDescent="0.3">
      <c r="A243" s="194"/>
      <c r="B243" s="17"/>
      <c r="C243" s="21"/>
      <c r="D243" s="43" t="s">
        <v>88</v>
      </c>
      <c r="E243" s="64" t="s">
        <v>5</v>
      </c>
      <c r="F243" s="48">
        <v>1</v>
      </c>
      <c r="G243" s="18">
        <v>0</v>
      </c>
      <c r="H243" s="2" t="s">
        <v>30</v>
      </c>
      <c r="I243" s="22"/>
      <c r="J243" s="18"/>
      <c r="K243" s="35"/>
      <c r="S243" s="117" t="s">
        <v>88</v>
      </c>
      <c r="T243" s="323" t="s">
        <v>5</v>
      </c>
      <c r="U243" s="323">
        <v>1</v>
      </c>
      <c r="V243" s="323">
        <v>0</v>
      </c>
      <c r="W243" s="323" t="s">
        <v>30</v>
      </c>
      <c r="X243" s="126">
        <f t="shared" ref="X243" si="40">(IF(U243&gt;V243,3,IF(U243=V243,1,2)))</f>
        <v>3</v>
      </c>
      <c r="Y243" s="125">
        <f t="shared" ref="Y243" si="41">(IF(V243&gt;U243,3,IF(U243=V243,1,2)))</f>
        <v>2</v>
      </c>
    </row>
    <row r="244" spans="1:25" x14ac:dyDescent="0.3">
      <c r="A244" s="194"/>
      <c r="B244" s="17"/>
      <c r="C244" s="21"/>
      <c r="D244" s="17"/>
      <c r="E244" s="43"/>
      <c r="F244" s="64">
        <v>0</v>
      </c>
      <c r="G244" s="48">
        <v>0</v>
      </c>
      <c r="H244" s="18"/>
      <c r="I244" s="22"/>
      <c r="J244" s="18"/>
      <c r="K244" s="35"/>
      <c r="S244" s="117"/>
      <c r="T244" s="323"/>
      <c r="U244" s="323"/>
      <c r="V244" s="323"/>
      <c r="W244" s="323"/>
      <c r="X244" s="323"/>
      <c r="Y244" s="118"/>
    </row>
    <row r="245" spans="1:25" ht="15" thickBot="1" x14ac:dyDescent="0.35">
      <c r="A245" s="156"/>
      <c r="B245" s="323"/>
      <c r="C245" s="3"/>
      <c r="D245" s="323"/>
      <c r="E245" s="49"/>
      <c r="F245" s="33" t="s">
        <v>170</v>
      </c>
      <c r="G245" s="51" t="s">
        <v>171</v>
      </c>
      <c r="H245" s="5"/>
      <c r="I245" s="6"/>
      <c r="J245" s="5"/>
      <c r="K245" s="93"/>
      <c r="S245" s="119"/>
      <c r="T245" s="120"/>
      <c r="U245" s="120"/>
      <c r="V245" s="120"/>
      <c r="W245" s="120"/>
      <c r="X245" s="120"/>
      <c r="Y245" s="121"/>
    </row>
    <row r="246" spans="1:25" ht="15" thickBot="1" x14ac:dyDescent="0.35">
      <c r="A246" s="156"/>
      <c r="B246" s="323"/>
      <c r="C246" s="7"/>
      <c r="D246" s="328"/>
      <c r="E246" s="328"/>
      <c r="F246" s="328"/>
      <c r="G246" s="8"/>
      <c r="H246" s="8"/>
      <c r="I246" s="9"/>
      <c r="J246" s="5"/>
      <c r="K246" s="93"/>
      <c r="S246" s="288"/>
      <c r="T246" s="288"/>
      <c r="U246" s="288"/>
      <c r="V246" s="288"/>
      <c r="W246" s="288"/>
      <c r="X246" s="288"/>
      <c r="Y246" s="288"/>
    </row>
    <row r="247" spans="1:25" x14ac:dyDescent="0.3">
      <c r="A247" s="156"/>
      <c r="B247" s="323"/>
      <c r="C247" s="323"/>
      <c r="D247" s="323"/>
      <c r="E247" s="323"/>
      <c r="F247" s="323"/>
      <c r="G247" s="5"/>
      <c r="H247" s="5"/>
      <c r="I247" s="5"/>
      <c r="J247" s="5"/>
      <c r="K247" s="93"/>
      <c r="S247" s="288"/>
      <c r="T247" s="288"/>
      <c r="U247" s="288"/>
      <c r="V247" s="288"/>
      <c r="W247" s="288"/>
      <c r="X247" s="288"/>
      <c r="Y247" s="288"/>
    </row>
    <row r="248" spans="1:25" x14ac:dyDescent="0.3">
      <c r="A248" s="194"/>
      <c r="B248" s="17"/>
      <c r="C248" s="17"/>
      <c r="D248" s="17"/>
      <c r="E248" s="17"/>
      <c r="F248" s="17"/>
      <c r="G248" s="18"/>
      <c r="H248" s="18"/>
      <c r="I248" s="18"/>
      <c r="J248" s="18"/>
      <c r="K248" s="35"/>
      <c r="S248" s="288"/>
      <c r="T248" s="288"/>
      <c r="U248" s="288"/>
      <c r="V248" s="288"/>
      <c r="W248" s="288"/>
      <c r="X248" s="288"/>
      <c r="Y248" s="288"/>
    </row>
    <row r="249" spans="1:25" x14ac:dyDescent="0.3">
      <c r="A249" s="24"/>
      <c r="B249" s="17"/>
      <c r="C249" s="17"/>
      <c r="D249" s="17"/>
      <c r="E249" s="17"/>
      <c r="F249" s="17"/>
      <c r="G249" s="18"/>
      <c r="H249" s="18"/>
      <c r="I249" s="18"/>
      <c r="J249" s="18"/>
      <c r="K249" s="109"/>
      <c r="S249" s="288"/>
      <c r="T249" s="288"/>
      <c r="U249" s="288"/>
      <c r="V249" s="288"/>
      <c r="W249" s="288"/>
      <c r="X249" s="288"/>
      <c r="Y249" s="288"/>
    </row>
    <row r="250" spans="1:25" x14ac:dyDescent="0.3">
      <c r="A250" s="24"/>
      <c r="B250" s="17"/>
      <c r="C250" s="17"/>
      <c r="D250" s="17"/>
      <c r="E250" s="17"/>
      <c r="F250" s="17"/>
      <c r="G250" s="18"/>
      <c r="H250" s="18"/>
      <c r="I250" s="18"/>
      <c r="J250" s="18"/>
      <c r="K250" s="109"/>
      <c r="S250" s="288"/>
      <c r="T250" s="288"/>
      <c r="U250" s="288"/>
      <c r="V250" s="288"/>
      <c r="W250" s="288"/>
      <c r="X250" s="288"/>
      <c r="Y250" s="288"/>
    </row>
    <row r="251" spans="1:25" ht="15" thickBot="1" x14ac:dyDescent="0.35">
      <c r="A251" s="326"/>
      <c r="B251" s="323" t="s">
        <v>298</v>
      </c>
      <c r="C251" s="323" t="s">
        <v>12</v>
      </c>
      <c r="D251" s="323" t="s">
        <v>13</v>
      </c>
      <c r="E251" s="323" t="s">
        <v>14</v>
      </c>
      <c r="F251" s="323" t="s">
        <v>15</v>
      </c>
      <c r="G251" s="5" t="s">
        <v>24</v>
      </c>
      <c r="H251" s="5" t="s">
        <v>25</v>
      </c>
      <c r="I251" s="5" t="s">
        <v>301</v>
      </c>
      <c r="J251" s="5"/>
      <c r="K251" s="93"/>
      <c r="S251" s="288"/>
      <c r="T251" s="288"/>
      <c r="U251" s="288"/>
      <c r="V251" s="288"/>
      <c r="W251" s="288"/>
      <c r="X251" s="288"/>
      <c r="Y251" s="288"/>
    </row>
    <row r="252" spans="1:25" x14ac:dyDescent="0.3">
      <c r="A252" s="24"/>
      <c r="B252" s="315" t="s">
        <v>88</v>
      </c>
      <c r="C252" s="329">
        <f>COUNTIF($S$12:$T$243,"BRD")</f>
        <v>7</v>
      </c>
      <c r="D252" s="124">
        <f t="shared" ref="D252:D283" si="42">SUMPRODUCT(($S$12:$T$243=B252)*($X$12:$Y$243=3))</f>
        <v>6</v>
      </c>
      <c r="E252" s="124">
        <f t="shared" ref="E252:E283" si="43">SUMPRODUCT(($S$12:$T$243=B252)*($X$12:$Y$243=1))</f>
        <v>1</v>
      </c>
      <c r="F252" s="124">
        <f t="shared" ref="F252:F283" si="44">SUMPRODUCT(($S$12:$T$243=B252)*($X$12:$Y$243=2))</f>
        <v>0</v>
      </c>
      <c r="G252" s="124">
        <f t="shared" ref="G252:G283" si="45">SUMPRODUCT(($S$12:$S$243=B252)*($U$12:$U$243))+SUMPRODUCT(($T$12:$T$243=B252)*($V$12:$V$243))</f>
        <v>18</v>
      </c>
      <c r="H252" s="124">
        <f t="shared" ref="H252:H283" si="46">SUMPRODUCT(($S$12:$S$243=B252)*($V$12:$V$243))+SUMPRODUCT(($T$12:$T$243=B252)*($U$12:$U$243))</f>
        <v>4</v>
      </c>
      <c r="I252" s="16">
        <f t="shared" ref="I252:I283" si="47">(D252*3)+E252</f>
        <v>19</v>
      </c>
      <c r="J252" s="5"/>
      <c r="K252" s="108"/>
      <c r="S252" s="288"/>
      <c r="T252" s="288"/>
      <c r="U252" s="288"/>
      <c r="V252" s="288"/>
      <c r="W252" s="288"/>
      <c r="X252" s="288"/>
      <c r="Y252" s="288"/>
    </row>
    <row r="253" spans="1:25" x14ac:dyDescent="0.3">
      <c r="A253" s="24"/>
      <c r="B253" s="313" t="s">
        <v>63</v>
      </c>
      <c r="C253" s="17">
        <f>COUNTIF($S$12:$T$243,"Niederlande")</f>
        <v>7</v>
      </c>
      <c r="D253" s="43">
        <f t="shared" si="42"/>
        <v>6</v>
      </c>
      <c r="E253" s="43">
        <f t="shared" si="43"/>
        <v>0</v>
      </c>
      <c r="F253" s="43">
        <f t="shared" si="44"/>
        <v>1</v>
      </c>
      <c r="G253" s="43">
        <f t="shared" si="45"/>
        <v>21</v>
      </c>
      <c r="H253" s="43">
        <f t="shared" si="46"/>
        <v>11</v>
      </c>
      <c r="I253" s="22">
        <f t="shared" si="47"/>
        <v>18</v>
      </c>
      <c r="J253" s="18"/>
      <c r="K253" s="35"/>
      <c r="S253" s="288"/>
      <c r="T253" s="288"/>
      <c r="U253" s="288"/>
      <c r="V253" s="288"/>
      <c r="W253" s="288"/>
      <c r="X253" s="288"/>
      <c r="Y253" s="288"/>
    </row>
    <row r="254" spans="1:25" x14ac:dyDescent="0.3">
      <c r="A254" s="24"/>
      <c r="B254" s="313" t="s">
        <v>5</v>
      </c>
      <c r="C254" s="17">
        <f>COUNTIF($S$12:$T$243,"Argentinien")</f>
        <v>7</v>
      </c>
      <c r="D254" s="43">
        <f t="shared" si="42"/>
        <v>6</v>
      </c>
      <c r="E254" s="43">
        <f t="shared" si="43"/>
        <v>0</v>
      </c>
      <c r="F254" s="43">
        <f t="shared" si="44"/>
        <v>1</v>
      </c>
      <c r="G254" s="43">
        <f t="shared" si="45"/>
        <v>12</v>
      </c>
      <c r="H254" s="43">
        <f t="shared" si="46"/>
        <v>6</v>
      </c>
      <c r="I254" s="22">
        <f t="shared" si="47"/>
        <v>18</v>
      </c>
      <c r="J254" s="18"/>
      <c r="K254" s="109"/>
      <c r="S254" s="288"/>
      <c r="T254" s="288"/>
      <c r="U254" s="288"/>
      <c r="V254" s="288"/>
      <c r="W254" s="288"/>
      <c r="X254" s="288"/>
      <c r="Y254" s="288"/>
    </row>
    <row r="255" spans="1:25" x14ac:dyDescent="0.3">
      <c r="A255" s="24"/>
      <c r="B255" s="313" t="s">
        <v>9</v>
      </c>
      <c r="C255" s="17">
        <f>COUNTIF($S$12:$T$243,"Brasilien")</f>
        <v>7</v>
      </c>
      <c r="D255" s="43">
        <f t="shared" si="42"/>
        <v>4</v>
      </c>
      <c r="E255" s="43">
        <f t="shared" si="43"/>
        <v>1</v>
      </c>
      <c r="F255" s="43">
        <f t="shared" si="44"/>
        <v>2</v>
      </c>
      <c r="G255" s="43">
        <f t="shared" si="45"/>
        <v>14</v>
      </c>
      <c r="H255" s="43">
        <f t="shared" si="46"/>
        <v>16</v>
      </c>
      <c r="I255" s="22">
        <f t="shared" si="47"/>
        <v>13</v>
      </c>
      <c r="J255" s="18"/>
      <c r="K255" s="109"/>
      <c r="S255" s="288"/>
      <c r="T255" s="288"/>
      <c r="U255" s="288"/>
      <c r="V255" s="288"/>
      <c r="W255" s="288"/>
      <c r="X255" s="288"/>
      <c r="Y255" s="288"/>
    </row>
    <row r="256" spans="1:25" x14ac:dyDescent="0.3">
      <c r="A256" s="24"/>
      <c r="B256" s="313" t="s">
        <v>117</v>
      </c>
      <c r="C256" s="17">
        <f>COUNTIF($S$12:$T$243,"Kolumbien")</f>
        <v>5</v>
      </c>
      <c r="D256" s="43">
        <f t="shared" si="42"/>
        <v>4</v>
      </c>
      <c r="E256" s="43">
        <f t="shared" si="43"/>
        <v>0</v>
      </c>
      <c r="F256" s="43">
        <f t="shared" si="44"/>
        <v>1</v>
      </c>
      <c r="G256" s="43">
        <f t="shared" si="45"/>
        <v>12</v>
      </c>
      <c r="H256" s="43">
        <f t="shared" si="46"/>
        <v>4</v>
      </c>
      <c r="I256" s="22">
        <f t="shared" si="47"/>
        <v>12</v>
      </c>
      <c r="J256" s="18"/>
      <c r="K256" s="109"/>
      <c r="S256" s="288"/>
      <c r="T256" s="288"/>
      <c r="U256" s="288"/>
      <c r="V256" s="288"/>
      <c r="W256" s="288"/>
      <c r="X256" s="288"/>
      <c r="Y256" s="288"/>
    </row>
    <row r="257" spans="1:25" x14ac:dyDescent="0.3">
      <c r="A257" s="24"/>
      <c r="B257" s="313" t="s">
        <v>21</v>
      </c>
      <c r="C257" s="17">
        <f>COUNTIF($S$12:$T$243,"Belgien")</f>
        <v>5</v>
      </c>
      <c r="D257" s="43">
        <f t="shared" si="42"/>
        <v>4</v>
      </c>
      <c r="E257" s="43">
        <f t="shared" si="43"/>
        <v>0</v>
      </c>
      <c r="F257" s="43">
        <f t="shared" si="44"/>
        <v>1</v>
      </c>
      <c r="G257" s="43">
        <f t="shared" si="45"/>
        <v>6</v>
      </c>
      <c r="H257" s="43">
        <f t="shared" si="46"/>
        <v>3</v>
      </c>
      <c r="I257" s="22">
        <f t="shared" si="47"/>
        <v>12</v>
      </c>
      <c r="J257" s="5"/>
      <c r="K257" s="108"/>
      <c r="S257" s="288"/>
      <c r="T257" s="288"/>
      <c r="U257" s="288"/>
      <c r="V257" s="288"/>
      <c r="W257" s="288"/>
      <c r="X257" s="288"/>
      <c r="Y257" s="288"/>
    </row>
    <row r="258" spans="1:25" x14ac:dyDescent="0.3">
      <c r="A258" s="24"/>
      <c r="B258" s="313" t="s">
        <v>286</v>
      </c>
      <c r="C258" s="17">
        <f>COUNTIF($S$12:$T$243,"Costa Rica")</f>
        <v>5</v>
      </c>
      <c r="D258" s="43">
        <f t="shared" si="42"/>
        <v>3</v>
      </c>
      <c r="E258" s="43">
        <f t="shared" si="43"/>
        <v>1</v>
      </c>
      <c r="F258" s="43">
        <f t="shared" si="44"/>
        <v>1</v>
      </c>
      <c r="G258" s="43">
        <f t="shared" si="45"/>
        <v>13</v>
      </c>
      <c r="H258" s="43">
        <f t="shared" si="46"/>
        <v>9</v>
      </c>
      <c r="I258" s="22">
        <f t="shared" si="47"/>
        <v>10</v>
      </c>
      <c r="J258" s="18"/>
      <c r="K258" s="109"/>
      <c r="S258" s="288"/>
      <c r="T258" s="288"/>
      <c r="U258" s="288"/>
      <c r="V258" s="288"/>
      <c r="W258" s="288"/>
      <c r="X258" s="288"/>
      <c r="Y258" s="288"/>
    </row>
    <row r="259" spans="1:25" x14ac:dyDescent="0.3">
      <c r="A259" s="24"/>
      <c r="B259" s="313" t="s">
        <v>3</v>
      </c>
      <c r="C259" s="17">
        <f>COUNTIF($S$12:$T$243,"Frankreich")</f>
        <v>5</v>
      </c>
      <c r="D259" s="43">
        <f t="shared" si="42"/>
        <v>3</v>
      </c>
      <c r="E259" s="43">
        <f t="shared" si="43"/>
        <v>1</v>
      </c>
      <c r="F259" s="43">
        <f t="shared" si="44"/>
        <v>1</v>
      </c>
      <c r="G259" s="43">
        <f t="shared" si="45"/>
        <v>10</v>
      </c>
      <c r="H259" s="43">
        <f t="shared" si="46"/>
        <v>3</v>
      </c>
      <c r="I259" s="22">
        <f t="shared" si="47"/>
        <v>10</v>
      </c>
      <c r="J259" s="18"/>
      <c r="K259" s="109"/>
      <c r="S259" s="288"/>
      <c r="T259" s="288"/>
      <c r="U259" s="288"/>
      <c r="V259" s="288"/>
      <c r="W259" s="288"/>
      <c r="X259" s="288"/>
      <c r="Y259" s="288"/>
    </row>
    <row r="260" spans="1:25" x14ac:dyDescent="0.3">
      <c r="A260" s="24"/>
      <c r="B260" s="313" t="s">
        <v>4</v>
      </c>
      <c r="C260" s="17">
        <f>COUNTIF($S$12:$T$243,"Mexiko")</f>
        <v>4</v>
      </c>
      <c r="D260" s="43">
        <f t="shared" si="42"/>
        <v>2</v>
      </c>
      <c r="E260" s="43">
        <f t="shared" si="43"/>
        <v>1</v>
      </c>
      <c r="F260" s="43">
        <f t="shared" si="44"/>
        <v>1</v>
      </c>
      <c r="G260" s="43">
        <f t="shared" si="45"/>
        <v>5</v>
      </c>
      <c r="H260" s="43">
        <f t="shared" si="46"/>
        <v>3</v>
      </c>
      <c r="I260" s="22">
        <f t="shared" si="47"/>
        <v>7</v>
      </c>
      <c r="J260" s="18"/>
      <c r="K260" s="109"/>
      <c r="S260" s="288"/>
      <c r="T260" s="288"/>
      <c r="U260" s="288"/>
      <c r="V260" s="288"/>
      <c r="W260" s="288"/>
      <c r="X260" s="288"/>
      <c r="Y260" s="288"/>
    </row>
    <row r="261" spans="1:25" x14ac:dyDescent="0.3">
      <c r="A261" s="24"/>
      <c r="B261" s="313" t="s">
        <v>6</v>
      </c>
      <c r="C261" s="17">
        <f>COUNTIF($S$12:$T$243,"Chile")</f>
        <v>4</v>
      </c>
      <c r="D261" s="43">
        <f t="shared" si="42"/>
        <v>2</v>
      </c>
      <c r="E261" s="43">
        <f t="shared" si="43"/>
        <v>0</v>
      </c>
      <c r="F261" s="43">
        <f t="shared" si="44"/>
        <v>2</v>
      </c>
      <c r="G261" s="43">
        <f t="shared" si="45"/>
        <v>8</v>
      </c>
      <c r="H261" s="43">
        <f t="shared" si="46"/>
        <v>7</v>
      </c>
      <c r="I261" s="22">
        <f t="shared" si="47"/>
        <v>6</v>
      </c>
      <c r="J261" s="18"/>
      <c r="K261" s="109"/>
      <c r="S261" s="288"/>
      <c r="T261" s="288"/>
      <c r="U261" s="288"/>
      <c r="V261" s="288"/>
      <c r="W261" s="288"/>
      <c r="X261" s="288"/>
      <c r="Y261" s="288"/>
    </row>
    <row r="262" spans="1:25" x14ac:dyDescent="0.3">
      <c r="A262" s="24"/>
      <c r="B262" s="313" t="s">
        <v>43</v>
      </c>
      <c r="C262" s="17">
        <f>COUNTIF($S$12:$T$243,"Schweiz")</f>
        <v>4</v>
      </c>
      <c r="D262" s="43">
        <f t="shared" si="42"/>
        <v>2</v>
      </c>
      <c r="E262" s="43">
        <f t="shared" si="43"/>
        <v>0</v>
      </c>
      <c r="F262" s="43">
        <f t="shared" si="44"/>
        <v>2</v>
      </c>
      <c r="G262" s="43">
        <f t="shared" si="45"/>
        <v>7</v>
      </c>
      <c r="H262" s="43">
        <f t="shared" si="46"/>
        <v>7</v>
      </c>
      <c r="I262" s="22">
        <f t="shared" si="47"/>
        <v>6</v>
      </c>
      <c r="J262" s="18"/>
      <c r="K262" s="109"/>
      <c r="S262" s="288"/>
      <c r="T262" s="288"/>
      <c r="U262" s="288"/>
      <c r="V262" s="288"/>
      <c r="W262" s="288"/>
      <c r="X262" s="288"/>
      <c r="Y262" s="288"/>
    </row>
    <row r="263" spans="1:25" x14ac:dyDescent="0.3">
      <c r="A263" s="24"/>
      <c r="B263" s="313" t="s">
        <v>18</v>
      </c>
      <c r="C263" s="17">
        <f>COUNTIF($S$12:$T$243,"Uruguay")</f>
        <v>4</v>
      </c>
      <c r="D263" s="43">
        <f t="shared" si="42"/>
        <v>2</v>
      </c>
      <c r="E263" s="43">
        <f t="shared" si="43"/>
        <v>0</v>
      </c>
      <c r="F263" s="43">
        <f t="shared" si="44"/>
        <v>2</v>
      </c>
      <c r="G263" s="43">
        <f t="shared" si="45"/>
        <v>4</v>
      </c>
      <c r="H263" s="43">
        <f t="shared" si="46"/>
        <v>6</v>
      </c>
      <c r="I263" s="22">
        <f t="shared" si="47"/>
        <v>6</v>
      </c>
      <c r="J263" s="18"/>
      <c r="K263" s="109"/>
      <c r="S263" s="288"/>
      <c r="T263" s="288"/>
      <c r="U263" s="288"/>
      <c r="V263" s="288"/>
      <c r="W263" s="288"/>
      <c r="X263" s="288"/>
      <c r="Y263" s="288"/>
    </row>
    <row r="264" spans="1:25" x14ac:dyDescent="0.3">
      <c r="A264" s="24"/>
      <c r="B264" s="313" t="s">
        <v>192</v>
      </c>
      <c r="C264" s="17">
        <f>COUNTIF($S$12:$T$243,"Algerien")</f>
        <v>4</v>
      </c>
      <c r="D264" s="43">
        <f t="shared" si="42"/>
        <v>1</v>
      </c>
      <c r="E264" s="43">
        <f t="shared" si="43"/>
        <v>1</v>
      </c>
      <c r="F264" s="43">
        <f t="shared" si="44"/>
        <v>2</v>
      </c>
      <c r="G264" s="43">
        <f t="shared" si="45"/>
        <v>7</v>
      </c>
      <c r="H264" s="43">
        <f t="shared" si="46"/>
        <v>7</v>
      </c>
      <c r="I264" s="22">
        <f t="shared" si="47"/>
        <v>4</v>
      </c>
      <c r="J264" s="5"/>
      <c r="K264" s="108"/>
      <c r="S264" s="288"/>
      <c r="T264" s="288"/>
      <c r="U264" s="288"/>
      <c r="V264" s="288"/>
      <c r="W264" s="288"/>
      <c r="X264" s="288"/>
      <c r="Y264" s="288"/>
    </row>
    <row r="265" spans="1:25" x14ac:dyDescent="0.3">
      <c r="A265" s="24"/>
      <c r="B265" s="313" t="s">
        <v>306</v>
      </c>
      <c r="C265" s="17">
        <f>COUNTIF($S$12:$T$243,"Griechenland")</f>
        <v>4</v>
      </c>
      <c r="D265" s="43">
        <f t="shared" si="42"/>
        <v>1</v>
      </c>
      <c r="E265" s="43">
        <f t="shared" si="43"/>
        <v>1</v>
      </c>
      <c r="F265" s="43">
        <f t="shared" si="44"/>
        <v>2</v>
      </c>
      <c r="G265" s="43">
        <f t="shared" si="45"/>
        <v>6</v>
      </c>
      <c r="H265" s="43">
        <f t="shared" si="46"/>
        <v>10</v>
      </c>
      <c r="I265" s="22">
        <f t="shared" si="47"/>
        <v>4</v>
      </c>
      <c r="J265" s="18"/>
      <c r="K265" s="109"/>
      <c r="S265" s="288"/>
      <c r="T265" s="288"/>
      <c r="U265" s="288"/>
      <c r="V265" s="288"/>
      <c r="W265" s="288"/>
      <c r="X265" s="288"/>
      <c r="Y265" s="288"/>
    </row>
    <row r="266" spans="1:25" x14ac:dyDescent="0.3">
      <c r="A266" s="24"/>
      <c r="B266" s="313" t="s">
        <v>20</v>
      </c>
      <c r="C266" s="17">
        <f>COUNTIF($S$12:$T$243,"USA")</f>
        <v>4</v>
      </c>
      <c r="D266" s="43">
        <f t="shared" si="42"/>
        <v>1</v>
      </c>
      <c r="E266" s="43">
        <f t="shared" si="43"/>
        <v>1</v>
      </c>
      <c r="F266" s="43">
        <f t="shared" si="44"/>
        <v>2</v>
      </c>
      <c r="G266" s="43">
        <f t="shared" si="45"/>
        <v>5</v>
      </c>
      <c r="H266" s="43">
        <f t="shared" si="46"/>
        <v>6</v>
      </c>
      <c r="I266" s="22">
        <f t="shared" si="47"/>
        <v>4</v>
      </c>
      <c r="J266" s="5"/>
      <c r="K266" s="108"/>
      <c r="S266" s="288"/>
      <c r="T266" s="288"/>
      <c r="U266" s="288"/>
      <c r="V266" s="288"/>
      <c r="W266" s="288"/>
      <c r="X266" s="288"/>
      <c r="Y266" s="288"/>
    </row>
    <row r="267" spans="1:25" x14ac:dyDescent="0.3">
      <c r="A267" s="24"/>
      <c r="B267" s="313" t="s">
        <v>133</v>
      </c>
      <c r="C267" s="17">
        <f>COUNTIF($S$12:$T$243,"Portugal")</f>
        <v>3</v>
      </c>
      <c r="D267" s="43">
        <f t="shared" si="42"/>
        <v>1</v>
      </c>
      <c r="E267" s="43">
        <f t="shared" si="43"/>
        <v>1</v>
      </c>
      <c r="F267" s="43">
        <f t="shared" si="44"/>
        <v>1</v>
      </c>
      <c r="G267" s="43">
        <f t="shared" si="45"/>
        <v>4</v>
      </c>
      <c r="H267" s="43">
        <f t="shared" si="46"/>
        <v>7</v>
      </c>
      <c r="I267" s="22">
        <f t="shared" si="47"/>
        <v>4</v>
      </c>
      <c r="J267" s="5"/>
      <c r="K267" s="108"/>
      <c r="S267" s="288"/>
      <c r="T267" s="288"/>
      <c r="U267" s="288"/>
      <c r="V267" s="288"/>
      <c r="W267" s="288"/>
      <c r="X267" s="288"/>
      <c r="Y267" s="288"/>
    </row>
    <row r="268" spans="1:25" x14ac:dyDescent="0.3">
      <c r="A268" s="24"/>
      <c r="B268" s="313" t="s">
        <v>377</v>
      </c>
      <c r="C268" s="17">
        <f>COUNTIF($S$12:$T$243,"Ecuador")</f>
        <v>3</v>
      </c>
      <c r="D268" s="43">
        <f t="shared" si="42"/>
        <v>1</v>
      </c>
      <c r="E268" s="43">
        <f t="shared" si="43"/>
        <v>1</v>
      </c>
      <c r="F268" s="43">
        <f t="shared" si="44"/>
        <v>1</v>
      </c>
      <c r="G268" s="43">
        <f t="shared" si="45"/>
        <v>3</v>
      </c>
      <c r="H268" s="43">
        <f t="shared" si="46"/>
        <v>3</v>
      </c>
      <c r="I268" s="22">
        <f t="shared" si="47"/>
        <v>4</v>
      </c>
      <c r="J268" s="18"/>
      <c r="K268" s="109"/>
      <c r="S268" s="288"/>
      <c r="T268" s="288"/>
      <c r="U268" s="288"/>
      <c r="V268" s="288"/>
      <c r="W268" s="288"/>
      <c r="X268" s="288"/>
      <c r="Y268" s="288"/>
    </row>
    <row r="269" spans="1:25" x14ac:dyDescent="0.3">
      <c r="A269" s="24"/>
      <c r="B269" s="313" t="s">
        <v>307</v>
      </c>
      <c r="C269" s="17">
        <f>COUNTIF($S$12:$T$243,"Nigeria")</f>
        <v>4</v>
      </c>
      <c r="D269" s="43">
        <f t="shared" si="42"/>
        <v>1</v>
      </c>
      <c r="E269" s="43">
        <f t="shared" si="43"/>
        <v>1</v>
      </c>
      <c r="F269" s="43">
        <f t="shared" si="44"/>
        <v>2</v>
      </c>
      <c r="G269" s="43">
        <f t="shared" si="45"/>
        <v>3</v>
      </c>
      <c r="H269" s="43">
        <f t="shared" si="46"/>
        <v>5</v>
      </c>
      <c r="I269" s="22">
        <f t="shared" si="47"/>
        <v>4</v>
      </c>
      <c r="J269" s="18"/>
      <c r="K269" s="109"/>
      <c r="S269" s="288"/>
      <c r="T269" s="288"/>
      <c r="U269" s="288"/>
      <c r="V269" s="288"/>
      <c r="W269" s="288"/>
      <c r="X269" s="288"/>
      <c r="Y269" s="288"/>
    </row>
    <row r="270" spans="1:25" x14ac:dyDescent="0.3">
      <c r="A270" s="24"/>
      <c r="B270" s="313" t="s">
        <v>353</v>
      </c>
      <c r="C270" s="17">
        <f>COUNTIF($S$12:$T$243,"Kroatien")</f>
        <v>3</v>
      </c>
      <c r="D270" s="43">
        <f t="shared" si="42"/>
        <v>1</v>
      </c>
      <c r="E270" s="43">
        <f t="shared" si="43"/>
        <v>0</v>
      </c>
      <c r="F270" s="43">
        <f t="shared" si="44"/>
        <v>2</v>
      </c>
      <c r="G270" s="43">
        <f t="shared" si="45"/>
        <v>6</v>
      </c>
      <c r="H270" s="43">
        <f t="shared" si="46"/>
        <v>6</v>
      </c>
      <c r="I270" s="22">
        <f t="shared" si="47"/>
        <v>3</v>
      </c>
      <c r="J270" s="18"/>
      <c r="K270" s="109"/>
      <c r="S270" s="288"/>
      <c r="T270" s="288"/>
      <c r="U270" s="288"/>
      <c r="V270" s="288"/>
      <c r="W270" s="288"/>
      <c r="X270" s="288"/>
      <c r="Y270" s="288"/>
    </row>
    <row r="271" spans="1:25" x14ac:dyDescent="0.3">
      <c r="A271" s="24"/>
      <c r="B271" s="313" t="s">
        <v>421</v>
      </c>
      <c r="C271" s="17">
        <f>COUNTIF($S$12:$T$243,"Bos u. Herz")</f>
        <v>3</v>
      </c>
      <c r="D271" s="43">
        <f t="shared" si="42"/>
        <v>1</v>
      </c>
      <c r="E271" s="43">
        <f t="shared" si="43"/>
        <v>0</v>
      </c>
      <c r="F271" s="43">
        <f t="shared" si="44"/>
        <v>2</v>
      </c>
      <c r="G271" s="43">
        <f t="shared" si="45"/>
        <v>4</v>
      </c>
      <c r="H271" s="43">
        <f t="shared" si="46"/>
        <v>4</v>
      </c>
      <c r="I271" s="22">
        <f t="shared" si="47"/>
        <v>3</v>
      </c>
      <c r="J271" s="18"/>
      <c r="K271" s="109"/>
      <c r="S271" s="288"/>
      <c r="T271" s="288"/>
      <c r="U271" s="288"/>
      <c r="V271" s="288"/>
      <c r="W271" s="288"/>
      <c r="X271" s="288"/>
      <c r="Y271" s="288"/>
    </row>
    <row r="272" spans="1:25" x14ac:dyDescent="0.3">
      <c r="A272" s="24"/>
      <c r="B272" s="313" t="s">
        <v>385</v>
      </c>
      <c r="C272" s="17">
        <f>COUNTIF($S$12:$T$243,"Elfenbeinküste")</f>
        <v>3</v>
      </c>
      <c r="D272" s="43">
        <f t="shared" si="42"/>
        <v>1</v>
      </c>
      <c r="E272" s="43">
        <f t="shared" si="43"/>
        <v>0</v>
      </c>
      <c r="F272" s="43">
        <f t="shared" si="44"/>
        <v>2</v>
      </c>
      <c r="G272" s="43">
        <f t="shared" si="45"/>
        <v>4</v>
      </c>
      <c r="H272" s="43">
        <f t="shared" si="46"/>
        <v>5</v>
      </c>
      <c r="I272" s="22">
        <f t="shared" si="47"/>
        <v>3</v>
      </c>
      <c r="J272" s="18"/>
      <c r="K272" s="109"/>
      <c r="S272" s="288"/>
      <c r="T272" s="288"/>
      <c r="U272" s="288"/>
      <c r="V272" s="288"/>
      <c r="W272" s="288"/>
      <c r="X272" s="288"/>
      <c r="Y272" s="288"/>
    </row>
    <row r="273" spans="1:25" x14ac:dyDescent="0.3">
      <c r="A273" s="24"/>
      <c r="B273" s="313" t="s">
        <v>35</v>
      </c>
      <c r="C273" s="17">
        <f>COUNTIF($S$12:$T$243,"Spanien")</f>
        <v>3</v>
      </c>
      <c r="D273" s="43">
        <f t="shared" si="42"/>
        <v>1</v>
      </c>
      <c r="E273" s="43">
        <f t="shared" si="43"/>
        <v>0</v>
      </c>
      <c r="F273" s="43">
        <f t="shared" si="44"/>
        <v>2</v>
      </c>
      <c r="G273" s="43">
        <f t="shared" si="45"/>
        <v>4</v>
      </c>
      <c r="H273" s="43">
        <f t="shared" si="46"/>
        <v>7</v>
      </c>
      <c r="I273" s="22">
        <f t="shared" si="47"/>
        <v>3</v>
      </c>
      <c r="J273" s="18"/>
      <c r="K273" s="109"/>
      <c r="S273" s="288"/>
      <c r="T273" s="288"/>
      <c r="U273" s="288"/>
      <c r="V273" s="288"/>
      <c r="W273" s="288"/>
      <c r="X273" s="288"/>
      <c r="Y273" s="288"/>
    </row>
    <row r="274" spans="1:25" x14ac:dyDescent="0.3">
      <c r="A274" s="24"/>
      <c r="B274" s="313" t="s">
        <v>37</v>
      </c>
      <c r="C274" s="17">
        <f>COUNTIF($S$12:$T$243,"Italien")</f>
        <v>3</v>
      </c>
      <c r="D274" s="43">
        <f t="shared" si="42"/>
        <v>1</v>
      </c>
      <c r="E274" s="43">
        <f t="shared" si="43"/>
        <v>0</v>
      </c>
      <c r="F274" s="43">
        <f t="shared" si="44"/>
        <v>2</v>
      </c>
      <c r="G274" s="43">
        <f t="shared" si="45"/>
        <v>2</v>
      </c>
      <c r="H274" s="43">
        <f t="shared" si="46"/>
        <v>3</v>
      </c>
      <c r="I274" s="22">
        <f t="shared" si="47"/>
        <v>3</v>
      </c>
      <c r="J274" s="18"/>
      <c r="K274" s="109"/>
      <c r="S274" s="288"/>
      <c r="T274" s="288"/>
      <c r="U274" s="288"/>
      <c r="V274" s="288"/>
      <c r="W274" s="288"/>
      <c r="X274" s="288"/>
      <c r="Y274" s="288"/>
    </row>
    <row r="275" spans="1:25" x14ac:dyDescent="0.3">
      <c r="A275" s="24"/>
      <c r="B275" s="313" t="s">
        <v>302</v>
      </c>
      <c r="C275" s="17">
        <f>COUNTIF($S$12:$T$243,"Russland")</f>
        <v>3</v>
      </c>
      <c r="D275" s="43">
        <f t="shared" si="42"/>
        <v>0</v>
      </c>
      <c r="E275" s="43">
        <f t="shared" si="43"/>
        <v>2</v>
      </c>
      <c r="F275" s="43">
        <f t="shared" si="44"/>
        <v>1</v>
      </c>
      <c r="G275" s="43">
        <f t="shared" si="45"/>
        <v>2</v>
      </c>
      <c r="H275" s="43">
        <f t="shared" si="46"/>
        <v>3</v>
      </c>
      <c r="I275" s="22">
        <f t="shared" si="47"/>
        <v>2</v>
      </c>
      <c r="J275" s="5"/>
      <c r="K275" s="108"/>
      <c r="S275" s="288"/>
      <c r="T275" s="288"/>
      <c r="U275" s="288"/>
      <c r="V275" s="288"/>
      <c r="W275" s="288"/>
      <c r="X275" s="288"/>
      <c r="Y275" s="288"/>
    </row>
    <row r="276" spans="1:25" x14ac:dyDescent="0.3">
      <c r="A276" s="24"/>
      <c r="B276" s="313" t="s">
        <v>390</v>
      </c>
      <c r="C276" s="17">
        <f>COUNTIF($S$12:$T$243,"Ghana")</f>
        <v>3</v>
      </c>
      <c r="D276" s="43">
        <f t="shared" si="42"/>
        <v>0</v>
      </c>
      <c r="E276" s="43">
        <f t="shared" si="43"/>
        <v>1</v>
      </c>
      <c r="F276" s="43">
        <f t="shared" si="44"/>
        <v>2</v>
      </c>
      <c r="G276" s="43">
        <f t="shared" si="45"/>
        <v>4</v>
      </c>
      <c r="H276" s="43">
        <f t="shared" si="46"/>
        <v>6</v>
      </c>
      <c r="I276" s="22">
        <f t="shared" si="47"/>
        <v>1</v>
      </c>
      <c r="J276" s="5"/>
      <c r="K276" s="108"/>
      <c r="S276" s="288"/>
      <c r="T276" s="288"/>
      <c r="U276" s="288"/>
      <c r="V276" s="288"/>
      <c r="W276" s="288"/>
      <c r="X276" s="288"/>
      <c r="Y276" s="288"/>
    </row>
    <row r="277" spans="1:25" x14ac:dyDescent="0.3">
      <c r="A277" s="24"/>
      <c r="B277" s="313" t="s">
        <v>90</v>
      </c>
      <c r="C277" s="17">
        <f>COUNTIF($S$12:$T$243,"Südkorea")</f>
        <v>3</v>
      </c>
      <c r="D277" s="43">
        <f t="shared" si="42"/>
        <v>0</v>
      </c>
      <c r="E277" s="43">
        <f t="shared" si="43"/>
        <v>1</v>
      </c>
      <c r="F277" s="43">
        <f t="shared" si="44"/>
        <v>2</v>
      </c>
      <c r="G277" s="43">
        <f t="shared" si="45"/>
        <v>3</v>
      </c>
      <c r="H277" s="43">
        <f t="shared" si="46"/>
        <v>6</v>
      </c>
      <c r="I277" s="22">
        <f t="shared" si="47"/>
        <v>1</v>
      </c>
      <c r="J277" s="5"/>
      <c r="K277" s="108"/>
      <c r="S277" s="288"/>
      <c r="T277" s="288"/>
      <c r="U277" s="288"/>
      <c r="V277" s="288"/>
      <c r="W277" s="288"/>
      <c r="X277" s="288"/>
      <c r="Y277" s="288"/>
    </row>
    <row r="278" spans="1:25" x14ac:dyDescent="0.3">
      <c r="A278" s="24"/>
      <c r="B278" s="313" t="s">
        <v>74</v>
      </c>
      <c r="C278" s="17">
        <f>COUNTIF($S$12:$T$243,"England")</f>
        <v>3</v>
      </c>
      <c r="D278" s="43">
        <f t="shared" si="42"/>
        <v>0</v>
      </c>
      <c r="E278" s="43">
        <f t="shared" si="43"/>
        <v>1</v>
      </c>
      <c r="F278" s="43">
        <f t="shared" si="44"/>
        <v>2</v>
      </c>
      <c r="G278" s="43">
        <f t="shared" si="45"/>
        <v>2</v>
      </c>
      <c r="H278" s="43">
        <f t="shared" si="46"/>
        <v>4</v>
      </c>
      <c r="I278" s="22">
        <f t="shared" si="47"/>
        <v>1</v>
      </c>
      <c r="J278" s="18"/>
      <c r="K278" s="109"/>
      <c r="S278" s="288"/>
      <c r="T278" s="288"/>
      <c r="U278" s="288"/>
      <c r="V278" s="288"/>
      <c r="W278" s="288"/>
      <c r="X278" s="288"/>
      <c r="Y278" s="288"/>
    </row>
    <row r="279" spans="1:25" x14ac:dyDescent="0.3">
      <c r="A279" s="24"/>
      <c r="B279" s="313" t="s">
        <v>351</v>
      </c>
      <c r="C279" s="17">
        <f>COUNTIF($S$12:$T$243,"Japan")</f>
        <v>3</v>
      </c>
      <c r="D279" s="43">
        <f t="shared" si="42"/>
        <v>0</v>
      </c>
      <c r="E279" s="43">
        <f t="shared" si="43"/>
        <v>1</v>
      </c>
      <c r="F279" s="43">
        <f t="shared" si="44"/>
        <v>2</v>
      </c>
      <c r="G279" s="43">
        <f t="shared" si="45"/>
        <v>2</v>
      </c>
      <c r="H279" s="43">
        <f t="shared" si="46"/>
        <v>6</v>
      </c>
      <c r="I279" s="22">
        <f t="shared" si="47"/>
        <v>1</v>
      </c>
      <c r="J279" s="18"/>
      <c r="K279" s="109"/>
      <c r="S279" s="288"/>
      <c r="T279" s="288"/>
      <c r="U279" s="288"/>
      <c r="V279" s="288"/>
      <c r="W279" s="288"/>
      <c r="X279" s="288"/>
      <c r="Y279" s="288"/>
    </row>
    <row r="280" spans="1:25" x14ac:dyDescent="0.3">
      <c r="A280" s="24"/>
      <c r="B280" s="313" t="s">
        <v>177</v>
      </c>
      <c r="C280" s="17">
        <f>COUNTIF($S$12:$T$243,"Iran")</f>
        <v>3</v>
      </c>
      <c r="D280" s="43">
        <f t="shared" si="42"/>
        <v>0</v>
      </c>
      <c r="E280" s="43">
        <f t="shared" si="43"/>
        <v>1</v>
      </c>
      <c r="F280" s="43">
        <f t="shared" si="44"/>
        <v>2</v>
      </c>
      <c r="G280" s="43">
        <f t="shared" si="45"/>
        <v>1</v>
      </c>
      <c r="H280" s="43">
        <f t="shared" si="46"/>
        <v>4</v>
      </c>
      <c r="I280" s="22">
        <f t="shared" si="47"/>
        <v>1</v>
      </c>
      <c r="J280" s="18"/>
      <c r="K280" s="109"/>
      <c r="S280" s="288"/>
      <c r="T280" s="288"/>
      <c r="U280" s="288"/>
      <c r="V280" s="288"/>
      <c r="W280" s="288"/>
      <c r="X280" s="288"/>
      <c r="Y280" s="288"/>
    </row>
    <row r="281" spans="1:25" x14ac:dyDescent="0.3">
      <c r="A281" s="24"/>
      <c r="B281" s="313" t="s">
        <v>152</v>
      </c>
      <c r="C281" s="17">
        <f>COUNTIF($S$12:$T$243,"Australien")</f>
        <v>3</v>
      </c>
      <c r="D281" s="43">
        <f t="shared" si="42"/>
        <v>0</v>
      </c>
      <c r="E281" s="43">
        <f t="shared" si="43"/>
        <v>0</v>
      </c>
      <c r="F281" s="43">
        <f t="shared" si="44"/>
        <v>3</v>
      </c>
      <c r="G281" s="43">
        <f t="shared" si="45"/>
        <v>3</v>
      </c>
      <c r="H281" s="43">
        <f t="shared" si="46"/>
        <v>9</v>
      </c>
      <c r="I281" s="22">
        <f t="shared" si="47"/>
        <v>0</v>
      </c>
      <c r="J281" s="18"/>
      <c r="K281" s="109"/>
      <c r="S281" s="288"/>
      <c r="T281" s="288"/>
      <c r="U281" s="288"/>
      <c r="V281" s="288"/>
      <c r="W281" s="288"/>
      <c r="X281" s="288"/>
      <c r="Y281" s="288"/>
    </row>
    <row r="282" spans="1:25" x14ac:dyDescent="0.3">
      <c r="A282" s="24"/>
      <c r="B282" s="313" t="s">
        <v>200</v>
      </c>
      <c r="C282" s="17">
        <f>COUNTIF($S$12:$T$243,"Honduras")</f>
        <v>3</v>
      </c>
      <c r="D282" s="43">
        <f t="shared" si="42"/>
        <v>0</v>
      </c>
      <c r="E282" s="43">
        <f t="shared" si="43"/>
        <v>0</v>
      </c>
      <c r="F282" s="43">
        <f t="shared" si="44"/>
        <v>3</v>
      </c>
      <c r="G282" s="43">
        <f t="shared" si="45"/>
        <v>1</v>
      </c>
      <c r="H282" s="43">
        <f t="shared" si="46"/>
        <v>8</v>
      </c>
      <c r="I282" s="22">
        <f t="shared" si="47"/>
        <v>0</v>
      </c>
      <c r="J282" s="18"/>
      <c r="K282" s="109"/>
      <c r="S282" s="288"/>
      <c r="T282" s="288"/>
      <c r="U282" s="288"/>
      <c r="V282" s="288"/>
      <c r="W282" s="288"/>
      <c r="X282" s="288"/>
      <c r="Y282" s="288"/>
    </row>
    <row r="283" spans="1:25" ht="15" thickBot="1" x14ac:dyDescent="0.35">
      <c r="A283" s="24"/>
      <c r="B283" s="316" t="s">
        <v>190</v>
      </c>
      <c r="C283" s="30">
        <f>COUNTIF($S$12:$T$243,"Kamerun")</f>
        <v>3</v>
      </c>
      <c r="D283" s="80">
        <f t="shared" si="42"/>
        <v>0</v>
      </c>
      <c r="E283" s="80">
        <f t="shared" si="43"/>
        <v>0</v>
      </c>
      <c r="F283" s="80">
        <f t="shared" si="44"/>
        <v>3</v>
      </c>
      <c r="G283" s="80">
        <f t="shared" si="45"/>
        <v>1</v>
      </c>
      <c r="H283" s="80">
        <f t="shared" si="46"/>
        <v>9</v>
      </c>
      <c r="I283" s="32">
        <f t="shared" si="47"/>
        <v>0</v>
      </c>
      <c r="J283" s="18"/>
      <c r="K283" s="109"/>
      <c r="S283" s="288"/>
      <c r="T283" s="288"/>
      <c r="U283" s="288"/>
      <c r="V283" s="288"/>
      <c r="W283" s="288"/>
      <c r="X283" s="288"/>
      <c r="Y283" s="288"/>
    </row>
    <row r="284" spans="1:25" x14ac:dyDescent="0.3">
      <c r="A284" s="326"/>
      <c r="B284" s="323"/>
      <c r="C284" s="323"/>
      <c r="D284" s="323"/>
      <c r="E284" s="323"/>
      <c r="F284" s="323"/>
      <c r="G284" s="5"/>
      <c r="H284" s="5"/>
      <c r="I284" s="5"/>
      <c r="J284" s="5"/>
      <c r="K284" s="108"/>
      <c r="S284" s="288"/>
      <c r="T284" s="288"/>
      <c r="U284" s="288"/>
      <c r="V284" s="288"/>
      <c r="W284" s="288"/>
      <c r="X284" s="288"/>
      <c r="Y284" s="288"/>
    </row>
    <row r="285" spans="1:25" ht="15" thickBot="1" x14ac:dyDescent="0.35">
      <c r="A285" s="110"/>
      <c r="B285" s="36"/>
      <c r="C285" s="36"/>
      <c r="D285" s="36"/>
      <c r="E285" s="36"/>
      <c r="F285" s="36"/>
      <c r="G285" s="37"/>
      <c r="H285" s="37"/>
      <c r="I285" s="37"/>
      <c r="J285" s="37"/>
      <c r="K285" s="193"/>
    </row>
    <row r="286" spans="1:25" ht="15" thickTop="1" x14ac:dyDescent="0.3"/>
  </sheetData>
  <sortState ref="A250:AA281">
    <sortCondition descending="1" ref="I250:I281"/>
    <sortCondition descending="1" ref="G250:G281"/>
    <sortCondition ref="H250:H281"/>
  </sortState>
  <mergeCells count="5">
    <mergeCell ref="C232:I232"/>
    <mergeCell ref="C241:I241"/>
    <mergeCell ref="A2:J2"/>
    <mergeCell ref="A4:J4"/>
    <mergeCell ref="A5:J5"/>
  </mergeCells>
  <pageMargins left="0.7" right="0.7" top="0.78740157499999996" bottom="0.78740157499999996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A287"/>
  <sheetViews>
    <sheetView topLeftCell="A250" workbookViewId="0">
      <selection activeCell="N263" sqref="N263"/>
    </sheetView>
  </sheetViews>
  <sheetFormatPr baseColWidth="10" defaultRowHeight="14.4" x14ac:dyDescent="0.3"/>
  <cols>
    <col min="1" max="6" width="11.77734375" style="1" customWidth="1"/>
    <col min="7" max="10" width="11.77734375" style="2" customWidth="1"/>
    <col min="11" max="27" width="11.77734375" customWidth="1"/>
  </cols>
  <sheetData>
    <row r="1" spans="1:27" ht="15" thickTop="1" x14ac:dyDescent="0.3">
      <c r="A1" s="106"/>
      <c r="B1" s="25"/>
      <c r="C1" s="25"/>
      <c r="D1" s="25"/>
      <c r="E1" s="25"/>
      <c r="F1" s="25"/>
      <c r="G1" s="26"/>
      <c r="H1" s="26"/>
      <c r="I1" s="26"/>
      <c r="J1" s="26"/>
      <c r="K1" s="107"/>
      <c r="S1" s="289"/>
      <c r="T1" s="39"/>
      <c r="U1" s="39"/>
      <c r="V1" s="39"/>
      <c r="W1" s="39"/>
      <c r="X1" s="39"/>
      <c r="Y1" s="290"/>
    </row>
    <row r="2" spans="1:27" ht="46.2" x14ac:dyDescent="0.85">
      <c r="A2" s="425" t="s">
        <v>240</v>
      </c>
      <c r="B2" s="426"/>
      <c r="C2" s="426"/>
      <c r="D2" s="426"/>
      <c r="E2" s="426"/>
      <c r="F2" s="426"/>
      <c r="G2" s="426"/>
      <c r="H2" s="426"/>
      <c r="I2" s="426"/>
      <c r="J2" s="426"/>
      <c r="K2" s="108"/>
      <c r="S2" s="289"/>
      <c r="T2" s="39"/>
      <c r="U2" s="39"/>
      <c r="V2" s="39"/>
      <c r="W2" s="39"/>
      <c r="X2" s="39"/>
      <c r="Y2" s="290"/>
    </row>
    <row r="3" spans="1:27" x14ac:dyDescent="0.3">
      <c r="A3" s="335"/>
      <c r="B3" s="334"/>
      <c r="C3" s="334"/>
      <c r="D3" s="334"/>
      <c r="E3" s="334"/>
      <c r="F3" s="334"/>
      <c r="G3" s="5"/>
      <c r="H3" s="5"/>
      <c r="I3" s="5"/>
      <c r="J3" s="5"/>
      <c r="K3" s="108"/>
      <c r="S3" s="289"/>
      <c r="T3" s="39"/>
      <c r="U3" s="39"/>
      <c r="V3" s="39"/>
      <c r="W3" s="39"/>
      <c r="X3" s="39"/>
      <c r="Y3" s="290"/>
    </row>
    <row r="4" spans="1:27" ht="28.8" x14ac:dyDescent="0.55000000000000004">
      <c r="A4" s="428" t="s">
        <v>242</v>
      </c>
      <c r="B4" s="429"/>
      <c r="C4" s="429"/>
      <c r="D4" s="429"/>
      <c r="E4" s="429"/>
      <c r="F4" s="429"/>
      <c r="G4" s="429"/>
      <c r="H4" s="429"/>
      <c r="I4" s="429"/>
      <c r="J4" s="429"/>
      <c r="K4" s="108"/>
      <c r="S4" s="289"/>
      <c r="T4" s="39"/>
      <c r="U4" s="39"/>
      <c r="V4" s="39"/>
      <c r="W4" s="39"/>
      <c r="X4" s="39"/>
      <c r="Y4" s="290"/>
    </row>
    <row r="5" spans="1:27" ht="21" x14ac:dyDescent="0.4">
      <c r="A5" s="430" t="s">
        <v>241</v>
      </c>
      <c r="B5" s="431"/>
      <c r="C5" s="431"/>
      <c r="D5" s="431"/>
      <c r="E5" s="431"/>
      <c r="F5" s="431"/>
      <c r="G5" s="431"/>
      <c r="H5" s="431"/>
      <c r="I5" s="431"/>
      <c r="J5" s="431"/>
      <c r="K5" s="108"/>
      <c r="S5" s="289"/>
      <c r="T5" s="39"/>
      <c r="U5" s="39"/>
      <c r="V5" s="39"/>
      <c r="W5" s="39"/>
      <c r="X5" s="39"/>
      <c r="Y5" s="290"/>
    </row>
    <row r="6" spans="1:27" x14ac:dyDescent="0.3">
      <c r="A6" s="335"/>
      <c r="B6" s="334"/>
      <c r="C6" s="334"/>
      <c r="D6" s="334"/>
      <c r="E6" s="334"/>
      <c r="F6" s="334"/>
      <c r="G6" s="5"/>
      <c r="H6" s="5"/>
      <c r="I6" s="5"/>
      <c r="J6" s="5"/>
      <c r="K6" s="108"/>
      <c r="S6" s="289"/>
      <c r="T6" s="39"/>
      <c r="U6" s="39"/>
      <c r="V6" s="39"/>
      <c r="W6" s="39"/>
      <c r="X6" s="39"/>
      <c r="Y6" s="290"/>
    </row>
    <row r="7" spans="1:27" x14ac:dyDescent="0.3">
      <c r="A7" s="335"/>
      <c r="B7" s="334"/>
      <c r="C7" s="334"/>
      <c r="D7" s="334"/>
      <c r="E7" s="334"/>
      <c r="F7" s="334"/>
      <c r="G7" s="5"/>
      <c r="H7" s="5"/>
      <c r="I7" s="5"/>
      <c r="J7" s="5"/>
      <c r="K7" s="108"/>
      <c r="S7" s="289"/>
      <c r="T7" s="39"/>
      <c r="U7" s="39"/>
      <c r="V7" s="39"/>
      <c r="W7" s="39"/>
      <c r="X7" s="39"/>
      <c r="Y7" s="290"/>
    </row>
    <row r="8" spans="1:27" x14ac:dyDescent="0.3">
      <c r="A8" s="335"/>
      <c r="B8" s="33"/>
      <c r="C8" s="334"/>
      <c r="D8" s="334"/>
      <c r="E8" s="334"/>
      <c r="F8" s="334"/>
      <c r="G8" s="5"/>
      <c r="H8" s="5"/>
      <c r="I8" s="5"/>
      <c r="J8" s="5"/>
      <c r="K8" s="108"/>
      <c r="S8" s="289"/>
      <c r="T8" s="39"/>
      <c r="U8" s="39"/>
      <c r="V8" s="39"/>
      <c r="W8" s="39"/>
      <c r="X8" s="39"/>
      <c r="Y8" s="290"/>
    </row>
    <row r="9" spans="1:27" x14ac:dyDescent="0.3">
      <c r="A9" s="156"/>
      <c r="B9" s="334"/>
      <c r="C9" s="334"/>
      <c r="D9" s="334"/>
      <c r="E9" s="334"/>
      <c r="F9" s="334"/>
      <c r="G9" s="334"/>
      <c r="H9" s="5"/>
      <c r="I9" s="5"/>
      <c r="J9" s="5"/>
      <c r="K9" s="108"/>
      <c r="S9" s="117"/>
      <c r="T9" s="332"/>
      <c r="U9" s="332"/>
      <c r="V9" s="332"/>
      <c r="W9" s="332"/>
      <c r="X9" s="332"/>
      <c r="Y9" s="118"/>
    </row>
    <row r="10" spans="1:27" ht="21" x14ac:dyDescent="0.4">
      <c r="A10" s="335"/>
      <c r="B10" s="334"/>
      <c r="C10" s="334"/>
      <c r="D10" s="334"/>
      <c r="E10" s="334"/>
      <c r="F10" s="333" t="s">
        <v>119</v>
      </c>
      <c r="G10" s="5"/>
      <c r="H10" s="5"/>
      <c r="I10" s="5"/>
      <c r="J10" s="5"/>
      <c r="K10" s="108"/>
      <c r="S10" s="117"/>
      <c r="T10" s="332"/>
      <c r="U10" s="332"/>
      <c r="V10" s="332"/>
      <c r="W10" s="332"/>
      <c r="X10" s="332"/>
      <c r="Y10" s="118"/>
    </row>
    <row r="11" spans="1:27" x14ac:dyDescent="0.3">
      <c r="A11" s="335"/>
      <c r="B11" s="334"/>
      <c r="C11" s="334"/>
      <c r="D11" s="334"/>
      <c r="E11" s="334"/>
      <c r="F11" s="28"/>
      <c r="G11" s="5"/>
      <c r="H11" s="5"/>
      <c r="I11" s="5"/>
      <c r="J11" s="5"/>
      <c r="K11" s="108"/>
      <c r="S11" s="117"/>
      <c r="T11" s="332"/>
      <c r="U11" s="332"/>
      <c r="V11" s="332"/>
      <c r="W11" s="332"/>
      <c r="X11" s="332"/>
      <c r="Y11" s="118"/>
    </row>
    <row r="12" spans="1:27" x14ac:dyDescent="0.3">
      <c r="A12" s="335"/>
      <c r="B12" s="334"/>
      <c r="C12" s="40">
        <v>43265</v>
      </c>
      <c r="D12" s="49" t="s">
        <v>302</v>
      </c>
      <c r="E12" s="49" t="s">
        <v>313</v>
      </c>
      <c r="F12" s="49">
        <v>5</v>
      </c>
      <c r="G12" s="49">
        <v>0</v>
      </c>
      <c r="H12" s="334"/>
      <c r="I12" s="334" t="s">
        <v>426</v>
      </c>
      <c r="J12" s="5"/>
      <c r="K12" s="108"/>
      <c r="S12" s="117" t="s">
        <v>302</v>
      </c>
      <c r="T12" s="287" t="s">
        <v>313</v>
      </c>
      <c r="U12" s="287">
        <v>5</v>
      </c>
      <c r="V12" s="287">
        <v>0</v>
      </c>
      <c r="W12" s="287"/>
      <c r="X12" s="126">
        <f t="shared" ref="X12:X17" si="0">(IF(U12&gt;V12,3,IF(U12=V12,1,2)))</f>
        <v>3</v>
      </c>
      <c r="Y12" s="125">
        <f t="shared" ref="Y12:Y17" si="1">(IF(V12&gt;U12,3,IF(U12=V12,1,2)))</f>
        <v>2</v>
      </c>
      <c r="AA12" t="s">
        <v>302</v>
      </c>
    </row>
    <row r="13" spans="1:27" ht="15" thickBot="1" x14ac:dyDescent="0.35">
      <c r="A13" s="335"/>
      <c r="B13" s="334"/>
      <c r="C13" s="58"/>
      <c r="D13" s="79"/>
      <c r="E13" s="79"/>
      <c r="F13" s="79" t="s">
        <v>215</v>
      </c>
      <c r="G13" s="79" t="s">
        <v>171</v>
      </c>
      <c r="H13" s="337"/>
      <c r="I13" s="337"/>
      <c r="J13" s="5"/>
      <c r="K13" s="108"/>
      <c r="S13" s="117" t="s">
        <v>33</v>
      </c>
      <c r="T13" s="250" t="s">
        <v>18</v>
      </c>
      <c r="U13" s="331">
        <v>0</v>
      </c>
      <c r="V13" s="331">
        <v>1</v>
      </c>
      <c r="W13" s="287"/>
      <c r="X13" s="126">
        <f t="shared" si="0"/>
        <v>2</v>
      </c>
      <c r="Y13" s="125">
        <f t="shared" si="1"/>
        <v>3</v>
      </c>
      <c r="AA13" t="s">
        <v>313</v>
      </c>
    </row>
    <row r="14" spans="1:27" x14ac:dyDescent="0.3">
      <c r="A14" s="335"/>
      <c r="B14" s="334"/>
      <c r="C14" s="40">
        <v>43266</v>
      </c>
      <c r="D14" s="49" t="s">
        <v>33</v>
      </c>
      <c r="E14" s="49" t="s">
        <v>18</v>
      </c>
      <c r="F14" s="49">
        <v>0</v>
      </c>
      <c r="G14" s="49">
        <v>1</v>
      </c>
      <c r="H14" s="334"/>
      <c r="I14" s="5" t="s">
        <v>427</v>
      </c>
      <c r="J14" s="5"/>
      <c r="K14" s="108"/>
      <c r="S14" s="117" t="s">
        <v>302</v>
      </c>
      <c r="T14" s="250" t="s">
        <v>33</v>
      </c>
      <c r="U14" s="331">
        <v>3</v>
      </c>
      <c r="V14" s="331">
        <v>1</v>
      </c>
      <c r="W14" s="287"/>
      <c r="X14" s="126">
        <f t="shared" si="0"/>
        <v>3</v>
      </c>
      <c r="Y14" s="125">
        <f t="shared" si="1"/>
        <v>2</v>
      </c>
      <c r="AA14" t="s">
        <v>33</v>
      </c>
    </row>
    <row r="15" spans="1:27" ht="15" thickBot="1" x14ac:dyDescent="0.35">
      <c r="A15" s="335"/>
      <c r="B15" s="334"/>
      <c r="C15" s="58"/>
      <c r="D15" s="79"/>
      <c r="E15" s="79"/>
      <c r="F15" s="79" t="s">
        <v>170</v>
      </c>
      <c r="G15" s="79" t="s">
        <v>171</v>
      </c>
      <c r="H15" s="337"/>
      <c r="I15" s="8"/>
      <c r="J15" s="5"/>
      <c r="K15" s="108"/>
      <c r="S15" s="117" t="s">
        <v>18</v>
      </c>
      <c r="T15" s="331" t="s">
        <v>313</v>
      </c>
      <c r="U15" s="331">
        <v>1</v>
      </c>
      <c r="V15" s="331">
        <v>0</v>
      </c>
      <c r="W15" s="287"/>
      <c r="X15" s="126">
        <f t="shared" si="0"/>
        <v>3</v>
      </c>
      <c r="Y15" s="125">
        <f t="shared" si="1"/>
        <v>2</v>
      </c>
      <c r="AA15" t="s">
        <v>18</v>
      </c>
    </row>
    <row r="16" spans="1:27" x14ac:dyDescent="0.3">
      <c r="A16" s="335"/>
      <c r="B16" s="334"/>
      <c r="C16" s="40">
        <v>43270</v>
      </c>
      <c r="D16" s="49" t="s">
        <v>302</v>
      </c>
      <c r="E16" s="49" t="s">
        <v>33</v>
      </c>
      <c r="F16" s="49">
        <v>3</v>
      </c>
      <c r="G16" s="49">
        <v>1</v>
      </c>
      <c r="H16" s="334"/>
      <c r="I16" s="5" t="s">
        <v>428</v>
      </c>
      <c r="J16" s="5"/>
      <c r="K16" s="108"/>
      <c r="S16" s="117" t="s">
        <v>18</v>
      </c>
      <c r="T16" s="331" t="s">
        <v>302</v>
      </c>
      <c r="U16" s="331">
        <v>3</v>
      </c>
      <c r="V16" s="331">
        <v>0</v>
      </c>
      <c r="W16" s="287"/>
      <c r="X16" s="126">
        <f t="shared" si="0"/>
        <v>3</v>
      </c>
      <c r="Y16" s="125">
        <f t="shared" si="1"/>
        <v>2</v>
      </c>
      <c r="AA16" t="s">
        <v>147</v>
      </c>
    </row>
    <row r="17" spans="1:27" ht="15" thickBot="1" x14ac:dyDescent="0.35">
      <c r="A17" s="335"/>
      <c r="B17" s="334"/>
      <c r="C17" s="58"/>
      <c r="D17" s="79"/>
      <c r="E17" s="79"/>
      <c r="F17" s="79" t="s">
        <v>170</v>
      </c>
      <c r="G17" s="79" t="s">
        <v>171</v>
      </c>
      <c r="H17" s="337"/>
      <c r="I17" s="8"/>
      <c r="J17" s="5"/>
      <c r="K17" s="108"/>
      <c r="S17" s="117" t="s">
        <v>313</v>
      </c>
      <c r="T17" s="331" t="s">
        <v>33</v>
      </c>
      <c r="U17" s="331">
        <v>2</v>
      </c>
      <c r="V17" s="331">
        <v>1</v>
      </c>
      <c r="W17" s="287"/>
      <c r="X17" s="126">
        <f t="shared" si="0"/>
        <v>3</v>
      </c>
      <c r="Y17" s="125">
        <f t="shared" si="1"/>
        <v>2</v>
      </c>
      <c r="AA17" t="s">
        <v>177</v>
      </c>
    </row>
    <row r="18" spans="1:27" x14ac:dyDescent="0.3">
      <c r="A18" s="335"/>
      <c r="B18" s="334"/>
      <c r="C18" s="40">
        <v>43271</v>
      </c>
      <c r="D18" s="49" t="s">
        <v>18</v>
      </c>
      <c r="E18" s="49" t="s">
        <v>313</v>
      </c>
      <c r="F18" s="49">
        <v>1</v>
      </c>
      <c r="G18" s="49">
        <v>0</v>
      </c>
      <c r="H18" s="334"/>
      <c r="I18" s="5" t="s">
        <v>429</v>
      </c>
      <c r="J18" s="5"/>
      <c r="K18" s="108"/>
      <c r="S18" s="117"/>
      <c r="T18" s="331"/>
      <c r="U18" s="331"/>
      <c r="V18" s="331"/>
      <c r="W18" s="287"/>
      <c r="X18" s="126"/>
      <c r="Y18" s="125"/>
      <c r="AA18" t="s">
        <v>133</v>
      </c>
    </row>
    <row r="19" spans="1:27" ht="15" thickBot="1" x14ac:dyDescent="0.35">
      <c r="A19" s="335"/>
      <c r="B19" s="334"/>
      <c r="C19" s="58"/>
      <c r="D19" s="79"/>
      <c r="E19" s="79"/>
      <c r="F19" s="79" t="s">
        <v>172</v>
      </c>
      <c r="G19" s="79" t="s">
        <v>171</v>
      </c>
      <c r="H19" s="337"/>
      <c r="I19" s="8"/>
      <c r="J19" s="5"/>
      <c r="K19" s="108"/>
      <c r="S19" s="117"/>
      <c r="T19" s="331"/>
      <c r="U19" s="331"/>
      <c r="V19" s="331"/>
      <c r="W19" s="287"/>
      <c r="X19" s="126"/>
      <c r="Y19" s="125"/>
      <c r="AA19" t="s">
        <v>35</v>
      </c>
    </row>
    <row r="20" spans="1:27" x14ac:dyDescent="0.3">
      <c r="A20" s="335"/>
      <c r="B20" s="334"/>
      <c r="C20" s="40">
        <v>43276</v>
      </c>
      <c r="D20" s="49" t="s">
        <v>18</v>
      </c>
      <c r="E20" s="49" t="s">
        <v>302</v>
      </c>
      <c r="F20" s="49">
        <v>3</v>
      </c>
      <c r="G20" s="49">
        <v>0</v>
      </c>
      <c r="H20" s="334"/>
      <c r="I20" s="5" t="s">
        <v>430</v>
      </c>
      <c r="J20" s="5"/>
      <c r="K20" s="108"/>
      <c r="S20" s="117"/>
      <c r="T20" s="331"/>
      <c r="U20" s="331"/>
      <c r="V20" s="331"/>
      <c r="W20" s="287"/>
      <c r="X20" s="287"/>
      <c r="Y20" s="118"/>
      <c r="AA20" t="s">
        <v>3</v>
      </c>
    </row>
    <row r="21" spans="1:27" ht="15" thickBot="1" x14ac:dyDescent="0.35">
      <c r="A21" s="335"/>
      <c r="B21" s="334"/>
      <c r="C21" s="58"/>
      <c r="D21" s="79"/>
      <c r="E21" s="79"/>
      <c r="F21" s="79" t="s">
        <v>215</v>
      </c>
      <c r="G21" s="79" t="s">
        <v>171</v>
      </c>
      <c r="H21" s="337"/>
      <c r="I21" s="8"/>
      <c r="J21" s="5"/>
      <c r="K21" s="108"/>
      <c r="S21" s="117"/>
      <c r="T21" s="331"/>
      <c r="U21" s="331"/>
      <c r="V21" s="331"/>
      <c r="W21" s="287"/>
      <c r="X21" s="287"/>
      <c r="Y21" s="118"/>
      <c r="AA21" t="s">
        <v>152</v>
      </c>
    </row>
    <row r="22" spans="1:27" x14ac:dyDescent="0.3">
      <c r="A22" s="335"/>
      <c r="B22" s="334"/>
      <c r="C22" s="40">
        <v>43276</v>
      </c>
      <c r="D22" s="49" t="s">
        <v>313</v>
      </c>
      <c r="E22" s="49" t="s">
        <v>33</v>
      </c>
      <c r="F22" s="49">
        <v>2</v>
      </c>
      <c r="G22" s="49">
        <v>1</v>
      </c>
      <c r="H22" s="334"/>
      <c r="I22" s="5" t="s">
        <v>431</v>
      </c>
      <c r="J22" s="5"/>
      <c r="K22" s="108"/>
      <c r="S22" s="117"/>
      <c r="T22" s="287"/>
      <c r="U22" s="287"/>
      <c r="V22" s="287"/>
      <c r="W22" s="287"/>
      <c r="X22" s="287"/>
      <c r="Y22" s="118"/>
      <c r="AA22" t="s">
        <v>17</v>
      </c>
    </row>
    <row r="23" spans="1:27" x14ac:dyDescent="0.3">
      <c r="A23" s="335"/>
      <c r="B23" s="334"/>
      <c r="C23" s="40"/>
      <c r="D23" s="49"/>
      <c r="E23" s="49"/>
      <c r="F23" s="49" t="s">
        <v>172</v>
      </c>
      <c r="G23" s="49" t="s">
        <v>183</v>
      </c>
      <c r="H23" s="334"/>
      <c r="I23" s="5"/>
      <c r="J23" s="5"/>
      <c r="K23" s="108"/>
      <c r="S23" s="117"/>
      <c r="T23" s="287"/>
      <c r="U23" s="287"/>
      <c r="V23" s="287"/>
      <c r="W23" s="287"/>
      <c r="X23" s="287"/>
      <c r="Y23" s="118"/>
      <c r="AA23" t="s">
        <v>258</v>
      </c>
    </row>
    <row r="24" spans="1:27" x14ac:dyDescent="0.3">
      <c r="A24" s="335"/>
      <c r="B24" s="334"/>
      <c r="C24" s="40"/>
      <c r="D24" s="334"/>
      <c r="E24" s="334"/>
      <c r="F24" s="334"/>
      <c r="G24" s="334"/>
      <c r="H24" s="334"/>
      <c r="I24" s="5"/>
      <c r="J24" s="5"/>
      <c r="K24" s="108"/>
      <c r="S24" s="117"/>
      <c r="T24" s="287"/>
      <c r="U24" s="287"/>
      <c r="V24" s="287"/>
      <c r="W24" s="287"/>
      <c r="X24" s="287"/>
      <c r="Y24" s="118"/>
      <c r="AA24" t="s">
        <v>5</v>
      </c>
    </row>
    <row r="25" spans="1:27" ht="15" thickBot="1" x14ac:dyDescent="0.35">
      <c r="A25" s="335"/>
      <c r="B25" s="334" t="s">
        <v>298</v>
      </c>
      <c r="C25" s="334" t="s">
        <v>12</v>
      </c>
      <c r="D25" s="334" t="s">
        <v>13</v>
      </c>
      <c r="E25" s="334" t="s">
        <v>14</v>
      </c>
      <c r="F25" s="334" t="s">
        <v>15</v>
      </c>
      <c r="G25" s="5" t="s">
        <v>24</v>
      </c>
      <c r="H25" s="5" t="s">
        <v>25</v>
      </c>
      <c r="I25" s="5" t="s">
        <v>301</v>
      </c>
      <c r="J25" s="5"/>
      <c r="K25" s="108"/>
      <c r="S25" s="117"/>
      <c r="T25" s="287"/>
      <c r="U25" s="287"/>
      <c r="V25" s="287"/>
      <c r="W25" s="287"/>
      <c r="X25" s="126"/>
      <c r="Y25" s="125"/>
      <c r="AA25" t="s">
        <v>436</v>
      </c>
    </row>
    <row r="26" spans="1:27" x14ac:dyDescent="0.3">
      <c r="A26" s="335" t="s">
        <v>113</v>
      </c>
      <c r="B26" s="14" t="s">
        <v>302</v>
      </c>
      <c r="C26" s="336">
        <f>COUNTIF($S$12:$T$17,"Rumänien")</f>
        <v>0</v>
      </c>
      <c r="D26" s="124">
        <f t="shared" ref="D26" si="2">SUMPRODUCT(($S$12:$T$17=B26)*($X$12:$Y$17=3))</f>
        <v>2</v>
      </c>
      <c r="E26" s="124">
        <f t="shared" ref="E26" si="3">SUMPRODUCT(($S$12:$T$17=B26)*($X$12:$Y$17=1))</f>
        <v>0</v>
      </c>
      <c r="F26" s="124">
        <f t="shared" ref="F26" si="4">SUMPRODUCT(($S$12:$T$17=B26)*($X$12:$Y$17=2))</f>
        <v>1</v>
      </c>
      <c r="G26" s="124">
        <f t="shared" ref="G26" si="5">SUMPRODUCT(($S$12:$S$17=B26)*($U$12:$U$17))+SUMPRODUCT(($T$12:$T$17=B26)*($V$12:$V$17))</f>
        <v>8</v>
      </c>
      <c r="H26" s="124">
        <f t="shared" ref="H26" si="6">SUMPRODUCT(($S$12:$S$17=B26)*($V$12:$V$17))+SUMPRODUCT(($T$12:$T$17=B26)*($U$12:$U$17))</f>
        <v>4</v>
      </c>
      <c r="I26" s="16">
        <f>(D26*3)+E26</f>
        <v>6</v>
      </c>
      <c r="J26" s="18"/>
      <c r="K26" s="108"/>
      <c r="S26" s="117"/>
      <c r="T26" s="287"/>
      <c r="U26" s="287"/>
      <c r="V26" s="287"/>
      <c r="W26" s="287"/>
      <c r="X26" s="287"/>
      <c r="Y26" s="118"/>
      <c r="AA26" t="s">
        <v>353</v>
      </c>
    </row>
    <row r="27" spans="1:27" x14ac:dyDescent="0.3">
      <c r="A27" s="335"/>
      <c r="B27" s="21" t="s">
        <v>313</v>
      </c>
      <c r="C27" s="334"/>
      <c r="D27" s="43"/>
      <c r="E27" s="43"/>
      <c r="F27" s="43"/>
      <c r="G27" s="43"/>
      <c r="H27" s="43"/>
      <c r="I27" s="22"/>
      <c r="J27" s="18"/>
      <c r="K27" s="108"/>
      <c r="S27" s="117"/>
      <c r="T27" s="287"/>
      <c r="U27" s="287"/>
      <c r="V27" s="287"/>
      <c r="W27" s="287"/>
      <c r="X27" s="287"/>
      <c r="Y27" s="118"/>
      <c r="AA27" t="s">
        <v>307</v>
      </c>
    </row>
    <row r="28" spans="1:27" x14ac:dyDescent="0.3">
      <c r="A28" s="335"/>
      <c r="B28" s="3" t="s">
        <v>33</v>
      </c>
      <c r="C28" s="334"/>
      <c r="D28" s="43"/>
      <c r="E28" s="43"/>
      <c r="F28" s="43"/>
      <c r="G28" s="43"/>
      <c r="H28" s="43"/>
      <c r="I28" s="22"/>
      <c r="J28" s="5"/>
      <c r="K28" s="108"/>
      <c r="S28" s="117"/>
      <c r="T28" s="287"/>
      <c r="U28" s="287"/>
      <c r="V28" s="287"/>
      <c r="W28" s="287"/>
      <c r="X28" s="126"/>
      <c r="Y28" s="125"/>
      <c r="AA28" t="s">
        <v>286</v>
      </c>
    </row>
    <row r="29" spans="1:27" ht="15" thickBot="1" x14ac:dyDescent="0.35">
      <c r="A29" s="335"/>
      <c r="B29" s="7" t="s">
        <v>18</v>
      </c>
      <c r="C29" s="337"/>
      <c r="D29" s="80"/>
      <c r="E29" s="80"/>
      <c r="F29" s="80"/>
      <c r="G29" s="80"/>
      <c r="H29" s="80"/>
      <c r="I29" s="32"/>
      <c r="J29" s="5"/>
      <c r="K29" s="108"/>
      <c r="S29" s="117"/>
      <c r="T29" s="287"/>
      <c r="U29" s="287"/>
      <c r="V29" s="287"/>
      <c r="W29" s="287"/>
      <c r="X29" s="126"/>
      <c r="Y29" s="125"/>
      <c r="AA29" t="s">
        <v>408</v>
      </c>
    </row>
    <row r="30" spans="1:27" ht="15" thickBot="1" x14ac:dyDescent="0.35">
      <c r="A30" s="335"/>
      <c r="B30" s="334"/>
      <c r="C30" s="334"/>
      <c r="D30" s="334"/>
      <c r="E30" s="334"/>
      <c r="F30" s="334"/>
      <c r="G30" s="5"/>
      <c r="H30" s="5"/>
      <c r="I30" s="5"/>
      <c r="J30" s="5"/>
      <c r="K30" s="193"/>
      <c r="S30" s="117"/>
      <c r="T30" s="287"/>
      <c r="U30" s="287"/>
      <c r="V30" s="287"/>
      <c r="W30" s="287"/>
      <c r="X30" s="126"/>
      <c r="Y30" s="125"/>
      <c r="AA30" t="s">
        <v>9</v>
      </c>
    </row>
    <row r="31" spans="1:27" ht="15" thickTop="1" x14ac:dyDescent="0.3">
      <c r="A31" s="106"/>
      <c r="B31" s="25"/>
      <c r="C31" s="25"/>
      <c r="D31" s="25"/>
      <c r="E31" s="25"/>
      <c r="F31" s="25"/>
      <c r="G31" s="26"/>
      <c r="H31" s="26"/>
      <c r="I31" s="26"/>
      <c r="J31" s="26"/>
      <c r="K31" s="108"/>
      <c r="S31" s="122"/>
      <c r="T31" s="17"/>
      <c r="U31" s="17"/>
      <c r="V31" s="17"/>
      <c r="W31" s="288"/>
      <c r="X31" s="126"/>
      <c r="Y31" s="125"/>
      <c r="AA31" t="s">
        <v>43</v>
      </c>
    </row>
    <row r="32" spans="1:27" ht="21" x14ac:dyDescent="0.4">
      <c r="A32" s="335"/>
      <c r="B32" s="334"/>
      <c r="C32" s="334"/>
      <c r="D32" s="334"/>
      <c r="E32" s="334"/>
      <c r="F32" s="333" t="s">
        <v>120</v>
      </c>
      <c r="G32" s="5"/>
      <c r="H32" s="5"/>
      <c r="I32" s="5"/>
      <c r="J32" s="5"/>
      <c r="K32" s="108"/>
      <c r="S32" s="117"/>
      <c r="T32" s="287"/>
      <c r="U32" s="287"/>
      <c r="V32" s="287"/>
      <c r="W32" s="288"/>
      <c r="X32" s="126"/>
      <c r="Y32" s="125"/>
      <c r="AA32" t="s">
        <v>88</v>
      </c>
    </row>
    <row r="33" spans="1:27" x14ac:dyDescent="0.3">
      <c r="A33" s="335"/>
      <c r="B33" s="334"/>
      <c r="C33" s="334"/>
      <c r="D33" s="334"/>
      <c r="E33" s="334"/>
      <c r="F33" s="28"/>
      <c r="G33" s="5"/>
      <c r="H33" s="5"/>
      <c r="I33" s="5"/>
      <c r="J33" s="5"/>
      <c r="K33" s="108"/>
      <c r="S33" s="117"/>
      <c r="T33" s="287"/>
      <c r="U33" s="287"/>
      <c r="V33" s="287"/>
      <c r="W33" s="288"/>
      <c r="X33" s="126"/>
      <c r="Y33" s="125"/>
      <c r="AA33" t="s">
        <v>4</v>
      </c>
    </row>
    <row r="34" spans="1:27" x14ac:dyDescent="0.3">
      <c r="A34" s="335"/>
      <c r="B34" s="334"/>
      <c r="C34" s="40">
        <v>43266</v>
      </c>
      <c r="D34" s="49" t="s">
        <v>147</v>
      </c>
      <c r="E34" s="49" t="s">
        <v>177</v>
      </c>
      <c r="F34" s="49">
        <v>0</v>
      </c>
      <c r="G34" s="49">
        <v>1</v>
      </c>
      <c r="H34" s="334"/>
      <c r="I34" s="5" t="s">
        <v>428</v>
      </c>
      <c r="J34" s="5"/>
      <c r="K34" s="108"/>
      <c r="S34" s="117" t="s">
        <v>147</v>
      </c>
      <c r="T34" s="287" t="s">
        <v>177</v>
      </c>
      <c r="U34" s="287">
        <v>0</v>
      </c>
      <c r="V34" s="287">
        <v>1</v>
      </c>
      <c r="W34" s="288"/>
      <c r="X34" s="126">
        <f t="shared" ref="X34:X38" si="7">(IF(U34&gt;V34,3,IF(U34=V34,1,2)))</f>
        <v>2</v>
      </c>
      <c r="Y34" s="125">
        <f t="shared" ref="Y34:Y38" si="8">(IF(V34&gt;U34,3,IF(U34=V34,1,2)))</f>
        <v>3</v>
      </c>
      <c r="AA34" t="s">
        <v>41</v>
      </c>
    </row>
    <row r="35" spans="1:27" ht="15" thickBot="1" x14ac:dyDescent="0.35">
      <c r="A35" s="335"/>
      <c r="B35" s="334"/>
      <c r="C35" s="58"/>
      <c r="D35" s="79"/>
      <c r="E35" s="79"/>
      <c r="F35" s="79" t="s">
        <v>170</v>
      </c>
      <c r="G35" s="79" t="s">
        <v>171</v>
      </c>
      <c r="H35" s="337"/>
      <c r="I35" s="8"/>
      <c r="J35" s="5"/>
      <c r="K35" s="108"/>
      <c r="S35" s="117" t="s">
        <v>133</v>
      </c>
      <c r="T35" s="331" t="s">
        <v>35</v>
      </c>
      <c r="U35" s="331">
        <v>3</v>
      </c>
      <c r="V35" s="331">
        <v>3</v>
      </c>
      <c r="W35" s="288"/>
      <c r="X35" s="126">
        <f t="shared" si="7"/>
        <v>1</v>
      </c>
      <c r="Y35" s="125">
        <f t="shared" si="8"/>
        <v>1</v>
      </c>
      <c r="AA35" t="s">
        <v>90</v>
      </c>
    </row>
    <row r="36" spans="1:27" x14ac:dyDescent="0.3">
      <c r="A36" s="335"/>
      <c r="B36" s="334"/>
      <c r="C36" s="40">
        <v>43266</v>
      </c>
      <c r="D36" s="49" t="s">
        <v>133</v>
      </c>
      <c r="E36" s="49" t="s">
        <v>35</v>
      </c>
      <c r="F36" s="49">
        <v>3</v>
      </c>
      <c r="G36" s="49">
        <v>3</v>
      </c>
      <c r="H36" s="334"/>
      <c r="I36" s="5" t="s">
        <v>432</v>
      </c>
      <c r="J36" s="5"/>
      <c r="K36" s="108"/>
      <c r="S36" s="117" t="s">
        <v>133</v>
      </c>
      <c r="T36" s="331" t="s">
        <v>147</v>
      </c>
      <c r="U36" s="331">
        <v>1</v>
      </c>
      <c r="V36" s="331">
        <v>0</v>
      </c>
      <c r="W36" s="288"/>
      <c r="X36" s="126">
        <f t="shared" si="7"/>
        <v>3</v>
      </c>
      <c r="Y36" s="125">
        <f t="shared" si="8"/>
        <v>2</v>
      </c>
      <c r="AA36" t="s">
        <v>21</v>
      </c>
    </row>
    <row r="37" spans="1:27" ht="15" thickBot="1" x14ac:dyDescent="0.35">
      <c r="A37" s="335"/>
      <c r="B37" s="334"/>
      <c r="C37" s="58"/>
      <c r="D37" s="79"/>
      <c r="E37" s="79"/>
      <c r="F37" s="79" t="s">
        <v>215</v>
      </c>
      <c r="G37" s="79" t="s">
        <v>183</v>
      </c>
      <c r="H37" s="337"/>
      <c r="I37" s="8"/>
      <c r="J37" s="5"/>
      <c r="K37" s="108"/>
      <c r="S37" s="117" t="s">
        <v>177</v>
      </c>
      <c r="T37" s="331" t="s">
        <v>35</v>
      </c>
      <c r="U37" s="331">
        <v>0</v>
      </c>
      <c r="V37" s="331">
        <v>1</v>
      </c>
      <c r="W37" s="288"/>
      <c r="X37" s="126">
        <f t="shared" si="7"/>
        <v>2</v>
      </c>
      <c r="Y37" s="125">
        <f t="shared" si="8"/>
        <v>3</v>
      </c>
      <c r="AA37" t="s">
        <v>439</v>
      </c>
    </row>
    <row r="38" spans="1:27" x14ac:dyDescent="0.3">
      <c r="A38" s="335"/>
      <c r="B38" s="334"/>
      <c r="C38" s="40">
        <v>43271</v>
      </c>
      <c r="D38" s="49" t="s">
        <v>133</v>
      </c>
      <c r="E38" s="49" t="s">
        <v>147</v>
      </c>
      <c r="F38" s="49">
        <v>1</v>
      </c>
      <c r="G38" s="49">
        <v>0</v>
      </c>
      <c r="H38" s="334"/>
      <c r="I38" s="5" t="s">
        <v>426</v>
      </c>
      <c r="J38" s="5"/>
      <c r="K38" s="108"/>
      <c r="S38" s="117" t="s">
        <v>177</v>
      </c>
      <c r="T38" s="331" t="s">
        <v>133</v>
      </c>
      <c r="U38" s="331">
        <v>1</v>
      </c>
      <c r="V38" s="331">
        <v>1</v>
      </c>
      <c r="W38" s="288"/>
      <c r="X38" s="126">
        <f t="shared" si="7"/>
        <v>1</v>
      </c>
      <c r="Y38" s="125">
        <f t="shared" si="8"/>
        <v>1</v>
      </c>
      <c r="AA38" t="s">
        <v>176</v>
      </c>
    </row>
    <row r="39" spans="1:27" ht="15" thickBot="1" x14ac:dyDescent="0.35">
      <c r="A39" s="335"/>
      <c r="B39" s="334"/>
      <c r="C39" s="58"/>
      <c r="D39" s="79"/>
      <c r="E39" s="79"/>
      <c r="F39" s="79" t="s">
        <v>172</v>
      </c>
      <c r="G39" s="79" t="s">
        <v>171</v>
      </c>
      <c r="H39" s="337"/>
      <c r="I39" s="8"/>
      <c r="J39" s="5"/>
      <c r="K39" s="108"/>
      <c r="S39" s="117" t="s">
        <v>35</v>
      </c>
      <c r="T39" s="331" t="s">
        <v>147</v>
      </c>
      <c r="U39" s="331">
        <v>2</v>
      </c>
      <c r="V39" s="331">
        <v>2</v>
      </c>
      <c r="W39" s="288"/>
      <c r="X39" s="126">
        <f t="shared" ref="X39" si="9">(IF(U39&gt;V39,3,IF(U39=V39,1,2)))</f>
        <v>1</v>
      </c>
      <c r="Y39" s="125">
        <f t="shared" ref="Y39" si="10">(IF(V39&gt;U39,3,IF(U39=V39,1,2)))</f>
        <v>1</v>
      </c>
      <c r="AA39" t="s">
        <v>74</v>
      </c>
    </row>
    <row r="40" spans="1:27" x14ac:dyDescent="0.3">
      <c r="A40" s="335"/>
      <c r="B40" s="334"/>
      <c r="C40" s="40">
        <v>43271</v>
      </c>
      <c r="D40" s="49" t="s">
        <v>177</v>
      </c>
      <c r="E40" s="49" t="s">
        <v>35</v>
      </c>
      <c r="F40" s="49">
        <v>0</v>
      </c>
      <c r="G40" s="49">
        <v>1</v>
      </c>
      <c r="H40" s="334"/>
      <c r="I40" s="5" t="s">
        <v>433</v>
      </c>
      <c r="J40" s="5"/>
      <c r="K40" s="108"/>
      <c r="S40" s="117"/>
      <c r="T40" s="331"/>
      <c r="U40" s="331"/>
      <c r="V40" s="331"/>
      <c r="W40" s="288"/>
      <c r="X40" s="126"/>
      <c r="Y40" s="125"/>
      <c r="AA40" t="s">
        <v>117</v>
      </c>
    </row>
    <row r="41" spans="1:27" ht="15" thickBot="1" x14ac:dyDescent="0.35">
      <c r="A41" s="335"/>
      <c r="B41" s="334"/>
      <c r="C41" s="58"/>
      <c r="D41" s="79"/>
      <c r="E41" s="79"/>
      <c r="F41" s="79" t="s">
        <v>170</v>
      </c>
      <c r="G41" s="79" t="s">
        <v>171</v>
      </c>
      <c r="H41" s="337"/>
      <c r="I41" s="8"/>
      <c r="J41" s="5"/>
      <c r="K41" s="108"/>
      <c r="S41" s="117"/>
      <c r="T41" s="331"/>
      <c r="U41" s="331"/>
      <c r="V41" s="331"/>
      <c r="W41" s="288"/>
      <c r="X41" s="126"/>
      <c r="Y41" s="125"/>
      <c r="AA41" t="s">
        <v>351</v>
      </c>
    </row>
    <row r="42" spans="1:27" x14ac:dyDescent="0.3">
      <c r="A42" s="335"/>
      <c r="B42" s="334"/>
      <c r="C42" s="40">
        <v>43276</v>
      </c>
      <c r="D42" s="43" t="s">
        <v>177</v>
      </c>
      <c r="E42" s="43" t="s">
        <v>133</v>
      </c>
      <c r="F42" s="43">
        <v>1</v>
      </c>
      <c r="G42" s="43">
        <v>1</v>
      </c>
      <c r="H42" s="17"/>
      <c r="I42" s="5" t="s">
        <v>434</v>
      </c>
      <c r="J42" s="5"/>
      <c r="K42" s="108"/>
      <c r="S42" s="117"/>
      <c r="T42" s="331"/>
      <c r="U42" s="331"/>
      <c r="V42" s="331"/>
      <c r="W42" s="287"/>
      <c r="X42" s="126"/>
      <c r="Y42" s="125"/>
      <c r="AA42" t="s">
        <v>61</v>
      </c>
    </row>
    <row r="43" spans="1:27" ht="15" thickBot="1" x14ac:dyDescent="0.35">
      <c r="A43" s="335"/>
      <c r="B43" s="334"/>
      <c r="C43" s="58"/>
      <c r="D43" s="80"/>
      <c r="E43" s="80"/>
      <c r="F43" s="80" t="s">
        <v>170</v>
      </c>
      <c r="G43" s="80" t="s">
        <v>183</v>
      </c>
      <c r="H43" s="30"/>
      <c r="I43" s="8"/>
      <c r="J43" s="5"/>
      <c r="K43" s="108"/>
      <c r="S43" s="117"/>
      <c r="T43" s="331"/>
      <c r="U43" s="331"/>
      <c r="V43" s="331"/>
      <c r="W43" s="287"/>
      <c r="X43" s="126"/>
      <c r="Y43" s="125"/>
      <c r="AA43" t="s">
        <v>355</v>
      </c>
    </row>
    <row r="44" spans="1:27" x14ac:dyDescent="0.3">
      <c r="A44" s="335"/>
      <c r="B44" s="334"/>
      <c r="C44" s="40">
        <v>43276</v>
      </c>
      <c r="D44" s="43" t="s">
        <v>35</v>
      </c>
      <c r="E44" s="43" t="s">
        <v>147</v>
      </c>
      <c r="F44" s="43">
        <v>2</v>
      </c>
      <c r="G44" s="43">
        <v>2</v>
      </c>
      <c r="H44" s="17"/>
      <c r="I44" s="5" t="s">
        <v>435</v>
      </c>
      <c r="J44" s="5"/>
      <c r="K44" s="108"/>
      <c r="S44" s="117"/>
      <c r="T44" s="287"/>
      <c r="U44" s="287"/>
      <c r="V44" s="287"/>
      <c r="W44" s="287"/>
      <c r="X44" s="126"/>
      <c r="Y44" s="125"/>
    </row>
    <row r="45" spans="1:27" x14ac:dyDescent="0.3">
      <c r="A45" s="335"/>
      <c r="B45" s="334"/>
      <c r="C45" s="40"/>
      <c r="D45" s="43"/>
      <c r="E45" s="43"/>
      <c r="F45" s="43" t="s">
        <v>172</v>
      </c>
      <c r="G45" s="43" t="s">
        <v>183</v>
      </c>
      <c r="H45" s="17"/>
      <c r="I45" s="5"/>
      <c r="J45" s="5"/>
      <c r="K45" s="108"/>
      <c r="S45" s="117"/>
      <c r="T45" s="287"/>
      <c r="U45" s="287"/>
      <c r="V45" s="287"/>
      <c r="W45" s="287"/>
      <c r="X45" s="126"/>
      <c r="Y45" s="125"/>
    </row>
    <row r="46" spans="1:27" x14ac:dyDescent="0.3">
      <c r="A46" s="156"/>
      <c r="B46" s="17"/>
      <c r="C46" s="17"/>
      <c r="D46" s="17"/>
      <c r="E46" s="17"/>
      <c r="F46" s="17"/>
      <c r="G46" s="18"/>
      <c r="H46" s="5"/>
      <c r="I46" s="5"/>
      <c r="J46" s="5"/>
      <c r="K46" s="108"/>
      <c r="S46" s="117"/>
      <c r="T46" s="287"/>
      <c r="U46" s="287"/>
      <c r="V46" s="287"/>
      <c r="W46" s="287"/>
      <c r="X46" s="126"/>
      <c r="Y46" s="125"/>
    </row>
    <row r="47" spans="1:27" ht="15" thickBot="1" x14ac:dyDescent="0.35">
      <c r="A47" s="335"/>
      <c r="B47" s="334" t="s">
        <v>298</v>
      </c>
      <c r="C47" s="334" t="s">
        <v>12</v>
      </c>
      <c r="D47" s="334" t="s">
        <v>13</v>
      </c>
      <c r="E47" s="334" t="s">
        <v>14</v>
      </c>
      <c r="F47" s="334" t="s">
        <v>15</v>
      </c>
      <c r="G47" s="5" t="s">
        <v>24</v>
      </c>
      <c r="H47" s="5" t="s">
        <v>25</v>
      </c>
      <c r="I47" s="5" t="s">
        <v>301</v>
      </c>
      <c r="J47" s="5"/>
      <c r="K47" s="108"/>
      <c r="S47" s="117"/>
      <c r="T47" s="287"/>
      <c r="U47" s="287"/>
      <c r="V47" s="287"/>
      <c r="W47" s="287"/>
      <c r="X47" s="126"/>
      <c r="Y47" s="125"/>
    </row>
    <row r="48" spans="1:27" x14ac:dyDescent="0.3">
      <c r="A48" s="335" t="s">
        <v>113</v>
      </c>
      <c r="B48" s="14" t="s">
        <v>147</v>
      </c>
      <c r="C48" s="338">
        <v>3</v>
      </c>
      <c r="D48" s="338">
        <v>2</v>
      </c>
      <c r="E48" s="338">
        <v>1</v>
      </c>
      <c r="F48" s="338">
        <v>0</v>
      </c>
      <c r="G48" s="15">
        <v>6</v>
      </c>
      <c r="H48" s="15">
        <v>1</v>
      </c>
      <c r="I48" s="15">
        <v>7</v>
      </c>
      <c r="J48" s="86"/>
      <c r="K48" s="108"/>
      <c r="S48" s="117"/>
      <c r="T48" s="287"/>
      <c r="U48" s="287"/>
      <c r="V48" s="287"/>
      <c r="W48" s="287"/>
      <c r="X48" s="126"/>
      <c r="Y48" s="125"/>
    </row>
    <row r="49" spans="1:25" x14ac:dyDescent="0.3">
      <c r="A49" s="335"/>
      <c r="B49" s="21" t="s">
        <v>177</v>
      </c>
      <c r="C49" s="17"/>
      <c r="D49" s="17"/>
      <c r="E49" s="17"/>
      <c r="F49" s="17"/>
      <c r="G49" s="18"/>
      <c r="H49" s="18"/>
      <c r="I49" s="18"/>
      <c r="J49" s="86"/>
      <c r="K49" s="108"/>
      <c r="S49" s="117"/>
      <c r="T49" s="287"/>
      <c r="U49" s="287"/>
      <c r="V49" s="287"/>
      <c r="W49" s="287"/>
      <c r="X49" s="126"/>
      <c r="Y49" s="125"/>
    </row>
    <row r="50" spans="1:25" x14ac:dyDescent="0.3">
      <c r="A50" s="335"/>
      <c r="B50" s="3" t="s">
        <v>133</v>
      </c>
      <c r="C50" s="334"/>
      <c r="D50" s="334"/>
      <c r="E50" s="334"/>
      <c r="F50" s="334"/>
      <c r="G50" s="5"/>
      <c r="H50" s="5"/>
      <c r="I50" s="5"/>
      <c r="J50" s="87"/>
      <c r="K50" s="108"/>
      <c r="S50" s="117"/>
      <c r="T50" s="287"/>
      <c r="U50" s="287"/>
      <c r="V50" s="287"/>
      <c r="W50" s="287"/>
      <c r="X50" s="126"/>
      <c r="Y50" s="125"/>
    </row>
    <row r="51" spans="1:25" ht="15" thickBot="1" x14ac:dyDescent="0.35">
      <c r="A51" s="335"/>
      <c r="B51" s="7" t="s">
        <v>35</v>
      </c>
      <c r="C51" s="337"/>
      <c r="D51" s="337"/>
      <c r="E51" s="337"/>
      <c r="F51" s="337"/>
      <c r="G51" s="8"/>
      <c r="H51" s="8"/>
      <c r="I51" s="8"/>
      <c r="J51" s="87"/>
      <c r="K51" s="108"/>
      <c r="S51" s="117"/>
      <c r="T51" s="287"/>
      <c r="U51" s="287"/>
      <c r="V51" s="287"/>
      <c r="W51" s="287"/>
      <c r="X51" s="126"/>
      <c r="Y51" s="125"/>
    </row>
    <row r="52" spans="1:25" ht="15" thickBot="1" x14ac:dyDescent="0.35">
      <c r="A52" s="335"/>
      <c r="B52" s="334"/>
      <c r="C52" s="334"/>
      <c r="D52" s="334"/>
      <c r="E52" s="334"/>
      <c r="F52" s="334"/>
      <c r="G52" s="5"/>
      <c r="H52" s="5"/>
      <c r="I52" s="5"/>
      <c r="J52" s="5"/>
      <c r="K52" s="193"/>
      <c r="S52" s="117"/>
      <c r="T52" s="287"/>
      <c r="U52" s="287"/>
      <c r="V52" s="287"/>
      <c r="W52" s="287"/>
      <c r="X52" s="126"/>
      <c r="Y52" s="125"/>
    </row>
    <row r="53" spans="1:25" ht="15" thickTop="1" x14ac:dyDescent="0.3">
      <c r="A53" s="106"/>
      <c r="B53" s="25"/>
      <c r="C53" s="25"/>
      <c r="D53" s="25"/>
      <c r="E53" s="25"/>
      <c r="F53" s="25"/>
      <c r="G53" s="26"/>
      <c r="H53" s="26"/>
      <c r="I53" s="26"/>
      <c r="J53" s="26"/>
      <c r="K53" s="108"/>
      <c r="S53" s="117"/>
      <c r="T53" s="287"/>
      <c r="U53" s="287"/>
      <c r="V53" s="287"/>
      <c r="W53" s="287"/>
      <c r="X53" s="126"/>
      <c r="Y53" s="125"/>
    </row>
    <row r="54" spans="1:25" ht="21" x14ac:dyDescent="0.4">
      <c r="A54" s="335"/>
      <c r="B54" s="334"/>
      <c r="C54" s="334"/>
      <c r="D54" s="334"/>
      <c r="E54" s="334"/>
      <c r="F54" s="333" t="s">
        <v>121</v>
      </c>
      <c r="G54" s="5"/>
      <c r="H54" s="5"/>
      <c r="I54" s="5"/>
      <c r="J54" s="5"/>
      <c r="K54" s="108"/>
      <c r="S54" s="122"/>
      <c r="T54" s="17"/>
      <c r="U54" s="17"/>
      <c r="V54" s="17"/>
      <c r="W54" s="17"/>
      <c r="X54" s="126"/>
      <c r="Y54" s="125"/>
    </row>
    <row r="55" spans="1:25" x14ac:dyDescent="0.3">
      <c r="A55" s="335"/>
      <c r="B55" s="334"/>
      <c r="C55" s="334"/>
      <c r="D55" s="334"/>
      <c r="E55" s="334"/>
      <c r="F55" s="28"/>
      <c r="G55" s="5"/>
      <c r="H55" s="5"/>
      <c r="I55" s="5"/>
      <c r="J55" s="5"/>
      <c r="K55" s="108"/>
      <c r="S55" s="122"/>
      <c r="T55" s="17"/>
      <c r="U55" s="17"/>
      <c r="V55" s="17"/>
      <c r="W55" s="17"/>
      <c r="X55" s="126"/>
      <c r="Y55" s="125"/>
    </row>
    <row r="56" spans="1:25" x14ac:dyDescent="0.3">
      <c r="A56" s="335"/>
      <c r="B56" s="334"/>
      <c r="C56" s="40">
        <v>43267</v>
      </c>
      <c r="D56" s="49" t="s">
        <v>3</v>
      </c>
      <c r="E56" s="49" t="s">
        <v>152</v>
      </c>
      <c r="F56" s="49">
        <v>2</v>
      </c>
      <c r="G56" s="51">
        <v>1</v>
      </c>
      <c r="H56" s="5"/>
      <c r="I56" s="5" t="s">
        <v>433</v>
      </c>
      <c r="J56" s="5"/>
      <c r="K56" s="108"/>
      <c r="S56" s="122" t="s">
        <v>3</v>
      </c>
      <c r="T56" s="17" t="s">
        <v>152</v>
      </c>
      <c r="U56" s="17">
        <v>2</v>
      </c>
      <c r="V56" s="17">
        <v>1</v>
      </c>
      <c r="W56" s="17"/>
      <c r="X56" s="126">
        <f t="shared" ref="X56:X60" si="11">(IF(U56&gt;V56,3,IF(U56=V56,1,2)))</f>
        <v>3</v>
      </c>
      <c r="Y56" s="125">
        <f t="shared" ref="Y56:Y60" si="12">(IF(V56&gt;U56,3,IF(U56=V56,1,2)))</f>
        <v>2</v>
      </c>
    </row>
    <row r="57" spans="1:25" ht="15" thickBot="1" x14ac:dyDescent="0.35">
      <c r="A57" s="335"/>
      <c r="B57" s="334"/>
      <c r="C57" s="58"/>
      <c r="D57" s="79"/>
      <c r="E57" s="79"/>
      <c r="F57" s="79" t="s">
        <v>170</v>
      </c>
      <c r="G57" s="81" t="s">
        <v>171</v>
      </c>
      <c r="H57" s="8"/>
      <c r="I57" s="8"/>
      <c r="J57" s="5"/>
      <c r="K57" s="108"/>
      <c r="S57" s="122" t="s">
        <v>17</v>
      </c>
      <c r="T57" s="17" t="s">
        <v>258</v>
      </c>
      <c r="U57" s="17">
        <v>0</v>
      </c>
      <c r="V57" s="17">
        <v>1</v>
      </c>
      <c r="W57" s="17"/>
      <c r="X57" s="126">
        <f t="shared" si="11"/>
        <v>2</v>
      </c>
      <c r="Y57" s="125">
        <f t="shared" si="12"/>
        <v>3</v>
      </c>
    </row>
    <row r="58" spans="1:25" x14ac:dyDescent="0.3">
      <c r="A58" s="335"/>
      <c r="B58" s="334"/>
      <c r="C58" s="40">
        <v>43267</v>
      </c>
      <c r="D58" s="49" t="s">
        <v>17</v>
      </c>
      <c r="E58" s="49" t="s">
        <v>258</v>
      </c>
      <c r="F58" s="49">
        <v>0</v>
      </c>
      <c r="G58" s="51">
        <v>1</v>
      </c>
      <c r="H58" s="5"/>
      <c r="I58" s="5" t="s">
        <v>434</v>
      </c>
      <c r="J58" s="5"/>
      <c r="K58" s="108"/>
      <c r="S58" s="122" t="s">
        <v>258</v>
      </c>
      <c r="T58" s="17" t="s">
        <v>152</v>
      </c>
      <c r="U58" s="17">
        <v>1</v>
      </c>
      <c r="V58" s="17">
        <v>1</v>
      </c>
      <c r="W58" s="17"/>
      <c r="X58" s="126">
        <f t="shared" si="11"/>
        <v>1</v>
      </c>
      <c r="Y58" s="125">
        <f t="shared" si="12"/>
        <v>1</v>
      </c>
    </row>
    <row r="59" spans="1:25" ht="15" thickBot="1" x14ac:dyDescent="0.35">
      <c r="A59" s="335"/>
      <c r="B59" s="334"/>
      <c r="C59" s="58"/>
      <c r="D59" s="79"/>
      <c r="E59" s="79"/>
      <c r="F59" s="79" t="s">
        <v>170</v>
      </c>
      <c r="G59" s="81" t="s">
        <v>171</v>
      </c>
      <c r="H59" s="8"/>
      <c r="I59" s="8"/>
      <c r="J59" s="5"/>
      <c r="K59" s="108"/>
      <c r="S59" s="122" t="s">
        <v>3</v>
      </c>
      <c r="T59" s="17" t="s">
        <v>17</v>
      </c>
      <c r="U59" s="17">
        <v>1</v>
      </c>
      <c r="V59" s="17">
        <v>0</v>
      </c>
      <c r="W59" s="17"/>
      <c r="X59" s="126">
        <f t="shared" si="11"/>
        <v>3</v>
      </c>
      <c r="Y59" s="125">
        <f t="shared" si="12"/>
        <v>2</v>
      </c>
    </row>
    <row r="60" spans="1:25" x14ac:dyDescent="0.3">
      <c r="A60" s="335"/>
      <c r="B60" s="334"/>
      <c r="C60" s="40">
        <v>43272</v>
      </c>
      <c r="D60" s="49" t="s">
        <v>258</v>
      </c>
      <c r="E60" s="49" t="s">
        <v>152</v>
      </c>
      <c r="F60" s="49">
        <v>1</v>
      </c>
      <c r="G60" s="51">
        <v>1</v>
      </c>
      <c r="H60" s="5"/>
      <c r="I60" s="5" t="s">
        <v>430</v>
      </c>
      <c r="J60" s="5"/>
      <c r="K60" s="108"/>
      <c r="S60" s="122" t="s">
        <v>258</v>
      </c>
      <c r="T60" s="17" t="s">
        <v>3</v>
      </c>
      <c r="U60" s="17">
        <v>0</v>
      </c>
      <c r="V60" s="17">
        <v>0</v>
      </c>
      <c r="W60" s="17"/>
      <c r="X60" s="126">
        <f t="shared" si="11"/>
        <v>1</v>
      </c>
      <c r="Y60" s="125">
        <f t="shared" si="12"/>
        <v>1</v>
      </c>
    </row>
    <row r="61" spans="1:25" ht="15" thickBot="1" x14ac:dyDescent="0.35">
      <c r="A61" s="335"/>
      <c r="B61" s="334"/>
      <c r="C61" s="58"/>
      <c r="D61" s="79"/>
      <c r="E61" s="79"/>
      <c r="F61" s="79" t="s">
        <v>172</v>
      </c>
      <c r="G61" s="81" t="s">
        <v>183</v>
      </c>
      <c r="H61" s="8"/>
      <c r="I61" s="8"/>
      <c r="J61" s="5"/>
      <c r="K61" s="108"/>
      <c r="S61" s="117" t="s">
        <v>152</v>
      </c>
      <c r="T61" s="331" t="s">
        <v>17</v>
      </c>
      <c r="U61" s="331">
        <v>0</v>
      </c>
      <c r="V61" s="331">
        <v>2</v>
      </c>
      <c r="W61" s="17"/>
      <c r="X61" s="126">
        <f t="shared" ref="X61" si="13">(IF(U61&gt;V61,3,IF(U61=V61,1,2)))</f>
        <v>2</v>
      </c>
      <c r="Y61" s="125">
        <f t="shared" ref="Y61" si="14">(IF(V61&gt;U61,3,IF(U61=V61,1,2)))</f>
        <v>3</v>
      </c>
    </row>
    <row r="62" spans="1:25" x14ac:dyDescent="0.3">
      <c r="A62" s="335"/>
      <c r="B62" s="334"/>
      <c r="C62" s="269">
        <v>43272</v>
      </c>
      <c r="D62" s="270" t="s">
        <v>3</v>
      </c>
      <c r="E62" s="270" t="s">
        <v>17</v>
      </c>
      <c r="F62" s="270">
        <v>1</v>
      </c>
      <c r="G62" s="271">
        <v>0</v>
      </c>
      <c r="H62" s="20"/>
      <c r="I62" s="20" t="s">
        <v>427</v>
      </c>
      <c r="J62" s="5"/>
      <c r="K62" s="108"/>
      <c r="S62" s="117"/>
      <c r="T62" s="331"/>
      <c r="U62" s="331"/>
      <c r="V62" s="331"/>
      <c r="W62" s="17"/>
      <c r="X62" s="126"/>
      <c r="Y62" s="125"/>
    </row>
    <row r="63" spans="1:25" ht="15" thickBot="1" x14ac:dyDescent="0.35">
      <c r="A63" s="335"/>
      <c r="B63" s="334"/>
      <c r="C63" s="58"/>
      <c r="D63" s="79"/>
      <c r="E63" s="79"/>
      <c r="F63" s="79" t="s">
        <v>172</v>
      </c>
      <c r="G63" s="81" t="s">
        <v>171</v>
      </c>
      <c r="H63" s="8"/>
      <c r="I63" s="8"/>
      <c r="J63" s="5"/>
      <c r="K63" s="108"/>
      <c r="S63" s="117"/>
      <c r="T63" s="331"/>
      <c r="U63" s="331"/>
      <c r="V63" s="331"/>
      <c r="W63" s="17"/>
      <c r="X63" s="126"/>
      <c r="Y63" s="125"/>
    </row>
    <row r="64" spans="1:25" ht="15" thickBot="1" x14ac:dyDescent="0.35">
      <c r="A64" s="335"/>
      <c r="B64" s="334"/>
      <c r="C64" s="88">
        <v>43277</v>
      </c>
      <c r="D64" s="89" t="s">
        <v>258</v>
      </c>
      <c r="E64" s="89" t="s">
        <v>3</v>
      </c>
      <c r="F64" s="89">
        <v>0</v>
      </c>
      <c r="G64" s="90">
        <v>0</v>
      </c>
      <c r="H64" s="91"/>
      <c r="I64" s="91" t="s">
        <v>426</v>
      </c>
      <c r="J64" s="5"/>
      <c r="K64" s="108"/>
      <c r="S64" s="117"/>
      <c r="T64" s="331"/>
      <c r="U64" s="331"/>
      <c r="V64" s="331"/>
      <c r="W64" s="17"/>
      <c r="X64" s="126"/>
      <c r="Y64" s="125"/>
    </row>
    <row r="65" spans="1:25" x14ac:dyDescent="0.3">
      <c r="A65" s="335"/>
      <c r="B65" s="334"/>
      <c r="C65" s="40">
        <v>43277</v>
      </c>
      <c r="D65" s="49" t="s">
        <v>152</v>
      </c>
      <c r="E65" s="49" t="s">
        <v>17</v>
      </c>
      <c r="F65" s="49">
        <v>0</v>
      </c>
      <c r="G65" s="51">
        <v>2</v>
      </c>
      <c r="H65" s="5"/>
      <c r="I65" s="5" t="s">
        <v>432</v>
      </c>
      <c r="J65" s="5"/>
      <c r="K65" s="108"/>
      <c r="S65" s="117"/>
      <c r="T65" s="287"/>
      <c r="U65" s="287"/>
      <c r="V65" s="287"/>
      <c r="W65" s="287"/>
      <c r="X65" s="126"/>
      <c r="Y65" s="125"/>
    </row>
    <row r="66" spans="1:25" x14ac:dyDescent="0.3">
      <c r="A66" s="156"/>
      <c r="B66" s="334"/>
      <c r="C66" s="334"/>
      <c r="D66" s="49"/>
      <c r="E66" s="49"/>
      <c r="F66" s="49" t="s">
        <v>170</v>
      </c>
      <c r="G66" s="51" t="s">
        <v>183</v>
      </c>
      <c r="H66" s="5"/>
      <c r="I66" s="5"/>
      <c r="J66" s="5"/>
      <c r="K66" s="108"/>
      <c r="S66" s="117"/>
      <c r="T66" s="287"/>
      <c r="U66" s="287"/>
      <c r="V66" s="287"/>
      <c r="W66" s="287"/>
      <c r="X66" s="126"/>
      <c r="Y66" s="125"/>
    </row>
    <row r="67" spans="1:25" x14ac:dyDescent="0.3">
      <c r="A67" s="156"/>
      <c r="B67" s="334"/>
      <c r="C67" s="334"/>
      <c r="D67" s="334"/>
      <c r="E67" s="334"/>
      <c r="F67" s="334"/>
      <c r="G67" s="5"/>
      <c r="H67" s="5"/>
      <c r="I67" s="5"/>
      <c r="J67" s="5"/>
      <c r="K67" s="108"/>
      <c r="S67" s="117"/>
      <c r="T67" s="287"/>
      <c r="U67" s="287"/>
      <c r="V67" s="287"/>
      <c r="W67" s="287"/>
      <c r="X67" s="126"/>
      <c r="Y67" s="125"/>
    </row>
    <row r="68" spans="1:25" ht="15" thickBot="1" x14ac:dyDescent="0.35">
      <c r="A68" s="335"/>
      <c r="B68" s="334" t="s">
        <v>298</v>
      </c>
      <c r="C68" s="334" t="s">
        <v>12</v>
      </c>
      <c r="D68" s="334" t="s">
        <v>13</v>
      </c>
      <c r="E68" s="334" t="s">
        <v>14</v>
      </c>
      <c r="F68" s="334" t="s">
        <v>15</v>
      </c>
      <c r="G68" s="5" t="s">
        <v>24</v>
      </c>
      <c r="H68" s="5" t="s">
        <v>25</v>
      </c>
      <c r="I68" s="5" t="s">
        <v>301</v>
      </c>
      <c r="J68" s="5"/>
      <c r="K68" s="108"/>
      <c r="S68" s="117"/>
      <c r="T68" s="287"/>
      <c r="U68" s="287"/>
      <c r="V68" s="287"/>
      <c r="W68" s="287"/>
      <c r="X68" s="126"/>
      <c r="Y68" s="125"/>
    </row>
    <row r="69" spans="1:25" x14ac:dyDescent="0.3">
      <c r="A69" s="335" t="s">
        <v>113</v>
      </c>
      <c r="B69" s="14" t="s">
        <v>3</v>
      </c>
      <c r="C69" s="338">
        <v>3</v>
      </c>
      <c r="D69" s="338">
        <v>2</v>
      </c>
      <c r="E69" s="338">
        <v>1</v>
      </c>
      <c r="F69" s="338">
        <v>0</v>
      </c>
      <c r="G69" s="15">
        <v>5</v>
      </c>
      <c r="H69" s="15">
        <v>3</v>
      </c>
      <c r="I69" s="15">
        <v>7</v>
      </c>
      <c r="J69" s="86"/>
      <c r="K69" s="108"/>
      <c r="S69" s="117"/>
      <c r="T69" s="287"/>
      <c r="U69" s="287"/>
      <c r="V69" s="287"/>
      <c r="W69" s="287"/>
      <c r="X69" s="126"/>
      <c r="Y69" s="125"/>
    </row>
    <row r="70" spans="1:25" x14ac:dyDescent="0.3">
      <c r="A70" s="335"/>
      <c r="B70" s="21" t="s">
        <v>152</v>
      </c>
      <c r="C70" s="17"/>
      <c r="D70" s="17"/>
      <c r="E70" s="17"/>
      <c r="F70" s="17"/>
      <c r="G70" s="18"/>
      <c r="H70" s="18"/>
      <c r="I70" s="18"/>
      <c r="J70" s="86"/>
      <c r="K70" s="108"/>
      <c r="S70" s="117"/>
      <c r="T70" s="287"/>
      <c r="U70" s="287"/>
      <c r="V70" s="287"/>
      <c r="W70" s="287"/>
      <c r="X70" s="126"/>
      <c r="Y70" s="125"/>
    </row>
    <row r="71" spans="1:25" x14ac:dyDescent="0.3">
      <c r="A71" s="335"/>
      <c r="B71" s="3" t="s">
        <v>17</v>
      </c>
      <c r="C71" s="334"/>
      <c r="D71" s="334"/>
      <c r="E71" s="334"/>
      <c r="F71" s="334"/>
      <c r="G71" s="5"/>
      <c r="H71" s="5"/>
      <c r="I71" s="5"/>
      <c r="J71" s="87"/>
      <c r="K71" s="108"/>
      <c r="S71" s="117"/>
      <c r="T71" s="287"/>
      <c r="U71" s="287"/>
      <c r="V71" s="287"/>
      <c r="W71" s="287"/>
      <c r="X71" s="126"/>
      <c r="Y71" s="125"/>
    </row>
    <row r="72" spans="1:25" ht="15" thickBot="1" x14ac:dyDescent="0.35">
      <c r="A72" s="335"/>
      <c r="B72" s="7" t="s">
        <v>258</v>
      </c>
      <c r="C72" s="337"/>
      <c r="D72" s="337"/>
      <c r="E72" s="337"/>
      <c r="F72" s="337"/>
      <c r="G72" s="8"/>
      <c r="H72" s="8"/>
      <c r="I72" s="8"/>
      <c r="J72" s="87"/>
      <c r="K72" s="108"/>
      <c r="S72" s="117"/>
      <c r="T72" s="287"/>
      <c r="U72" s="287"/>
      <c r="V72" s="287"/>
      <c r="W72" s="287"/>
      <c r="X72" s="126"/>
      <c r="Y72" s="125"/>
    </row>
    <row r="73" spans="1:25" ht="15" thickBot="1" x14ac:dyDescent="0.35">
      <c r="A73" s="335"/>
      <c r="B73" s="334"/>
      <c r="C73" s="334"/>
      <c r="D73" s="334"/>
      <c r="E73" s="334"/>
      <c r="F73" s="334"/>
      <c r="G73" s="5"/>
      <c r="H73" s="5"/>
      <c r="I73" s="5"/>
      <c r="J73" s="5"/>
      <c r="K73" s="193"/>
      <c r="S73" s="117"/>
      <c r="T73" s="287"/>
      <c r="U73" s="287"/>
      <c r="V73" s="287"/>
      <c r="W73" s="287"/>
      <c r="X73" s="126"/>
      <c r="Y73" s="125"/>
    </row>
    <row r="74" spans="1:25" ht="15" thickTop="1" x14ac:dyDescent="0.3">
      <c r="A74" s="106"/>
      <c r="B74" s="25"/>
      <c r="C74" s="25"/>
      <c r="D74" s="25"/>
      <c r="E74" s="25"/>
      <c r="F74" s="25"/>
      <c r="G74" s="26"/>
      <c r="H74" s="26"/>
      <c r="I74" s="26"/>
      <c r="J74" s="26"/>
      <c r="K74" s="108"/>
      <c r="S74" s="117"/>
      <c r="T74" s="287"/>
      <c r="U74" s="287"/>
      <c r="V74" s="287"/>
      <c r="W74" s="287"/>
      <c r="X74" s="126"/>
      <c r="Y74" s="125"/>
    </row>
    <row r="75" spans="1:25" ht="21" x14ac:dyDescent="0.4">
      <c r="A75" s="335"/>
      <c r="B75" s="334"/>
      <c r="C75" s="334"/>
      <c r="D75" s="334"/>
      <c r="E75" s="334"/>
      <c r="F75" s="333" t="s">
        <v>122</v>
      </c>
      <c r="G75" s="5"/>
      <c r="H75" s="5"/>
      <c r="I75" s="5"/>
      <c r="J75" s="5"/>
      <c r="K75" s="108"/>
      <c r="S75" s="117"/>
      <c r="T75" s="287"/>
      <c r="U75" s="287"/>
      <c r="V75" s="287"/>
      <c r="W75" s="287"/>
      <c r="X75" s="126"/>
      <c r="Y75" s="125"/>
    </row>
    <row r="76" spans="1:25" x14ac:dyDescent="0.3">
      <c r="A76" s="335"/>
      <c r="B76" s="334"/>
      <c r="C76" s="334"/>
      <c r="D76" s="334"/>
      <c r="E76" s="334"/>
      <c r="F76" s="28"/>
      <c r="G76" s="5"/>
      <c r="H76" s="5"/>
      <c r="I76" s="5"/>
      <c r="J76" s="5"/>
      <c r="K76" s="108"/>
      <c r="S76" s="117"/>
      <c r="T76" s="287"/>
      <c r="U76" s="287"/>
      <c r="V76" s="287"/>
      <c r="W76" s="287"/>
      <c r="X76" s="126"/>
      <c r="Y76" s="125"/>
    </row>
    <row r="77" spans="1:25" x14ac:dyDescent="0.3">
      <c r="A77" s="335"/>
      <c r="B77" s="334"/>
      <c r="C77" s="40">
        <v>43267</v>
      </c>
      <c r="D77" s="49" t="s">
        <v>5</v>
      </c>
      <c r="E77" s="49" t="s">
        <v>436</v>
      </c>
      <c r="F77" s="49">
        <v>1</v>
      </c>
      <c r="G77" s="51">
        <v>1</v>
      </c>
      <c r="H77" s="5"/>
      <c r="I77" s="5" t="s">
        <v>426</v>
      </c>
      <c r="J77" s="5"/>
      <c r="K77" s="108"/>
      <c r="S77" s="117" t="s">
        <v>5</v>
      </c>
      <c r="T77" s="287" t="s">
        <v>436</v>
      </c>
      <c r="U77" s="287">
        <v>1</v>
      </c>
      <c r="V77" s="287">
        <v>1</v>
      </c>
      <c r="W77" s="287"/>
      <c r="X77" s="126">
        <f t="shared" ref="X77:X82" si="15">(IF(U77&gt;V77,3,IF(U77=V77,1,2)))</f>
        <v>1</v>
      </c>
      <c r="Y77" s="125">
        <f t="shared" ref="Y77:Y82" si="16">(IF(V77&gt;U77,3,IF(U77=V77,1,2)))</f>
        <v>1</v>
      </c>
    </row>
    <row r="78" spans="1:25" ht="15" thickBot="1" x14ac:dyDescent="0.35">
      <c r="A78" s="335"/>
      <c r="B78" s="334"/>
      <c r="C78" s="58"/>
      <c r="D78" s="79"/>
      <c r="E78" s="79"/>
      <c r="F78" s="79" t="s">
        <v>172</v>
      </c>
      <c r="G78" s="81" t="s">
        <v>183</v>
      </c>
      <c r="H78" s="8"/>
      <c r="I78" s="8"/>
      <c r="J78" s="5"/>
      <c r="K78" s="108"/>
      <c r="S78" s="117" t="s">
        <v>353</v>
      </c>
      <c r="T78" s="332" t="s">
        <v>307</v>
      </c>
      <c r="U78" s="332">
        <v>2</v>
      </c>
      <c r="V78" s="332">
        <v>0</v>
      </c>
      <c r="W78" s="287"/>
      <c r="X78" s="126">
        <f t="shared" si="15"/>
        <v>3</v>
      </c>
      <c r="Y78" s="125">
        <f t="shared" si="16"/>
        <v>2</v>
      </c>
    </row>
    <row r="79" spans="1:25" x14ac:dyDescent="0.3">
      <c r="A79" s="335"/>
      <c r="B79" s="334"/>
      <c r="C79" s="40">
        <v>43267</v>
      </c>
      <c r="D79" s="49" t="s">
        <v>353</v>
      </c>
      <c r="E79" s="49" t="s">
        <v>307</v>
      </c>
      <c r="F79" s="49">
        <v>2</v>
      </c>
      <c r="G79" s="51">
        <v>0</v>
      </c>
      <c r="H79" s="5"/>
      <c r="I79" s="5" t="s">
        <v>435</v>
      </c>
      <c r="J79" s="5"/>
      <c r="K79" s="108"/>
      <c r="S79" s="117" t="s">
        <v>5</v>
      </c>
      <c r="T79" s="332" t="s">
        <v>353</v>
      </c>
      <c r="U79" s="332">
        <v>0</v>
      </c>
      <c r="V79" s="332">
        <v>3</v>
      </c>
      <c r="W79" s="287"/>
      <c r="X79" s="126">
        <f t="shared" si="15"/>
        <v>2</v>
      </c>
      <c r="Y79" s="125">
        <f t="shared" si="16"/>
        <v>3</v>
      </c>
    </row>
    <row r="80" spans="1:25" ht="15" thickBot="1" x14ac:dyDescent="0.35">
      <c r="A80" s="335"/>
      <c r="B80" s="334"/>
      <c r="C80" s="58"/>
      <c r="D80" s="79"/>
      <c r="E80" s="79"/>
      <c r="F80" s="79" t="s">
        <v>172</v>
      </c>
      <c r="G80" s="81" t="s">
        <v>171</v>
      </c>
      <c r="H80" s="8"/>
      <c r="I80" s="8"/>
      <c r="J80" s="5"/>
      <c r="K80" s="108"/>
      <c r="S80" s="117" t="s">
        <v>307</v>
      </c>
      <c r="T80" s="332" t="s">
        <v>436</v>
      </c>
      <c r="U80" s="332">
        <v>2</v>
      </c>
      <c r="V80" s="332">
        <v>0</v>
      </c>
      <c r="W80" s="287"/>
      <c r="X80" s="126">
        <f t="shared" si="15"/>
        <v>3</v>
      </c>
      <c r="Y80" s="125">
        <f t="shared" si="16"/>
        <v>2</v>
      </c>
    </row>
    <row r="81" spans="1:25" x14ac:dyDescent="0.3">
      <c r="A81" s="335"/>
      <c r="B81" s="334"/>
      <c r="C81" s="40">
        <v>43272</v>
      </c>
      <c r="D81" s="49" t="s">
        <v>5</v>
      </c>
      <c r="E81" s="49" t="s">
        <v>353</v>
      </c>
      <c r="F81" s="49">
        <v>0</v>
      </c>
      <c r="G81" s="51">
        <v>3</v>
      </c>
      <c r="H81" s="5"/>
      <c r="I81" s="5" t="s">
        <v>437</v>
      </c>
      <c r="J81" s="5"/>
      <c r="K81" s="108"/>
      <c r="S81" s="117" t="s">
        <v>307</v>
      </c>
      <c r="T81" s="332" t="s">
        <v>5</v>
      </c>
      <c r="U81" s="332">
        <v>1</v>
      </c>
      <c r="V81" s="332">
        <v>2</v>
      </c>
      <c r="W81" s="287"/>
      <c r="X81" s="126">
        <f t="shared" si="15"/>
        <v>2</v>
      </c>
      <c r="Y81" s="125">
        <f t="shared" si="16"/>
        <v>3</v>
      </c>
    </row>
    <row r="82" spans="1:25" ht="15" thickBot="1" x14ac:dyDescent="0.35">
      <c r="A82" s="335"/>
      <c r="B82" s="334"/>
      <c r="C82" s="58"/>
      <c r="D82" s="79"/>
      <c r="E82" s="79"/>
      <c r="F82" s="79" t="s">
        <v>170</v>
      </c>
      <c r="G82" s="81" t="s">
        <v>171</v>
      </c>
      <c r="H82" s="8"/>
      <c r="I82" s="8"/>
      <c r="J82" s="5"/>
      <c r="K82" s="108"/>
      <c r="S82" s="117" t="s">
        <v>436</v>
      </c>
      <c r="T82" s="332" t="s">
        <v>353</v>
      </c>
      <c r="U82" s="332">
        <v>1</v>
      </c>
      <c r="V82" s="332">
        <v>2</v>
      </c>
      <c r="W82" s="287"/>
      <c r="X82" s="126">
        <f t="shared" si="15"/>
        <v>2</v>
      </c>
      <c r="Y82" s="125">
        <f t="shared" si="16"/>
        <v>3</v>
      </c>
    </row>
    <row r="83" spans="1:25" x14ac:dyDescent="0.3">
      <c r="A83" s="335"/>
      <c r="B83" s="334"/>
      <c r="C83" s="40">
        <v>43273</v>
      </c>
      <c r="D83" s="49" t="s">
        <v>307</v>
      </c>
      <c r="E83" s="49" t="s">
        <v>436</v>
      </c>
      <c r="F83" s="49">
        <v>2</v>
      </c>
      <c r="G83" s="51">
        <v>0</v>
      </c>
      <c r="H83" s="5"/>
      <c r="I83" s="5" t="s">
        <v>431</v>
      </c>
      <c r="J83" s="5"/>
      <c r="K83" s="108"/>
      <c r="S83" s="117"/>
      <c r="T83" s="332"/>
      <c r="U83" s="332"/>
      <c r="V83" s="332"/>
      <c r="W83" s="287"/>
      <c r="X83" s="126"/>
      <c r="Y83" s="125"/>
    </row>
    <row r="84" spans="1:25" ht="15" thickBot="1" x14ac:dyDescent="0.35">
      <c r="A84" s="335"/>
      <c r="B84" s="334"/>
      <c r="C84" s="58"/>
      <c r="D84" s="79"/>
      <c r="E84" s="79"/>
      <c r="F84" s="79" t="s">
        <v>170</v>
      </c>
      <c r="G84" s="81" t="s">
        <v>171</v>
      </c>
      <c r="H84" s="8"/>
      <c r="I84" s="8"/>
      <c r="J84" s="5"/>
      <c r="K84" s="108"/>
      <c r="S84" s="117"/>
      <c r="T84" s="332"/>
      <c r="U84" s="332"/>
      <c r="V84" s="332"/>
      <c r="W84" s="287"/>
      <c r="X84" s="126"/>
      <c r="Y84" s="125"/>
    </row>
    <row r="85" spans="1:25" x14ac:dyDescent="0.3">
      <c r="A85" s="335"/>
      <c r="B85" s="334"/>
      <c r="C85" s="40">
        <v>43277</v>
      </c>
      <c r="D85" s="49" t="s">
        <v>307</v>
      </c>
      <c r="E85" s="49" t="s">
        <v>5</v>
      </c>
      <c r="F85" s="49">
        <v>1</v>
      </c>
      <c r="G85" s="51">
        <v>2</v>
      </c>
      <c r="H85" s="5"/>
      <c r="I85" s="5" t="s">
        <v>428</v>
      </c>
      <c r="J85" s="5"/>
      <c r="K85" s="108"/>
      <c r="S85" s="117"/>
      <c r="T85" s="332"/>
      <c r="U85" s="332"/>
      <c r="V85" s="332"/>
      <c r="W85" s="287"/>
      <c r="X85" s="126"/>
      <c r="Y85" s="125"/>
    </row>
    <row r="86" spans="1:25" ht="15" thickBot="1" x14ac:dyDescent="0.35">
      <c r="A86" s="335"/>
      <c r="B86" s="334"/>
      <c r="C86" s="58"/>
      <c r="D86" s="79"/>
      <c r="E86" s="79"/>
      <c r="F86" s="79" t="s">
        <v>170</v>
      </c>
      <c r="G86" s="81" t="s">
        <v>183</v>
      </c>
      <c r="H86" s="8"/>
      <c r="I86" s="8"/>
      <c r="J86" s="5"/>
      <c r="K86" s="108"/>
      <c r="S86" s="117"/>
      <c r="T86" s="332"/>
      <c r="U86" s="332"/>
      <c r="V86" s="332"/>
      <c r="W86" s="287"/>
      <c r="X86" s="126"/>
      <c r="Y86" s="125"/>
    </row>
    <row r="87" spans="1:25" x14ac:dyDescent="0.3">
      <c r="A87" s="335"/>
      <c r="B87" s="17"/>
      <c r="C87" s="40">
        <v>43277</v>
      </c>
      <c r="D87" s="43" t="s">
        <v>436</v>
      </c>
      <c r="E87" s="43" t="s">
        <v>353</v>
      </c>
      <c r="F87" s="49">
        <v>1</v>
      </c>
      <c r="G87" s="51">
        <v>2</v>
      </c>
      <c r="H87" s="5"/>
      <c r="I87" s="5" t="s">
        <v>438</v>
      </c>
      <c r="J87" s="5"/>
      <c r="K87" s="108"/>
      <c r="S87" s="117"/>
      <c r="T87" s="287"/>
      <c r="U87" s="287"/>
      <c r="V87" s="287"/>
      <c r="W87" s="287"/>
      <c r="X87" s="287"/>
      <c r="Y87" s="118"/>
    </row>
    <row r="88" spans="1:25" x14ac:dyDescent="0.3">
      <c r="A88" s="156"/>
      <c r="B88" s="17"/>
      <c r="C88" s="17"/>
      <c r="D88" s="43"/>
      <c r="E88" s="43"/>
      <c r="F88" s="49" t="s">
        <v>170</v>
      </c>
      <c r="G88" s="51" t="s">
        <v>171</v>
      </c>
      <c r="H88" s="5"/>
      <c r="I88" s="5"/>
      <c r="J88" s="5"/>
      <c r="K88" s="108"/>
      <c r="S88" s="117"/>
      <c r="T88" s="287"/>
      <c r="U88" s="287"/>
      <c r="V88" s="287"/>
      <c r="W88" s="287"/>
      <c r="X88" s="126"/>
      <c r="Y88" s="125"/>
    </row>
    <row r="89" spans="1:25" x14ac:dyDescent="0.3">
      <c r="A89" s="156"/>
      <c r="B89" s="17"/>
      <c r="C89" s="17"/>
      <c r="D89" s="17"/>
      <c r="E89" s="17"/>
      <c r="F89" s="334"/>
      <c r="G89" s="5"/>
      <c r="H89" s="5"/>
      <c r="I89" s="5"/>
      <c r="J89" s="5"/>
      <c r="K89" s="108"/>
      <c r="S89" s="117"/>
      <c r="T89" s="287"/>
      <c r="U89" s="287"/>
      <c r="V89" s="287"/>
      <c r="W89" s="287"/>
      <c r="X89" s="126"/>
      <c r="Y89" s="125"/>
    </row>
    <row r="90" spans="1:25" ht="15" thickBot="1" x14ac:dyDescent="0.35">
      <c r="A90" s="335"/>
      <c r="B90" s="334" t="s">
        <v>298</v>
      </c>
      <c r="C90" s="334" t="s">
        <v>12</v>
      </c>
      <c r="D90" s="334" t="s">
        <v>13</v>
      </c>
      <c r="E90" s="334" t="s">
        <v>14</v>
      </c>
      <c r="F90" s="334" t="s">
        <v>15</v>
      </c>
      <c r="G90" s="5" t="s">
        <v>24</v>
      </c>
      <c r="H90" s="5" t="s">
        <v>25</v>
      </c>
      <c r="I90" s="5" t="s">
        <v>301</v>
      </c>
      <c r="J90" s="5"/>
      <c r="K90" s="108"/>
      <c r="S90" s="117"/>
      <c r="T90" s="287"/>
      <c r="U90" s="287"/>
      <c r="V90" s="287"/>
      <c r="W90" s="287"/>
      <c r="X90" s="126"/>
      <c r="Y90" s="125"/>
    </row>
    <row r="91" spans="1:25" x14ac:dyDescent="0.3">
      <c r="A91" s="335" t="s">
        <v>113</v>
      </c>
      <c r="B91" s="14" t="s">
        <v>5</v>
      </c>
      <c r="C91" s="338">
        <v>3</v>
      </c>
      <c r="D91" s="338">
        <v>2</v>
      </c>
      <c r="E91" s="338">
        <v>0</v>
      </c>
      <c r="F91" s="338">
        <v>1</v>
      </c>
      <c r="G91" s="15">
        <v>6</v>
      </c>
      <c r="H91" s="15">
        <v>2</v>
      </c>
      <c r="I91" s="15">
        <v>6</v>
      </c>
      <c r="J91" s="86"/>
      <c r="K91" s="108"/>
      <c r="S91" s="117"/>
      <c r="T91" s="287"/>
      <c r="U91" s="287"/>
      <c r="V91" s="287"/>
      <c r="W91" s="287"/>
      <c r="X91" s="126"/>
      <c r="Y91" s="125"/>
    </row>
    <row r="92" spans="1:25" x14ac:dyDescent="0.3">
      <c r="A92" s="335"/>
      <c r="B92" s="21" t="s">
        <v>436</v>
      </c>
      <c r="C92" s="17"/>
      <c r="D92" s="17"/>
      <c r="E92" s="17"/>
      <c r="F92" s="17"/>
      <c r="G92" s="18"/>
      <c r="H92" s="18"/>
      <c r="I92" s="18"/>
      <c r="J92" s="86"/>
      <c r="K92" s="108"/>
      <c r="S92" s="117"/>
      <c r="T92" s="287"/>
      <c r="U92" s="287"/>
      <c r="V92" s="287"/>
      <c r="W92" s="287"/>
      <c r="X92" s="287"/>
      <c r="Y92" s="118"/>
    </row>
    <row r="93" spans="1:25" x14ac:dyDescent="0.3">
      <c r="A93" s="335"/>
      <c r="B93" s="3" t="s">
        <v>353</v>
      </c>
      <c r="C93" s="334"/>
      <c r="D93" s="334"/>
      <c r="E93" s="334"/>
      <c r="F93" s="334"/>
      <c r="G93" s="5"/>
      <c r="H93" s="5"/>
      <c r="I93" s="5"/>
      <c r="J93" s="87"/>
      <c r="K93" s="108"/>
      <c r="S93" s="117"/>
      <c r="T93" s="287"/>
      <c r="U93" s="287"/>
      <c r="V93" s="287"/>
      <c r="W93" s="287"/>
      <c r="X93" s="287"/>
      <c r="Y93" s="118"/>
    </row>
    <row r="94" spans="1:25" ht="15" thickBot="1" x14ac:dyDescent="0.35">
      <c r="A94" s="335"/>
      <c r="B94" s="7" t="s">
        <v>307</v>
      </c>
      <c r="C94" s="337"/>
      <c r="D94" s="337"/>
      <c r="E94" s="337"/>
      <c r="F94" s="337"/>
      <c r="G94" s="8"/>
      <c r="H94" s="8"/>
      <c r="I94" s="8"/>
      <c r="J94" s="87"/>
      <c r="K94" s="108"/>
      <c r="S94" s="117"/>
      <c r="T94" s="287"/>
      <c r="U94" s="287"/>
      <c r="V94" s="287"/>
      <c r="W94" s="287"/>
      <c r="X94" s="287"/>
      <c r="Y94" s="118"/>
    </row>
    <row r="95" spans="1:25" ht="15" thickBot="1" x14ac:dyDescent="0.35">
      <c r="A95" s="335"/>
      <c r="B95" s="334"/>
      <c r="C95" s="334"/>
      <c r="D95" s="334"/>
      <c r="E95" s="334"/>
      <c r="F95" s="334"/>
      <c r="G95" s="5"/>
      <c r="H95" s="5"/>
      <c r="I95" s="5"/>
      <c r="J95" s="5"/>
      <c r="K95" s="193"/>
      <c r="S95" s="117"/>
      <c r="T95" s="287"/>
      <c r="U95" s="287"/>
      <c r="V95" s="287"/>
      <c r="W95" s="287"/>
      <c r="X95" s="126"/>
      <c r="Y95" s="125"/>
    </row>
    <row r="96" spans="1:25" ht="15" thickTop="1" x14ac:dyDescent="0.3">
      <c r="A96" s="106"/>
      <c r="B96" s="25"/>
      <c r="C96" s="25"/>
      <c r="D96" s="25"/>
      <c r="E96" s="25"/>
      <c r="F96" s="25"/>
      <c r="G96" s="26"/>
      <c r="H96" s="26"/>
      <c r="I96" s="26"/>
      <c r="J96" s="26"/>
      <c r="K96" s="108"/>
      <c r="S96" s="117"/>
      <c r="T96" s="287"/>
      <c r="U96" s="287"/>
      <c r="V96" s="287"/>
      <c r="W96" s="287"/>
      <c r="X96" s="126"/>
      <c r="Y96" s="125"/>
    </row>
    <row r="97" spans="1:25" ht="21" x14ac:dyDescent="0.4">
      <c r="A97" s="335"/>
      <c r="B97" s="334"/>
      <c r="C97" s="334"/>
      <c r="D97" s="334"/>
      <c r="E97" s="334"/>
      <c r="F97" s="333" t="s">
        <v>246</v>
      </c>
      <c r="G97" s="5"/>
      <c r="H97" s="5"/>
      <c r="I97" s="5"/>
      <c r="J97" s="5"/>
      <c r="K97" s="108"/>
      <c r="S97" s="117"/>
      <c r="T97" s="287"/>
      <c r="U97" s="287"/>
      <c r="V97" s="287"/>
      <c r="W97" s="287"/>
      <c r="X97" s="126"/>
      <c r="Y97" s="125"/>
    </row>
    <row r="98" spans="1:25" x14ac:dyDescent="0.3">
      <c r="A98" s="335"/>
      <c r="B98" s="334"/>
      <c r="C98" s="334"/>
      <c r="D98" s="334"/>
      <c r="E98" s="334"/>
      <c r="F98" s="28"/>
      <c r="G98" s="5"/>
      <c r="H98" s="5"/>
      <c r="I98" s="5"/>
      <c r="J98" s="5"/>
      <c r="K98" s="108"/>
      <c r="S98" s="117"/>
      <c r="T98" s="287"/>
      <c r="U98" s="287"/>
      <c r="V98" s="287"/>
      <c r="W98" s="287"/>
      <c r="X98" s="126"/>
      <c r="Y98" s="125"/>
    </row>
    <row r="99" spans="1:25" x14ac:dyDescent="0.3">
      <c r="A99" s="335"/>
      <c r="B99" s="334"/>
      <c r="C99" s="40">
        <v>43268</v>
      </c>
      <c r="D99" s="49" t="s">
        <v>286</v>
      </c>
      <c r="E99" s="49" t="s">
        <v>408</v>
      </c>
      <c r="F99" s="49">
        <v>0</v>
      </c>
      <c r="G99" s="51">
        <v>1</v>
      </c>
      <c r="H99" s="5"/>
      <c r="I99" s="5" t="s">
        <v>430</v>
      </c>
      <c r="J99" s="5"/>
      <c r="K99" s="108"/>
      <c r="S99" s="117" t="s">
        <v>286</v>
      </c>
      <c r="T99" s="287" t="s">
        <v>408</v>
      </c>
      <c r="U99" s="287">
        <v>0</v>
      </c>
      <c r="V99" s="287">
        <v>1</v>
      </c>
      <c r="W99" s="287"/>
      <c r="X99" s="126">
        <f t="shared" ref="X99:X102" si="17">(IF(U99&gt;V99,3,IF(U99=V99,1,2)))</f>
        <v>2</v>
      </c>
      <c r="Y99" s="125">
        <f t="shared" ref="Y99:Y102" si="18">(IF(V99&gt;U99,3,IF(U99=V99,1,2)))</f>
        <v>3</v>
      </c>
    </row>
    <row r="100" spans="1:25" ht="15" thickBot="1" x14ac:dyDescent="0.35">
      <c r="A100" s="335"/>
      <c r="B100" s="334"/>
      <c r="C100" s="58"/>
      <c r="D100" s="79"/>
      <c r="E100" s="79"/>
      <c r="F100" s="79" t="s">
        <v>170</v>
      </c>
      <c r="G100" s="81" t="s">
        <v>171</v>
      </c>
      <c r="H100" s="8"/>
      <c r="I100" s="8"/>
      <c r="J100" s="5"/>
      <c r="K100" s="108"/>
      <c r="S100" s="117" t="s">
        <v>9</v>
      </c>
      <c r="T100" s="332" t="s">
        <v>43</v>
      </c>
      <c r="U100" s="332">
        <v>1</v>
      </c>
      <c r="V100" s="332">
        <v>1</v>
      </c>
      <c r="W100" s="287"/>
      <c r="X100" s="126">
        <f t="shared" si="17"/>
        <v>1</v>
      </c>
      <c r="Y100" s="125">
        <f t="shared" si="18"/>
        <v>1</v>
      </c>
    </row>
    <row r="101" spans="1:25" x14ac:dyDescent="0.3">
      <c r="A101" s="335"/>
      <c r="B101" s="334"/>
      <c r="C101" s="40">
        <v>43268</v>
      </c>
      <c r="D101" s="49" t="s">
        <v>9</v>
      </c>
      <c r="E101" s="49" t="s">
        <v>43</v>
      </c>
      <c r="F101" s="49">
        <v>1</v>
      </c>
      <c r="G101" s="51">
        <v>1</v>
      </c>
      <c r="H101" s="5"/>
      <c r="I101" s="5" t="s">
        <v>438</v>
      </c>
      <c r="J101" s="5"/>
      <c r="K101" s="108"/>
      <c r="S101" s="117" t="s">
        <v>9</v>
      </c>
      <c r="T101" s="332" t="s">
        <v>286</v>
      </c>
      <c r="U101" s="332">
        <v>2</v>
      </c>
      <c r="V101" s="332">
        <v>0</v>
      </c>
      <c r="W101" s="287"/>
      <c r="X101" s="126">
        <f t="shared" si="17"/>
        <v>3</v>
      </c>
      <c r="Y101" s="125">
        <f t="shared" si="18"/>
        <v>2</v>
      </c>
    </row>
    <row r="102" spans="1:25" s="13" customFormat="1" ht="15" thickBot="1" x14ac:dyDescent="0.35">
      <c r="A102" s="335"/>
      <c r="B102" s="334"/>
      <c r="C102" s="58"/>
      <c r="D102" s="79"/>
      <c r="E102" s="79"/>
      <c r="F102" s="79" t="s">
        <v>172</v>
      </c>
      <c r="G102" s="81" t="s">
        <v>171</v>
      </c>
      <c r="H102" s="8"/>
      <c r="I102" s="8"/>
      <c r="J102" s="5"/>
      <c r="K102" s="108"/>
      <c r="S102" s="117" t="s">
        <v>408</v>
      </c>
      <c r="T102" s="332" t="s">
        <v>43</v>
      </c>
      <c r="U102" s="332">
        <v>1</v>
      </c>
      <c r="V102" s="332">
        <v>2</v>
      </c>
      <c r="W102" s="287"/>
      <c r="X102" s="126">
        <f t="shared" si="17"/>
        <v>2</v>
      </c>
      <c r="Y102" s="125">
        <f t="shared" si="18"/>
        <v>3</v>
      </c>
    </row>
    <row r="103" spans="1:25" s="13" customFormat="1" x14ac:dyDescent="0.3">
      <c r="A103" s="335"/>
      <c r="B103" s="334"/>
      <c r="C103" s="40">
        <v>43273</v>
      </c>
      <c r="D103" s="49" t="s">
        <v>9</v>
      </c>
      <c r="E103" s="49" t="s">
        <v>286</v>
      </c>
      <c r="F103" s="49">
        <v>2</v>
      </c>
      <c r="G103" s="51">
        <v>0</v>
      </c>
      <c r="H103" s="5"/>
      <c r="I103" s="5" t="s">
        <v>428</v>
      </c>
      <c r="J103" s="5"/>
      <c r="K103" s="108"/>
      <c r="S103" s="117" t="s">
        <v>408</v>
      </c>
      <c r="T103" s="332" t="s">
        <v>9</v>
      </c>
      <c r="U103" s="332">
        <v>0</v>
      </c>
      <c r="V103" s="332">
        <v>2</v>
      </c>
      <c r="W103" s="287"/>
      <c r="X103" s="126">
        <f t="shared" ref="X103:X104" si="19">(IF(U103&gt;V103,3,IF(U103=V103,1,2)))</f>
        <v>2</v>
      </c>
      <c r="Y103" s="125">
        <f t="shared" ref="Y103:Y104" si="20">(IF(V103&gt;U103,3,IF(U103=V103,1,2)))</f>
        <v>3</v>
      </c>
    </row>
    <row r="104" spans="1:25" s="13" customFormat="1" ht="15" thickBot="1" x14ac:dyDescent="0.35">
      <c r="A104" s="335"/>
      <c r="B104" s="334"/>
      <c r="C104" s="58"/>
      <c r="D104" s="79"/>
      <c r="E104" s="79"/>
      <c r="F104" s="79" t="s">
        <v>170</v>
      </c>
      <c r="G104" s="81" t="s">
        <v>171</v>
      </c>
      <c r="H104" s="8"/>
      <c r="I104" s="8"/>
      <c r="J104" s="5"/>
      <c r="K104" s="108"/>
      <c r="S104" s="117" t="s">
        <v>43</v>
      </c>
      <c r="T104" s="332" t="s">
        <v>286</v>
      </c>
      <c r="U104" s="332">
        <v>2</v>
      </c>
      <c r="V104" s="332">
        <v>2</v>
      </c>
      <c r="W104" s="287"/>
      <c r="X104" s="126">
        <f t="shared" si="19"/>
        <v>1</v>
      </c>
      <c r="Y104" s="125">
        <f t="shared" si="20"/>
        <v>1</v>
      </c>
    </row>
    <row r="105" spans="1:25" x14ac:dyDescent="0.3">
      <c r="A105" s="335"/>
      <c r="B105" s="334"/>
      <c r="C105" s="40">
        <v>43273</v>
      </c>
      <c r="D105" s="49" t="s">
        <v>408</v>
      </c>
      <c r="E105" s="49" t="s">
        <v>43</v>
      </c>
      <c r="F105" s="49">
        <v>1</v>
      </c>
      <c r="G105" s="51">
        <v>2</v>
      </c>
      <c r="H105" s="5"/>
      <c r="I105" s="5" t="s">
        <v>435</v>
      </c>
      <c r="J105" s="5"/>
      <c r="K105" s="108"/>
      <c r="S105" s="117"/>
      <c r="T105" s="332"/>
      <c r="U105" s="332"/>
      <c r="V105" s="332"/>
      <c r="W105" s="287"/>
      <c r="X105" s="126"/>
      <c r="Y105" s="125"/>
    </row>
    <row r="106" spans="1:25" ht="15" thickBot="1" x14ac:dyDescent="0.35">
      <c r="A106" s="335"/>
      <c r="B106" s="334"/>
      <c r="C106" s="58"/>
      <c r="D106" s="79"/>
      <c r="E106" s="79"/>
      <c r="F106" s="79" t="s">
        <v>172</v>
      </c>
      <c r="G106" s="81" t="s">
        <v>171</v>
      </c>
      <c r="H106" s="8"/>
      <c r="I106" s="8"/>
      <c r="J106" s="5"/>
      <c r="K106" s="108"/>
      <c r="S106" s="117"/>
      <c r="T106" s="332"/>
      <c r="U106" s="332"/>
      <c r="V106" s="332"/>
      <c r="W106" s="287"/>
      <c r="X106" s="126"/>
      <c r="Y106" s="125"/>
    </row>
    <row r="107" spans="1:25" x14ac:dyDescent="0.3">
      <c r="A107" s="335"/>
      <c r="B107" s="334"/>
      <c r="C107" s="269">
        <v>43278</v>
      </c>
      <c r="D107" s="270" t="s">
        <v>408</v>
      </c>
      <c r="E107" s="270" t="s">
        <v>9</v>
      </c>
      <c r="F107" s="270">
        <v>0</v>
      </c>
      <c r="G107" s="271">
        <v>2</v>
      </c>
      <c r="H107" s="20"/>
      <c r="I107" s="20" t="s">
        <v>426</v>
      </c>
      <c r="J107" s="5"/>
      <c r="K107" s="108"/>
      <c r="S107" s="117"/>
      <c r="T107" s="332"/>
      <c r="U107" s="332"/>
      <c r="V107" s="332"/>
      <c r="W107" s="287"/>
      <c r="X107" s="126"/>
      <c r="Y107" s="125"/>
    </row>
    <row r="108" spans="1:25" ht="15" thickBot="1" x14ac:dyDescent="0.35">
      <c r="A108" s="335"/>
      <c r="B108" s="334"/>
      <c r="C108" s="58"/>
      <c r="D108" s="79"/>
      <c r="E108" s="79"/>
      <c r="F108" s="79" t="s">
        <v>170</v>
      </c>
      <c r="G108" s="81" t="s">
        <v>183</v>
      </c>
      <c r="H108" s="8"/>
      <c r="I108" s="8"/>
      <c r="J108" s="5"/>
      <c r="K108" s="108"/>
      <c r="S108" s="117"/>
      <c r="T108" s="332"/>
      <c r="U108" s="332"/>
      <c r="V108" s="332"/>
      <c r="W108" s="332"/>
      <c r="X108" s="126"/>
      <c r="Y108" s="125"/>
    </row>
    <row r="109" spans="1:25" x14ac:dyDescent="0.3">
      <c r="A109" s="335"/>
      <c r="B109" s="17"/>
      <c r="C109" s="40">
        <v>43278</v>
      </c>
      <c r="D109" s="43" t="s">
        <v>43</v>
      </c>
      <c r="E109" s="43" t="s">
        <v>286</v>
      </c>
      <c r="F109" s="49">
        <v>2</v>
      </c>
      <c r="G109" s="51">
        <v>2</v>
      </c>
      <c r="H109" s="5"/>
      <c r="I109" s="5" t="s">
        <v>437</v>
      </c>
      <c r="J109" s="5"/>
      <c r="K109" s="108"/>
      <c r="S109" s="117"/>
      <c r="T109" s="287"/>
      <c r="U109" s="287"/>
      <c r="V109" s="287"/>
      <c r="W109" s="287"/>
      <c r="X109" s="126"/>
      <c r="Y109" s="125"/>
    </row>
    <row r="110" spans="1:25" x14ac:dyDescent="0.3">
      <c r="A110" s="156"/>
      <c r="B110" s="17"/>
      <c r="C110" s="17"/>
      <c r="D110" s="43"/>
      <c r="E110" s="43"/>
      <c r="F110" s="49" t="s">
        <v>172</v>
      </c>
      <c r="G110" s="51" t="s">
        <v>171</v>
      </c>
      <c r="H110" s="5"/>
      <c r="I110" s="5"/>
      <c r="J110" s="5"/>
      <c r="K110" s="108"/>
      <c r="S110" s="117"/>
      <c r="T110" s="287"/>
      <c r="U110" s="287"/>
      <c r="V110" s="287"/>
      <c r="W110" s="287"/>
      <c r="X110" s="126"/>
      <c r="Y110" s="125"/>
    </row>
    <row r="111" spans="1:25" x14ac:dyDescent="0.3">
      <c r="A111" s="156"/>
      <c r="B111" s="17"/>
      <c r="C111" s="17"/>
      <c r="D111" s="17"/>
      <c r="E111" s="17"/>
      <c r="F111" s="334"/>
      <c r="G111" s="5"/>
      <c r="H111" s="5"/>
      <c r="I111" s="5"/>
      <c r="J111" s="5"/>
      <c r="K111" s="108"/>
      <c r="S111" s="117"/>
      <c r="T111" s="287"/>
      <c r="U111" s="287"/>
      <c r="V111" s="287"/>
      <c r="W111" s="287"/>
      <c r="X111" s="287"/>
      <c r="Y111" s="118"/>
    </row>
    <row r="112" spans="1:25" ht="15" thickBot="1" x14ac:dyDescent="0.35">
      <c r="A112" s="335"/>
      <c r="B112" s="334" t="s">
        <v>298</v>
      </c>
      <c r="C112" s="334" t="s">
        <v>12</v>
      </c>
      <c r="D112" s="334" t="s">
        <v>13</v>
      </c>
      <c r="E112" s="334" t="s">
        <v>14</v>
      </c>
      <c r="F112" s="334" t="s">
        <v>15</v>
      </c>
      <c r="G112" s="5" t="s">
        <v>24</v>
      </c>
      <c r="H112" s="5" t="s">
        <v>25</v>
      </c>
      <c r="I112" s="5" t="s">
        <v>301</v>
      </c>
      <c r="J112" s="5"/>
      <c r="K112" s="108"/>
      <c r="S112" s="117"/>
      <c r="T112" s="287"/>
      <c r="U112" s="287"/>
      <c r="V112" s="287"/>
      <c r="W112" s="287"/>
      <c r="X112" s="287"/>
      <c r="Y112" s="118"/>
    </row>
    <row r="113" spans="1:25" x14ac:dyDescent="0.3">
      <c r="A113" s="335" t="s">
        <v>113</v>
      </c>
      <c r="B113" s="14" t="s">
        <v>286</v>
      </c>
      <c r="C113" s="338">
        <v>3</v>
      </c>
      <c r="D113" s="338">
        <v>1</v>
      </c>
      <c r="E113" s="338">
        <v>1</v>
      </c>
      <c r="F113" s="338">
        <v>1</v>
      </c>
      <c r="G113" s="15">
        <v>3</v>
      </c>
      <c r="H113" s="15">
        <v>3</v>
      </c>
      <c r="I113" s="15">
        <v>4</v>
      </c>
      <c r="J113" s="86"/>
      <c r="K113" s="108"/>
      <c r="S113" s="117"/>
      <c r="T113" s="287"/>
      <c r="U113" s="287"/>
      <c r="V113" s="287"/>
      <c r="W113" s="287"/>
      <c r="X113" s="126"/>
      <c r="Y113" s="125"/>
    </row>
    <row r="114" spans="1:25" s="13" customFormat="1" x14ac:dyDescent="0.3">
      <c r="A114" s="335"/>
      <c r="B114" s="21" t="s">
        <v>408</v>
      </c>
      <c r="C114" s="17"/>
      <c r="D114" s="17"/>
      <c r="E114" s="17"/>
      <c r="F114" s="17"/>
      <c r="G114" s="18"/>
      <c r="H114" s="18"/>
      <c r="I114" s="18"/>
      <c r="J114" s="86"/>
      <c r="K114" s="108"/>
      <c r="S114" s="117"/>
      <c r="T114" s="287"/>
      <c r="U114" s="287"/>
      <c r="V114" s="287"/>
      <c r="W114" s="287"/>
      <c r="X114" s="126"/>
      <c r="Y114" s="125"/>
    </row>
    <row r="115" spans="1:25" s="13" customFormat="1" x14ac:dyDescent="0.3">
      <c r="A115" s="335"/>
      <c r="B115" s="3" t="s">
        <v>9</v>
      </c>
      <c r="C115" s="334"/>
      <c r="D115" s="334"/>
      <c r="E115" s="334"/>
      <c r="F115" s="334"/>
      <c r="G115" s="5"/>
      <c r="H115" s="5"/>
      <c r="I115" s="5"/>
      <c r="J115" s="87"/>
      <c r="K115" s="108"/>
      <c r="S115" s="117"/>
      <c r="T115" s="287"/>
      <c r="U115" s="287"/>
      <c r="V115" s="287"/>
      <c r="W115" s="287"/>
      <c r="X115" s="126"/>
      <c r="Y115" s="125"/>
    </row>
    <row r="116" spans="1:25" s="13" customFormat="1" ht="15" thickBot="1" x14ac:dyDescent="0.35">
      <c r="A116" s="335"/>
      <c r="B116" s="7" t="s">
        <v>43</v>
      </c>
      <c r="C116" s="337"/>
      <c r="D116" s="337"/>
      <c r="E116" s="337"/>
      <c r="F116" s="337"/>
      <c r="G116" s="8"/>
      <c r="H116" s="8"/>
      <c r="I116" s="8"/>
      <c r="J116" s="87"/>
      <c r="K116" s="108"/>
      <c r="S116" s="117"/>
      <c r="T116" s="287"/>
      <c r="U116" s="287"/>
      <c r="V116" s="287"/>
      <c r="W116" s="287"/>
      <c r="X116" s="126"/>
      <c r="Y116" s="125"/>
    </row>
    <row r="117" spans="1:25" ht="15" thickBot="1" x14ac:dyDescent="0.35">
      <c r="A117" s="110"/>
      <c r="B117" s="36"/>
      <c r="C117" s="36"/>
      <c r="D117" s="36"/>
      <c r="E117" s="36"/>
      <c r="F117" s="36"/>
      <c r="G117" s="37"/>
      <c r="H117" s="37"/>
      <c r="I117" s="37"/>
      <c r="J117" s="37"/>
      <c r="K117" s="193"/>
      <c r="S117" s="117"/>
      <c r="T117" s="287"/>
      <c r="U117" s="287"/>
      <c r="V117" s="287"/>
      <c r="W117" s="287"/>
      <c r="X117" s="126"/>
      <c r="Y117" s="125"/>
    </row>
    <row r="118" spans="1:25" ht="15" thickTop="1" x14ac:dyDescent="0.3">
      <c r="A118" s="106"/>
      <c r="B118" s="25"/>
      <c r="C118" s="25"/>
      <c r="D118" s="25"/>
      <c r="E118" s="25"/>
      <c r="F118" s="25"/>
      <c r="G118" s="26"/>
      <c r="H118" s="26"/>
      <c r="I118" s="26"/>
      <c r="J118" s="26"/>
      <c r="K118" s="108"/>
      <c r="S118" s="117"/>
      <c r="T118" s="287"/>
      <c r="U118" s="287"/>
      <c r="V118" s="287"/>
      <c r="W118" s="287"/>
      <c r="X118" s="126"/>
      <c r="Y118" s="125"/>
    </row>
    <row r="119" spans="1:25" ht="21" x14ac:dyDescent="0.4">
      <c r="A119" s="335"/>
      <c r="B119" s="334"/>
      <c r="C119" s="334"/>
      <c r="D119" s="334"/>
      <c r="E119" s="334"/>
      <c r="F119" s="333" t="s">
        <v>247</v>
      </c>
      <c r="G119" s="5"/>
      <c r="H119" s="5"/>
      <c r="I119" s="5"/>
      <c r="J119" s="5"/>
      <c r="K119" s="108"/>
      <c r="S119" s="117"/>
      <c r="T119" s="287"/>
      <c r="U119" s="287"/>
      <c r="V119" s="287"/>
      <c r="W119" s="287"/>
      <c r="X119" s="126"/>
      <c r="Y119" s="125"/>
    </row>
    <row r="120" spans="1:25" x14ac:dyDescent="0.3">
      <c r="A120" s="335"/>
      <c r="B120" s="334"/>
      <c r="C120" s="334"/>
      <c r="D120" s="334"/>
      <c r="E120" s="334"/>
      <c r="F120" s="28"/>
      <c r="G120" s="5"/>
      <c r="H120" s="5"/>
      <c r="I120" s="5"/>
      <c r="J120" s="5"/>
      <c r="K120" s="108"/>
      <c r="S120" s="117"/>
      <c r="T120" s="287"/>
      <c r="U120" s="287"/>
      <c r="V120" s="287"/>
      <c r="W120" s="287"/>
      <c r="X120" s="126"/>
      <c r="Y120" s="125"/>
    </row>
    <row r="121" spans="1:25" x14ac:dyDescent="0.3">
      <c r="A121" s="335"/>
      <c r="B121" s="334"/>
      <c r="C121" s="40">
        <v>43268</v>
      </c>
      <c r="D121" s="49" t="s">
        <v>88</v>
      </c>
      <c r="E121" s="49" t="s">
        <v>4</v>
      </c>
      <c r="F121" s="49">
        <v>0</v>
      </c>
      <c r="G121" s="51">
        <v>1</v>
      </c>
      <c r="H121" s="5"/>
      <c r="I121" s="5" t="s">
        <v>426</v>
      </c>
      <c r="J121" s="5"/>
      <c r="K121" s="108"/>
      <c r="S121" s="117" t="s">
        <v>88</v>
      </c>
      <c r="T121" s="287" t="s">
        <v>4</v>
      </c>
      <c r="U121" s="287">
        <v>0</v>
      </c>
      <c r="V121" s="287">
        <v>1</v>
      </c>
      <c r="W121" s="287"/>
      <c r="X121" s="126">
        <f t="shared" ref="X121:X123" si="21">(IF(U121&gt;V121,3,IF(U121=V121,1,2)))</f>
        <v>2</v>
      </c>
      <c r="Y121" s="125">
        <f t="shared" ref="Y121:Y123" si="22">(IF(V121&gt;U121,3,IF(U121=V121,1,2)))</f>
        <v>3</v>
      </c>
    </row>
    <row r="122" spans="1:25" ht="15" thickBot="1" x14ac:dyDescent="0.35">
      <c r="A122" s="335"/>
      <c r="B122" s="334"/>
      <c r="C122" s="58"/>
      <c r="D122" s="79"/>
      <c r="E122" s="79"/>
      <c r="F122" s="79" t="s">
        <v>170</v>
      </c>
      <c r="G122" s="81" t="s">
        <v>183</v>
      </c>
      <c r="H122" s="8"/>
      <c r="I122" s="8"/>
      <c r="J122" s="5"/>
      <c r="K122" s="108"/>
      <c r="S122" s="117" t="s">
        <v>41</v>
      </c>
      <c r="T122" s="332" t="s">
        <v>90</v>
      </c>
      <c r="U122" s="332">
        <v>1</v>
      </c>
      <c r="V122" s="332">
        <v>0</v>
      </c>
      <c r="W122" s="287"/>
      <c r="X122" s="126">
        <f t="shared" si="21"/>
        <v>3</v>
      </c>
      <c r="Y122" s="125">
        <f t="shared" si="22"/>
        <v>2</v>
      </c>
    </row>
    <row r="123" spans="1:25" s="13" customFormat="1" x14ac:dyDescent="0.3">
      <c r="A123" s="335"/>
      <c r="B123" s="334"/>
      <c r="C123" s="40">
        <v>43269</v>
      </c>
      <c r="D123" s="49" t="s">
        <v>41</v>
      </c>
      <c r="E123" s="49" t="s">
        <v>90</v>
      </c>
      <c r="F123" s="49">
        <v>1</v>
      </c>
      <c r="G123" s="51">
        <v>0</v>
      </c>
      <c r="H123" s="5"/>
      <c r="I123" s="5" t="s">
        <v>437</v>
      </c>
      <c r="J123" s="5"/>
      <c r="K123" s="108"/>
      <c r="S123" s="117" t="s">
        <v>90</v>
      </c>
      <c r="T123" s="332" t="s">
        <v>4</v>
      </c>
      <c r="U123" s="332">
        <v>1</v>
      </c>
      <c r="V123" s="332">
        <v>2</v>
      </c>
      <c r="W123" s="287"/>
      <c r="X123" s="126">
        <f t="shared" si="21"/>
        <v>2</v>
      </c>
      <c r="Y123" s="125">
        <f t="shared" si="22"/>
        <v>3</v>
      </c>
    </row>
    <row r="124" spans="1:25" s="13" customFormat="1" ht="15" thickBot="1" x14ac:dyDescent="0.35">
      <c r="A124" s="335"/>
      <c r="B124" s="334"/>
      <c r="C124" s="58"/>
      <c r="D124" s="79"/>
      <c r="E124" s="79"/>
      <c r="F124" s="79" t="s">
        <v>170</v>
      </c>
      <c r="G124" s="81" t="s">
        <v>171</v>
      </c>
      <c r="H124" s="8"/>
      <c r="I124" s="8"/>
      <c r="J124" s="5"/>
      <c r="K124" s="108"/>
      <c r="S124" s="117" t="s">
        <v>88</v>
      </c>
      <c r="T124" s="332" t="s">
        <v>41</v>
      </c>
      <c r="U124" s="332">
        <v>2</v>
      </c>
      <c r="V124" s="332">
        <v>1</v>
      </c>
      <c r="W124" s="287"/>
      <c r="X124" s="126">
        <f t="shared" ref="X124:X126" si="23">(IF(U124&gt;V124,3,IF(U124=V124,1,2)))</f>
        <v>3</v>
      </c>
      <c r="Y124" s="125">
        <f t="shared" ref="Y124:Y126" si="24">(IF(V124&gt;U124,3,IF(U124=V124,1,2)))</f>
        <v>2</v>
      </c>
    </row>
    <row r="125" spans="1:25" s="13" customFormat="1" x14ac:dyDescent="0.3">
      <c r="A125" s="335"/>
      <c r="B125" s="334"/>
      <c r="C125" s="40">
        <v>43274</v>
      </c>
      <c r="D125" s="49" t="s">
        <v>90</v>
      </c>
      <c r="E125" s="49" t="s">
        <v>4</v>
      </c>
      <c r="F125" s="49">
        <v>1</v>
      </c>
      <c r="G125" s="51">
        <v>2</v>
      </c>
      <c r="H125" s="5"/>
      <c r="I125" s="5" t="s">
        <v>438</v>
      </c>
      <c r="J125" s="5"/>
      <c r="K125" s="108"/>
      <c r="S125" s="122" t="s">
        <v>90</v>
      </c>
      <c r="T125" s="17" t="s">
        <v>88</v>
      </c>
      <c r="U125" s="17">
        <v>2</v>
      </c>
      <c r="V125" s="17">
        <v>0</v>
      </c>
      <c r="W125" s="287"/>
      <c r="X125" s="126">
        <f t="shared" si="23"/>
        <v>3</v>
      </c>
      <c r="Y125" s="125">
        <f t="shared" si="24"/>
        <v>2</v>
      </c>
    </row>
    <row r="126" spans="1:25" ht="15" thickBot="1" x14ac:dyDescent="0.35">
      <c r="A126" s="335"/>
      <c r="B126" s="334"/>
      <c r="C126" s="58"/>
      <c r="D126" s="79"/>
      <c r="E126" s="79"/>
      <c r="F126" s="79" t="s">
        <v>170</v>
      </c>
      <c r="G126" s="81" t="s">
        <v>183</v>
      </c>
      <c r="H126" s="8"/>
      <c r="I126" s="8"/>
      <c r="J126" s="5"/>
      <c r="K126" s="108"/>
      <c r="S126" s="117" t="s">
        <v>4</v>
      </c>
      <c r="T126" s="332" t="s">
        <v>41</v>
      </c>
      <c r="U126" s="332">
        <v>0</v>
      </c>
      <c r="V126" s="332">
        <v>3</v>
      </c>
      <c r="W126" s="287"/>
      <c r="X126" s="126">
        <f t="shared" si="23"/>
        <v>2</v>
      </c>
      <c r="Y126" s="125">
        <f t="shared" si="24"/>
        <v>3</v>
      </c>
    </row>
    <row r="127" spans="1:25" x14ac:dyDescent="0.3">
      <c r="A127" s="335"/>
      <c r="B127" s="334"/>
      <c r="C127" s="40">
        <v>43274</v>
      </c>
      <c r="D127" s="49" t="s">
        <v>88</v>
      </c>
      <c r="E127" s="49" t="s">
        <v>41</v>
      </c>
      <c r="F127" s="49">
        <v>2</v>
      </c>
      <c r="G127" s="51">
        <v>1</v>
      </c>
      <c r="H127" s="5"/>
      <c r="I127" s="5" t="s">
        <v>432</v>
      </c>
      <c r="J127" s="5"/>
      <c r="K127" s="108"/>
      <c r="S127" s="117"/>
      <c r="T127" s="332"/>
      <c r="U127" s="332"/>
      <c r="V127" s="332"/>
      <c r="W127" s="287"/>
      <c r="X127" s="126"/>
      <c r="Y127" s="125"/>
    </row>
    <row r="128" spans="1:25" ht="15" thickBot="1" x14ac:dyDescent="0.35">
      <c r="A128" s="335"/>
      <c r="B128" s="334"/>
      <c r="C128" s="58"/>
      <c r="D128" s="79"/>
      <c r="E128" s="79"/>
      <c r="F128" s="79" t="s">
        <v>170</v>
      </c>
      <c r="G128" s="81" t="s">
        <v>183</v>
      </c>
      <c r="H128" s="8"/>
      <c r="I128" s="8"/>
      <c r="J128" s="5"/>
      <c r="K128" s="108"/>
      <c r="S128" s="117"/>
      <c r="T128" s="332"/>
      <c r="U128" s="332"/>
      <c r="V128" s="332"/>
      <c r="W128" s="287"/>
      <c r="X128" s="126"/>
      <c r="Y128" s="125"/>
    </row>
    <row r="129" spans="1:25" x14ac:dyDescent="0.3">
      <c r="A129" s="335"/>
      <c r="B129" s="334"/>
      <c r="C129" s="40">
        <v>43278</v>
      </c>
      <c r="D129" s="49" t="s">
        <v>90</v>
      </c>
      <c r="E129" s="49" t="s">
        <v>88</v>
      </c>
      <c r="F129" s="49">
        <v>2</v>
      </c>
      <c r="G129" s="51">
        <v>0</v>
      </c>
      <c r="H129" s="5"/>
      <c r="I129" s="5" t="s">
        <v>433</v>
      </c>
      <c r="J129" s="5"/>
      <c r="K129" s="108"/>
      <c r="S129" s="117"/>
      <c r="T129" s="332"/>
      <c r="U129" s="332"/>
      <c r="V129" s="332"/>
      <c r="W129" s="95"/>
      <c r="X129" s="95"/>
      <c r="Y129" s="169"/>
    </row>
    <row r="130" spans="1:25" ht="15" thickBot="1" x14ac:dyDescent="0.35">
      <c r="A130" s="335"/>
      <c r="B130" s="334"/>
      <c r="C130" s="58"/>
      <c r="D130" s="79"/>
      <c r="E130" s="79"/>
      <c r="F130" s="79" t="s">
        <v>170</v>
      </c>
      <c r="G130" s="81" t="s">
        <v>171</v>
      </c>
      <c r="H130" s="8"/>
      <c r="I130" s="8"/>
      <c r="J130" s="5"/>
      <c r="K130" s="108"/>
      <c r="S130" s="117"/>
      <c r="T130" s="332"/>
      <c r="U130" s="332"/>
      <c r="V130" s="332"/>
      <c r="W130" s="287"/>
      <c r="X130" s="126"/>
      <c r="Y130" s="125"/>
    </row>
    <row r="131" spans="1:25" x14ac:dyDescent="0.3">
      <c r="A131" s="335"/>
      <c r="B131" s="17"/>
      <c r="C131" s="40">
        <v>43278</v>
      </c>
      <c r="D131" s="43" t="s">
        <v>4</v>
      </c>
      <c r="E131" s="43" t="s">
        <v>41</v>
      </c>
      <c r="F131" s="49">
        <v>0</v>
      </c>
      <c r="G131" s="51">
        <v>3</v>
      </c>
      <c r="H131" s="5"/>
      <c r="I131" s="5" t="s">
        <v>427</v>
      </c>
      <c r="J131" s="5"/>
      <c r="K131" s="108"/>
      <c r="S131" s="117"/>
      <c r="T131" s="287"/>
      <c r="U131" s="287"/>
      <c r="V131" s="287"/>
      <c r="W131" s="287"/>
      <c r="X131" s="126"/>
      <c r="Y131" s="125"/>
    </row>
    <row r="132" spans="1:25" x14ac:dyDescent="0.3">
      <c r="A132" s="156"/>
      <c r="B132" s="17"/>
      <c r="C132" s="17"/>
      <c r="D132" s="43"/>
      <c r="E132" s="43"/>
      <c r="F132" s="49" t="s">
        <v>170</v>
      </c>
      <c r="G132" s="51" t="s">
        <v>171</v>
      </c>
      <c r="H132" s="5"/>
      <c r="I132" s="5"/>
      <c r="J132" s="5"/>
      <c r="K132" s="108"/>
      <c r="S132" s="117"/>
      <c r="T132" s="287"/>
      <c r="U132" s="287"/>
      <c r="V132" s="287"/>
      <c r="W132" s="287"/>
      <c r="X132" s="126"/>
      <c r="Y132" s="125"/>
    </row>
    <row r="133" spans="1:25" x14ac:dyDescent="0.3">
      <c r="A133" s="156"/>
      <c r="B133" s="17"/>
      <c r="C133" s="17"/>
      <c r="D133" s="17"/>
      <c r="E133" s="17"/>
      <c r="F133" s="334"/>
      <c r="G133" s="5"/>
      <c r="H133" s="5"/>
      <c r="I133" s="5"/>
      <c r="J133" s="5"/>
      <c r="K133" s="108"/>
      <c r="S133" s="117"/>
      <c r="T133" s="287"/>
      <c r="U133" s="287"/>
      <c r="V133" s="287"/>
      <c r="W133" s="287"/>
      <c r="X133" s="126"/>
      <c r="Y133" s="125"/>
    </row>
    <row r="134" spans="1:25" s="13" customFormat="1" ht="15" thickBot="1" x14ac:dyDescent="0.35">
      <c r="A134" s="335"/>
      <c r="B134" s="334" t="s">
        <v>298</v>
      </c>
      <c r="C134" s="334" t="s">
        <v>12</v>
      </c>
      <c r="D134" s="334" t="s">
        <v>13</v>
      </c>
      <c r="E134" s="334" t="s">
        <v>14</v>
      </c>
      <c r="F134" s="334" t="s">
        <v>15</v>
      </c>
      <c r="G134" s="5" t="s">
        <v>24</v>
      </c>
      <c r="H134" s="5" t="s">
        <v>25</v>
      </c>
      <c r="I134" s="5" t="s">
        <v>301</v>
      </c>
      <c r="J134" s="5"/>
      <c r="K134" s="108"/>
      <c r="S134" s="117"/>
      <c r="T134" s="287"/>
      <c r="U134" s="287"/>
      <c r="V134" s="287"/>
      <c r="W134" s="287"/>
      <c r="X134" s="126"/>
      <c r="Y134" s="125"/>
    </row>
    <row r="135" spans="1:25" s="13" customFormat="1" x14ac:dyDescent="0.3">
      <c r="A135" s="335" t="s">
        <v>113</v>
      </c>
      <c r="B135" s="14" t="s">
        <v>88</v>
      </c>
      <c r="C135" s="338">
        <v>3</v>
      </c>
      <c r="D135" s="338">
        <v>2</v>
      </c>
      <c r="E135" s="338">
        <v>0</v>
      </c>
      <c r="F135" s="338">
        <v>1</v>
      </c>
      <c r="G135" s="15">
        <v>4</v>
      </c>
      <c r="H135" s="15">
        <v>3</v>
      </c>
      <c r="I135" s="15">
        <v>6</v>
      </c>
      <c r="J135" s="86"/>
      <c r="K135" s="108"/>
      <c r="S135" s="168"/>
      <c r="T135" s="95"/>
      <c r="U135" s="95"/>
      <c r="V135" s="95"/>
      <c r="W135" s="95"/>
      <c r="X135" s="95"/>
      <c r="Y135" s="169"/>
    </row>
    <row r="136" spans="1:25" s="13" customFormat="1" x14ac:dyDescent="0.3">
      <c r="A136" s="335"/>
      <c r="B136" s="21" t="s">
        <v>4</v>
      </c>
      <c r="C136" s="17"/>
      <c r="D136" s="17"/>
      <c r="E136" s="17"/>
      <c r="F136" s="17"/>
      <c r="G136" s="18"/>
      <c r="H136" s="18"/>
      <c r="I136" s="18"/>
      <c r="J136" s="86"/>
      <c r="K136" s="108"/>
      <c r="S136" s="168"/>
      <c r="T136" s="95"/>
      <c r="U136" s="95"/>
      <c r="V136" s="95"/>
      <c r="W136" s="95"/>
      <c r="X136" s="95"/>
      <c r="Y136" s="169"/>
    </row>
    <row r="137" spans="1:25" x14ac:dyDescent="0.3">
      <c r="A137" s="335"/>
      <c r="B137" s="3" t="s">
        <v>41</v>
      </c>
      <c r="C137" s="334"/>
      <c r="D137" s="334"/>
      <c r="E137" s="334"/>
      <c r="F137" s="334"/>
      <c r="G137" s="5"/>
      <c r="H137" s="5"/>
      <c r="I137" s="5"/>
      <c r="J137" s="87"/>
      <c r="K137" s="108"/>
      <c r="S137" s="117"/>
      <c r="T137" s="287"/>
      <c r="U137" s="287"/>
      <c r="V137" s="287"/>
      <c r="W137" s="287"/>
      <c r="X137" s="126"/>
      <c r="Y137" s="125"/>
    </row>
    <row r="138" spans="1:25" ht="15" thickBot="1" x14ac:dyDescent="0.35">
      <c r="A138" s="335"/>
      <c r="B138" s="7" t="s">
        <v>90</v>
      </c>
      <c r="C138" s="337"/>
      <c r="D138" s="337"/>
      <c r="E138" s="337"/>
      <c r="F138" s="337"/>
      <c r="G138" s="8"/>
      <c r="H138" s="8"/>
      <c r="I138" s="8"/>
      <c r="J138" s="87"/>
      <c r="K138" s="108"/>
      <c r="S138" s="117"/>
      <c r="T138" s="287"/>
      <c r="U138" s="287"/>
      <c r="V138" s="287"/>
      <c r="W138" s="287"/>
      <c r="X138" s="126"/>
      <c r="Y138" s="125"/>
    </row>
    <row r="139" spans="1:25" s="13" customFormat="1" ht="15" thickBot="1" x14ac:dyDescent="0.35">
      <c r="A139" s="110"/>
      <c r="B139" s="36"/>
      <c r="C139" s="36"/>
      <c r="D139" s="36"/>
      <c r="E139" s="36"/>
      <c r="F139" s="36"/>
      <c r="G139" s="37"/>
      <c r="H139" s="37"/>
      <c r="I139" s="37"/>
      <c r="J139" s="37"/>
      <c r="K139" s="193"/>
      <c r="S139" s="117"/>
      <c r="T139" s="287"/>
      <c r="U139" s="287"/>
      <c r="V139" s="287"/>
      <c r="W139" s="287"/>
      <c r="X139" s="126"/>
      <c r="Y139" s="125"/>
    </row>
    <row r="140" spans="1:25" ht="15" thickTop="1" x14ac:dyDescent="0.3">
      <c r="A140" s="106"/>
      <c r="B140" s="25"/>
      <c r="C140" s="25"/>
      <c r="D140" s="25"/>
      <c r="E140" s="25"/>
      <c r="F140" s="25"/>
      <c r="G140" s="26"/>
      <c r="H140" s="26"/>
      <c r="I140" s="26"/>
      <c r="J140" s="26"/>
      <c r="K140" s="108"/>
      <c r="S140" s="117"/>
      <c r="T140" s="287"/>
      <c r="U140" s="287"/>
      <c r="V140" s="287"/>
      <c r="W140" s="287"/>
      <c r="X140" s="126"/>
      <c r="Y140" s="125"/>
    </row>
    <row r="141" spans="1:25" ht="21" x14ac:dyDescent="0.4">
      <c r="A141" s="335"/>
      <c r="B141" s="334"/>
      <c r="C141" s="334"/>
      <c r="D141" s="334"/>
      <c r="E141" s="334"/>
      <c r="F141" s="333" t="s">
        <v>349</v>
      </c>
      <c r="G141" s="5"/>
      <c r="H141" s="5"/>
      <c r="I141" s="5"/>
      <c r="J141" s="5"/>
      <c r="K141" s="108"/>
      <c r="S141" s="117"/>
      <c r="T141" s="287"/>
      <c r="U141" s="287"/>
      <c r="V141" s="287"/>
      <c r="W141" s="287"/>
      <c r="X141" s="126"/>
      <c r="Y141" s="125"/>
    </row>
    <row r="142" spans="1:25" x14ac:dyDescent="0.3">
      <c r="A142" s="335"/>
      <c r="B142" s="334"/>
      <c r="C142" s="334"/>
      <c r="D142" s="334"/>
      <c r="E142" s="334"/>
      <c r="F142" s="28"/>
      <c r="G142" s="5"/>
      <c r="H142" s="5"/>
      <c r="I142" s="5"/>
      <c r="J142" s="5"/>
      <c r="K142" s="108"/>
      <c r="S142" s="117"/>
      <c r="T142" s="287"/>
      <c r="U142" s="287"/>
      <c r="V142" s="287"/>
      <c r="W142" s="287"/>
      <c r="X142" s="126"/>
      <c r="Y142" s="125"/>
    </row>
    <row r="143" spans="1:25" x14ac:dyDescent="0.3">
      <c r="A143" s="335"/>
      <c r="B143" s="334"/>
      <c r="C143" s="40">
        <v>43269</v>
      </c>
      <c r="D143" s="49" t="s">
        <v>21</v>
      </c>
      <c r="E143" s="49" t="s">
        <v>439</v>
      </c>
      <c r="F143" s="49">
        <v>3</v>
      </c>
      <c r="G143" s="51">
        <v>0</v>
      </c>
      <c r="H143" s="5"/>
      <c r="I143" s="5" t="s">
        <v>432</v>
      </c>
      <c r="J143" s="5"/>
      <c r="K143" s="108"/>
      <c r="S143" s="117" t="s">
        <v>21</v>
      </c>
      <c r="T143" s="287" t="s">
        <v>439</v>
      </c>
      <c r="U143" s="287">
        <v>3</v>
      </c>
      <c r="V143" s="287">
        <v>0</v>
      </c>
      <c r="W143" s="287"/>
      <c r="X143" s="126">
        <f t="shared" ref="X143:X144" si="25">(IF(U143&gt;V143,3,IF(U143=V143,1,2)))</f>
        <v>3</v>
      </c>
      <c r="Y143" s="125">
        <f t="shared" ref="Y143:Y144" si="26">(IF(V143&gt;U143,3,IF(U143=V143,1,2)))</f>
        <v>2</v>
      </c>
    </row>
    <row r="144" spans="1:25" ht="15" thickBot="1" x14ac:dyDescent="0.35">
      <c r="A144" s="335"/>
      <c r="B144" s="334"/>
      <c r="C144" s="58"/>
      <c r="D144" s="79"/>
      <c r="E144" s="79"/>
      <c r="F144" s="79" t="s">
        <v>170</v>
      </c>
      <c r="G144" s="81" t="s">
        <v>171</v>
      </c>
      <c r="H144" s="8"/>
      <c r="I144" s="8"/>
      <c r="J144" s="5"/>
      <c r="K144" s="108"/>
      <c r="S144" s="117" t="s">
        <v>176</v>
      </c>
      <c r="T144" s="332" t="s">
        <v>74</v>
      </c>
      <c r="U144" s="332">
        <v>1</v>
      </c>
      <c r="V144" s="332">
        <v>2</v>
      </c>
      <c r="W144" s="287"/>
      <c r="X144" s="126">
        <f t="shared" si="25"/>
        <v>2</v>
      </c>
      <c r="Y144" s="125">
        <f t="shared" si="26"/>
        <v>3</v>
      </c>
    </row>
    <row r="145" spans="1:25" s="13" customFormat="1" x14ac:dyDescent="0.3">
      <c r="A145" s="335"/>
      <c r="B145" s="334"/>
      <c r="C145" s="40">
        <v>43269</v>
      </c>
      <c r="D145" s="49" t="s">
        <v>176</v>
      </c>
      <c r="E145" s="49" t="s">
        <v>74</v>
      </c>
      <c r="F145" s="49">
        <v>1</v>
      </c>
      <c r="G145" s="51">
        <v>2</v>
      </c>
      <c r="H145" s="5"/>
      <c r="I145" s="5" t="s">
        <v>431</v>
      </c>
      <c r="J145" s="5"/>
      <c r="K145" s="108"/>
      <c r="S145" s="117" t="s">
        <v>21</v>
      </c>
      <c r="T145" s="332" t="s">
        <v>176</v>
      </c>
      <c r="U145" s="332">
        <v>5</v>
      </c>
      <c r="V145" s="332">
        <v>2</v>
      </c>
      <c r="W145" s="287"/>
      <c r="X145" s="126">
        <f t="shared" ref="X145:X148" si="27">(IF(U145&gt;V145,3,IF(U145=V145,1,2)))</f>
        <v>3</v>
      </c>
      <c r="Y145" s="125">
        <f t="shared" ref="Y145:Y148" si="28">(IF(V145&gt;U145,3,IF(U145=V145,1,2)))</f>
        <v>2</v>
      </c>
    </row>
    <row r="146" spans="1:25" s="13" customFormat="1" ht="15" thickBot="1" x14ac:dyDescent="0.35">
      <c r="A146" s="335"/>
      <c r="B146" s="334"/>
      <c r="C146" s="58"/>
      <c r="D146" s="79"/>
      <c r="E146" s="79"/>
      <c r="F146" s="79" t="s">
        <v>172</v>
      </c>
      <c r="G146" s="81" t="s">
        <v>183</v>
      </c>
      <c r="H146" s="8"/>
      <c r="I146" s="8"/>
      <c r="J146" s="5"/>
      <c r="K146" s="108"/>
      <c r="S146" s="117" t="s">
        <v>74</v>
      </c>
      <c r="T146" s="332" t="s">
        <v>439</v>
      </c>
      <c r="U146" s="332">
        <v>6</v>
      </c>
      <c r="V146" s="332">
        <v>1</v>
      </c>
      <c r="W146" s="287"/>
      <c r="X146" s="126">
        <f t="shared" si="27"/>
        <v>3</v>
      </c>
      <c r="Y146" s="125">
        <f t="shared" si="28"/>
        <v>2</v>
      </c>
    </row>
    <row r="147" spans="1:25" s="13" customFormat="1" x14ac:dyDescent="0.3">
      <c r="A147" s="335"/>
      <c r="B147" s="334"/>
      <c r="C147" s="40">
        <v>43274</v>
      </c>
      <c r="D147" s="49" t="s">
        <v>21</v>
      </c>
      <c r="E147" s="49" t="s">
        <v>176</v>
      </c>
      <c r="F147" s="49">
        <v>5</v>
      </c>
      <c r="G147" s="51">
        <v>2</v>
      </c>
      <c r="H147" s="5"/>
      <c r="I147" s="5" t="s">
        <v>426</v>
      </c>
      <c r="J147" s="5"/>
      <c r="K147" s="108"/>
      <c r="S147" s="122" t="s">
        <v>74</v>
      </c>
      <c r="T147" s="17" t="s">
        <v>21</v>
      </c>
      <c r="U147" s="17">
        <v>0</v>
      </c>
      <c r="V147" s="17">
        <v>1</v>
      </c>
      <c r="W147" s="287"/>
      <c r="X147" s="126">
        <f t="shared" si="27"/>
        <v>2</v>
      </c>
      <c r="Y147" s="125">
        <f t="shared" si="28"/>
        <v>3</v>
      </c>
    </row>
    <row r="148" spans="1:25" ht="15" thickBot="1" x14ac:dyDescent="0.35">
      <c r="A148" s="335"/>
      <c r="B148" s="334"/>
      <c r="C148" s="58"/>
      <c r="D148" s="79"/>
      <c r="E148" s="79"/>
      <c r="F148" s="79" t="s">
        <v>264</v>
      </c>
      <c r="G148" s="81" t="s">
        <v>183</v>
      </c>
      <c r="H148" s="8"/>
      <c r="I148" s="8"/>
      <c r="J148" s="5"/>
      <c r="K148" s="108"/>
      <c r="S148" s="117" t="s">
        <v>439</v>
      </c>
      <c r="T148" s="332" t="s">
        <v>176</v>
      </c>
      <c r="U148" s="332">
        <v>1</v>
      </c>
      <c r="V148" s="332">
        <v>2</v>
      </c>
      <c r="W148" s="287"/>
      <c r="X148" s="126">
        <f t="shared" si="27"/>
        <v>2</v>
      </c>
      <c r="Y148" s="125">
        <f t="shared" si="28"/>
        <v>3</v>
      </c>
    </row>
    <row r="149" spans="1:25" x14ac:dyDescent="0.3">
      <c r="A149" s="335"/>
      <c r="B149" s="334"/>
      <c r="C149" s="40">
        <v>43275</v>
      </c>
      <c r="D149" s="49" t="s">
        <v>74</v>
      </c>
      <c r="E149" s="49" t="s">
        <v>439</v>
      </c>
      <c r="F149" s="49">
        <v>6</v>
      </c>
      <c r="G149" s="51">
        <v>1</v>
      </c>
      <c r="H149" s="5"/>
      <c r="I149" s="5" t="s">
        <v>437</v>
      </c>
      <c r="J149" s="5"/>
      <c r="K149" s="108"/>
      <c r="S149" s="117"/>
      <c r="T149" s="332"/>
      <c r="U149" s="332"/>
      <c r="V149" s="332"/>
      <c r="W149" s="287"/>
      <c r="X149" s="126"/>
      <c r="Y149" s="125"/>
    </row>
    <row r="150" spans="1:25" ht="15" thickBot="1" x14ac:dyDescent="0.35">
      <c r="A150" s="335"/>
      <c r="B150" s="334"/>
      <c r="C150" s="58"/>
      <c r="D150" s="79"/>
      <c r="E150" s="79"/>
      <c r="F150" s="79" t="s">
        <v>212</v>
      </c>
      <c r="G150" s="81" t="s">
        <v>171</v>
      </c>
      <c r="H150" s="8"/>
      <c r="I150" s="8"/>
      <c r="J150" s="5"/>
      <c r="K150" s="108"/>
      <c r="S150" s="117"/>
      <c r="T150" s="332"/>
      <c r="U150" s="332"/>
      <c r="V150" s="332"/>
      <c r="W150" s="287"/>
      <c r="X150" s="126"/>
      <c r="Y150" s="125"/>
    </row>
    <row r="151" spans="1:25" x14ac:dyDescent="0.3">
      <c r="A151" s="335"/>
      <c r="B151" s="334"/>
      <c r="C151" s="40">
        <v>43279</v>
      </c>
      <c r="D151" s="49" t="s">
        <v>74</v>
      </c>
      <c r="E151" s="49" t="s">
        <v>21</v>
      </c>
      <c r="F151" s="49">
        <v>0</v>
      </c>
      <c r="G151" s="51">
        <v>1</v>
      </c>
      <c r="H151" s="5"/>
      <c r="I151" s="5" t="s">
        <v>435</v>
      </c>
      <c r="J151" s="5"/>
      <c r="K151" s="108"/>
      <c r="S151" s="117"/>
      <c r="T151" s="332"/>
      <c r="U151" s="332"/>
      <c r="V151" s="332"/>
      <c r="W151" s="95"/>
      <c r="X151" s="95"/>
      <c r="Y151" s="169"/>
    </row>
    <row r="152" spans="1:25" ht="15" thickBot="1" x14ac:dyDescent="0.35">
      <c r="A152" s="335"/>
      <c r="B152" s="334"/>
      <c r="C152" s="58"/>
      <c r="D152" s="79"/>
      <c r="E152" s="79"/>
      <c r="F152" s="79" t="s">
        <v>170</v>
      </c>
      <c r="G152" s="81" t="s">
        <v>171</v>
      </c>
      <c r="H152" s="8"/>
      <c r="I152" s="8"/>
      <c r="J152" s="5"/>
      <c r="K152" s="108"/>
      <c r="S152" s="117"/>
      <c r="T152" s="332"/>
      <c r="U152" s="332"/>
      <c r="V152" s="332"/>
      <c r="W152" s="287"/>
      <c r="X152" s="126"/>
      <c r="Y152" s="125"/>
    </row>
    <row r="153" spans="1:25" x14ac:dyDescent="0.3">
      <c r="A153" s="335"/>
      <c r="B153" s="17"/>
      <c r="C153" s="40">
        <v>43279</v>
      </c>
      <c r="D153" s="43" t="s">
        <v>439</v>
      </c>
      <c r="E153" s="43" t="s">
        <v>176</v>
      </c>
      <c r="F153" s="49">
        <v>1</v>
      </c>
      <c r="G153" s="51">
        <v>2</v>
      </c>
      <c r="H153" s="5"/>
      <c r="I153" s="5" t="s">
        <v>434</v>
      </c>
      <c r="J153" s="5"/>
      <c r="K153" s="108"/>
      <c r="S153" s="117"/>
      <c r="T153" s="287"/>
      <c r="U153" s="287"/>
      <c r="V153" s="287"/>
      <c r="W153" s="287"/>
      <c r="X153" s="126"/>
      <c r="Y153" s="125"/>
    </row>
    <row r="154" spans="1:25" x14ac:dyDescent="0.3">
      <c r="A154" s="156"/>
      <c r="B154" s="17"/>
      <c r="C154" s="17"/>
      <c r="D154" s="43"/>
      <c r="E154" s="43"/>
      <c r="F154" s="49" t="s">
        <v>172</v>
      </c>
      <c r="G154" s="51" t="s">
        <v>171</v>
      </c>
      <c r="H154" s="5"/>
      <c r="I154" s="5"/>
      <c r="J154" s="5"/>
      <c r="K154" s="108"/>
      <c r="S154" s="117"/>
      <c r="T154" s="287"/>
      <c r="U154" s="287"/>
      <c r="V154" s="287"/>
      <c r="W154" s="287"/>
      <c r="X154" s="126"/>
      <c r="Y154" s="125"/>
    </row>
    <row r="155" spans="1:25" x14ac:dyDescent="0.3">
      <c r="A155" s="156"/>
      <c r="B155" s="17"/>
      <c r="C155" s="17"/>
      <c r="D155" s="17"/>
      <c r="E155" s="17"/>
      <c r="F155" s="334"/>
      <c r="G155" s="5"/>
      <c r="H155" s="5"/>
      <c r="I155" s="5"/>
      <c r="J155" s="5"/>
      <c r="K155" s="108"/>
      <c r="S155" s="117"/>
      <c r="T155" s="287"/>
      <c r="U155" s="287"/>
      <c r="V155" s="287"/>
      <c r="W155" s="287"/>
      <c r="X155" s="126"/>
      <c r="Y155" s="125"/>
    </row>
    <row r="156" spans="1:25" s="13" customFormat="1" ht="15" thickBot="1" x14ac:dyDescent="0.35">
      <c r="A156" s="335"/>
      <c r="B156" s="334" t="s">
        <v>298</v>
      </c>
      <c r="C156" s="334" t="s">
        <v>12</v>
      </c>
      <c r="D156" s="334" t="s">
        <v>13</v>
      </c>
      <c r="E156" s="334" t="s">
        <v>14</v>
      </c>
      <c r="F156" s="334" t="s">
        <v>15</v>
      </c>
      <c r="G156" s="5" t="s">
        <v>24</v>
      </c>
      <c r="H156" s="5" t="s">
        <v>25</v>
      </c>
      <c r="I156" s="5" t="s">
        <v>301</v>
      </c>
      <c r="J156" s="5"/>
      <c r="K156" s="108"/>
      <c r="S156" s="117"/>
      <c r="T156" s="287"/>
      <c r="U156" s="287"/>
      <c r="V156" s="287"/>
      <c r="W156" s="287"/>
      <c r="X156" s="126"/>
      <c r="Y156" s="125"/>
    </row>
    <row r="157" spans="1:25" s="13" customFormat="1" x14ac:dyDescent="0.3">
      <c r="A157" s="335" t="s">
        <v>113</v>
      </c>
      <c r="B157" s="14" t="s">
        <v>21</v>
      </c>
      <c r="C157" s="338">
        <v>3</v>
      </c>
      <c r="D157" s="338">
        <v>2</v>
      </c>
      <c r="E157" s="338">
        <v>0</v>
      </c>
      <c r="F157" s="338">
        <v>1</v>
      </c>
      <c r="G157" s="15">
        <v>4</v>
      </c>
      <c r="H157" s="15">
        <v>3</v>
      </c>
      <c r="I157" s="15">
        <v>6</v>
      </c>
      <c r="J157" s="86"/>
      <c r="K157" s="108"/>
      <c r="S157" s="168"/>
      <c r="T157" s="95"/>
      <c r="U157" s="95"/>
      <c r="V157" s="95"/>
      <c r="W157" s="95"/>
      <c r="X157" s="95"/>
      <c r="Y157" s="169"/>
    </row>
    <row r="158" spans="1:25" s="13" customFormat="1" x14ac:dyDescent="0.3">
      <c r="A158" s="335"/>
      <c r="B158" s="21" t="s">
        <v>439</v>
      </c>
      <c r="C158" s="17"/>
      <c r="D158" s="17"/>
      <c r="E158" s="17"/>
      <c r="F158" s="17"/>
      <c r="G158" s="18"/>
      <c r="H158" s="18"/>
      <c r="I158" s="18"/>
      <c r="J158" s="86"/>
      <c r="K158" s="108"/>
      <c r="S158" s="168"/>
      <c r="T158" s="95"/>
      <c r="U158" s="95"/>
      <c r="V158" s="95"/>
      <c r="W158" s="95"/>
      <c r="X158" s="95"/>
      <c r="Y158" s="169"/>
    </row>
    <row r="159" spans="1:25" x14ac:dyDescent="0.3">
      <c r="A159" s="335"/>
      <c r="B159" s="3" t="s">
        <v>176</v>
      </c>
      <c r="C159" s="334"/>
      <c r="D159" s="334"/>
      <c r="E159" s="334"/>
      <c r="F159" s="334"/>
      <c r="G159" s="5"/>
      <c r="H159" s="5"/>
      <c r="I159" s="5"/>
      <c r="J159" s="87"/>
      <c r="K159" s="108"/>
      <c r="S159" s="117"/>
      <c r="T159" s="287"/>
      <c r="U159" s="287"/>
      <c r="V159" s="287"/>
      <c r="W159" s="287"/>
      <c r="X159" s="126"/>
      <c r="Y159" s="125"/>
    </row>
    <row r="160" spans="1:25" ht="15" thickBot="1" x14ac:dyDescent="0.35">
      <c r="A160" s="335"/>
      <c r="B160" s="7" t="s">
        <v>74</v>
      </c>
      <c r="C160" s="337"/>
      <c r="D160" s="337"/>
      <c r="E160" s="337"/>
      <c r="F160" s="337"/>
      <c r="G160" s="8"/>
      <c r="H160" s="8"/>
      <c r="I160" s="8"/>
      <c r="J160" s="87"/>
      <c r="K160" s="108"/>
      <c r="S160" s="117"/>
      <c r="T160" s="287"/>
      <c r="U160" s="287"/>
      <c r="V160" s="287"/>
      <c r="W160" s="287"/>
      <c r="X160" s="126"/>
      <c r="Y160" s="125"/>
    </row>
    <row r="161" spans="1:25" s="13" customFormat="1" ht="15" thickBot="1" x14ac:dyDescent="0.35">
      <c r="A161" s="335"/>
      <c r="B161" s="334"/>
      <c r="C161" s="334"/>
      <c r="D161" s="334"/>
      <c r="E161" s="334"/>
      <c r="F161" s="334"/>
      <c r="G161" s="5"/>
      <c r="H161" s="5"/>
      <c r="I161" s="5"/>
      <c r="J161" s="5"/>
      <c r="K161" s="108"/>
      <c r="S161" s="117"/>
      <c r="T161" s="287"/>
      <c r="U161" s="287"/>
      <c r="V161" s="287"/>
      <c r="W161" s="287"/>
      <c r="X161" s="126"/>
      <c r="Y161" s="125"/>
    </row>
    <row r="162" spans="1:25" ht="15" thickTop="1" x14ac:dyDescent="0.3">
      <c r="A162" s="106"/>
      <c r="B162" s="25"/>
      <c r="C162" s="25"/>
      <c r="D162" s="25"/>
      <c r="E162" s="25"/>
      <c r="F162" s="25"/>
      <c r="G162" s="26"/>
      <c r="H162" s="26"/>
      <c r="I162" s="26"/>
      <c r="J162" s="26"/>
      <c r="K162" s="108"/>
      <c r="S162" s="117"/>
      <c r="T162" s="287"/>
      <c r="U162" s="287"/>
      <c r="V162" s="287"/>
      <c r="W162" s="287"/>
      <c r="X162" s="126"/>
      <c r="Y162" s="125"/>
    </row>
    <row r="163" spans="1:25" ht="21" x14ac:dyDescent="0.4">
      <c r="A163" s="335"/>
      <c r="B163" s="334"/>
      <c r="C163" s="334"/>
      <c r="D163" s="334"/>
      <c r="E163" s="334"/>
      <c r="F163" s="333" t="s">
        <v>350</v>
      </c>
      <c r="G163" s="5"/>
      <c r="H163" s="5"/>
      <c r="I163" s="5"/>
      <c r="J163" s="5"/>
      <c r="K163" s="108"/>
      <c r="S163" s="117"/>
      <c r="T163" s="287"/>
      <c r="U163" s="287"/>
      <c r="V163" s="287"/>
      <c r="W163" s="287"/>
      <c r="X163" s="126"/>
      <c r="Y163" s="125"/>
    </row>
    <row r="164" spans="1:25" x14ac:dyDescent="0.3">
      <c r="A164" s="335"/>
      <c r="B164" s="334"/>
      <c r="C164" s="334"/>
      <c r="D164" s="334"/>
      <c r="E164" s="334"/>
      <c r="F164" s="28"/>
      <c r="G164" s="5"/>
      <c r="H164" s="5"/>
      <c r="I164" s="5"/>
      <c r="J164" s="5"/>
      <c r="K164" s="108"/>
      <c r="S164" s="117"/>
      <c r="T164" s="287"/>
      <c r="U164" s="287"/>
      <c r="V164" s="287"/>
      <c r="W164" s="287"/>
      <c r="X164" s="126"/>
      <c r="Y164" s="125"/>
    </row>
    <row r="165" spans="1:25" x14ac:dyDescent="0.3">
      <c r="A165" s="335"/>
      <c r="B165" s="334"/>
      <c r="C165" s="40">
        <v>43270</v>
      </c>
      <c r="D165" s="49" t="s">
        <v>117</v>
      </c>
      <c r="E165" s="49" t="s">
        <v>351</v>
      </c>
      <c r="F165" s="49">
        <v>1</v>
      </c>
      <c r="G165" s="51">
        <v>2</v>
      </c>
      <c r="H165" s="5"/>
      <c r="I165" s="5" t="s">
        <v>434</v>
      </c>
      <c r="J165" s="5"/>
      <c r="K165" s="108"/>
      <c r="S165" s="117" t="s">
        <v>117</v>
      </c>
      <c r="T165" s="287" t="s">
        <v>351</v>
      </c>
      <c r="U165" s="287">
        <v>1</v>
      </c>
      <c r="V165" s="287">
        <v>2</v>
      </c>
      <c r="W165" s="287"/>
      <c r="X165" s="126">
        <f t="shared" ref="X165:X166" si="29">(IF(U165&gt;V165,3,IF(U165=V165,1,2)))</f>
        <v>2</v>
      </c>
      <c r="Y165" s="125">
        <f t="shared" ref="Y165:Y166" si="30">(IF(V165&gt;U165,3,IF(U165=V165,1,2)))</f>
        <v>3</v>
      </c>
    </row>
    <row r="166" spans="1:25" ht="15" thickBot="1" x14ac:dyDescent="0.35">
      <c r="A166" s="335"/>
      <c r="B166" s="334"/>
      <c r="C166" s="58"/>
      <c r="D166" s="79"/>
      <c r="E166" s="79"/>
      <c r="F166" s="79" t="s">
        <v>172</v>
      </c>
      <c r="G166" s="81" t="s">
        <v>183</v>
      </c>
      <c r="H166" s="8"/>
      <c r="I166" s="8"/>
      <c r="J166" s="5"/>
      <c r="K166" s="108"/>
      <c r="S166" s="117" t="s">
        <v>61</v>
      </c>
      <c r="T166" s="332" t="s">
        <v>355</v>
      </c>
      <c r="U166" s="332">
        <v>1</v>
      </c>
      <c r="V166" s="332">
        <v>2</v>
      </c>
      <c r="W166" s="287"/>
      <c r="X166" s="126">
        <f t="shared" si="29"/>
        <v>2</v>
      </c>
      <c r="Y166" s="125">
        <f t="shared" si="30"/>
        <v>3</v>
      </c>
    </row>
    <row r="167" spans="1:25" s="13" customFormat="1" x14ac:dyDescent="0.3">
      <c r="A167" s="335"/>
      <c r="B167" s="334"/>
      <c r="C167" s="40">
        <v>43270</v>
      </c>
      <c r="D167" s="49" t="s">
        <v>61</v>
      </c>
      <c r="E167" s="49" t="s">
        <v>355</v>
      </c>
      <c r="F167" s="49">
        <v>1</v>
      </c>
      <c r="G167" s="51">
        <v>2</v>
      </c>
      <c r="H167" s="5"/>
      <c r="I167" s="5" t="s">
        <v>426</v>
      </c>
      <c r="J167" s="5"/>
      <c r="K167" s="108"/>
      <c r="S167" s="117" t="s">
        <v>351</v>
      </c>
      <c r="T167" s="332" t="s">
        <v>355</v>
      </c>
      <c r="U167" s="332">
        <v>2</v>
      </c>
      <c r="V167" s="332">
        <v>2</v>
      </c>
      <c r="W167" s="287"/>
      <c r="X167" s="126">
        <f t="shared" ref="X167:X170" si="31">(IF(U167&gt;V167,3,IF(U167=V167,1,2)))</f>
        <v>1</v>
      </c>
      <c r="Y167" s="125">
        <f t="shared" ref="Y167:Y170" si="32">(IF(V167&gt;U167,3,IF(U167=V167,1,2)))</f>
        <v>1</v>
      </c>
    </row>
    <row r="168" spans="1:25" s="13" customFormat="1" ht="15" thickBot="1" x14ac:dyDescent="0.35">
      <c r="A168" s="335"/>
      <c r="B168" s="334"/>
      <c r="C168" s="58"/>
      <c r="D168" s="79"/>
      <c r="E168" s="79"/>
      <c r="F168" s="79" t="s">
        <v>170</v>
      </c>
      <c r="G168" s="81" t="s">
        <v>183</v>
      </c>
      <c r="H168" s="8"/>
      <c r="I168" s="8"/>
      <c r="J168" s="5"/>
      <c r="K168" s="108"/>
      <c r="S168" s="117" t="s">
        <v>61</v>
      </c>
      <c r="T168" s="332" t="s">
        <v>117</v>
      </c>
      <c r="U168" s="332">
        <v>0</v>
      </c>
      <c r="V168" s="332">
        <v>3</v>
      </c>
      <c r="W168" s="287"/>
      <c r="X168" s="126">
        <f t="shared" si="31"/>
        <v>2</v>
      </c>
      <c r="Y168" s="125">
        <f t="shared" si="32"/>
        <v>3</v>
      </c>
    </row>
    <row r="169" spans="1:25" s="13" customFormat="1" x14ac:dyDescent="0.3">
      <c r="A169" s="335"/>
      <c r="B169" s="334"/>
      <c r="C169" s="40">
        <v>43275</v>
      </c>
      <c r="D169" s="49" t="s">
        <v>351</v>
      </c>
      <c r="E169" s="49" t="s">
        <v>355</v>
      </c>
      <c r="F169" s="49">
        <v>2</v>
      </c>
      <c r="G169" s="51">
        <v>2</v>
      </c>
      <c r="H169" s="5"/>
      <c r="I169" s="5" t="s">
        <v>427</v>
      </c>
      <c r="J169" s="5"/>
      <c r="K169" s="108"/>
      <c r="S169" s="117" t="s">
        <v>351</v>
      </c>
      <c r="T169" s="332" t="s">
        <v>61</v>
      </c>
      <c r="U169" s="332">
        <v>0</v>
      </c>
      <c r="V169" s="332">
        <v>1</v>
      </c>
      <c r="W169" s="287"/>
      <c r="X169" s="126">
        <f t="shared" si="31"/>
        <v>2</v>
      </c>
      <c r="Y169" s="125">
        <f t="shared" si="32"/>
        <v>3</v>
      </c>
    </row>
    <row r="170" spans="1:25" ht="15" thickBot="1" x14ac:dyDescent="0.35">
      <c r="A170" s="335"/>
      <c r="B170" s="334"/>
      <c r="C170" s="58"/>
      <c r="D170" s="79"/>
      <c r="E170" s="79"/>
      <c r="F170" s="79" t="s">
        <v>172</v>
      </c>
      <c r="G170" s="81" t="s">
        <v>183</v>
      </c>
      <c r="H170" s="8"/>
      <c r="I170" s="8"/>
      <c r="J170" s="5"/>
      <c r="K170" s="108"/>
      <c r="S170" s="117" t="s">
        <v>355</v>
      </c>
      <c r="T170" s="332" t="s">
        <v>117</v>
      </c>
      <c r="U170" s="332">
        <v>0</v>
      </c>
      <c r="V170" s="332">
        <v>1</v>
      </c>
      <c r="W170" s="287"/>
      <c r="X170" s="126">
        <f t="shared" si="31"/>
        <v>2</v>
      </c>
      <c r="Y170" s="125">
        <f t="shared" si="32"/>
        <v>3</v>
      </c>
    </row>
    <row r="171" spans="1:25" x14ac:dyDescent="0.3">
      <c r="A171" s="335"/>
      <c r="B171" s="334"/>
      <c r="C171" s="40">
        <v>43275</v>
      </c>
      <c r="D171" s="49" t="s">
        <v>61</v>
      </c>
      <c r="E171" s="49" t="s">
        <v>117</v>
      </c>
      <c r="F171" s="49">
        <v>0</v>
      </c>
      <c r="G171" s="51">
        <v>3</v>
      </c>
      <c r="H171" s="5"/>
      <c r="I171" s="5" t="s">
        <v>433</v>
      </c>
      <c r="J171" s="5"/>
      <c r="K171" s="108"/>
      <c r="S171" s="117"/>
      <c r="T171" s="332"/>
      <c r="U171" s="332"/>
      <c r="V171" s="332"/>
      <c r="W171" s="287"/>
      <c r="X171" s="126"/>
      <c r="Y171" s="125"/>
    </row>
    <row r="172" spans="1:25" ht="15" thickBot="1" x14ac:dyDescent="0.35">
      <c r="A172" s="335"/>
      <c r="B172" s="334"/>
      <c r="C172" s="58"/>
      <c r="D172" s="79"/>
      <c r="E172" s="79"/>
      <c r="F172" s="79" t="s">
        <v>170</v>
      </c>
      <c r="G172" s="81" t="s">
        <v>183</v>
      </c>
      <c r="H172" s="8"/>
      <c r="I172" s="8"/>
      <c r="J172" s="5"/>
      <c r="K172" s="108"/>
      <c r="S172" s="117"/>
      <c r="T172" s="332"/>
      <c r="U172" s="332"/>
      <c r="V172" s="332"/>
      <c r="W172" s="95"/>
      <c r="X172" s="95"/>
      <c r="Y172" s="169"/>
    </row>
    <row r="173" spans="1:25" x14ac:dyDescent="0.3">
      <c r="A173" s="335"/>
      <c r="B173" s="334"/>
      <c r="C173" s="40">
        <v>43279</v>
      </c>
      <c r="D173" s="49" t="s">
        <v>351</v>
      </c>
      <c r="E173" s="49" t="s">
        <v>61</v>
      </c>
      <c r="F173" s="49">
        <v>0</v>
      </c>
      <c r="G173" s="51">
        <v>1</v>
      </c>
      <c r="H173" s="5"/>
      <c r="I173" s="5" t="s">
        <v>431</v>
      </c>
      <c r="J173" s="5"/>
      <c r="K173" s="108"/>
      <c r="S173" s="117"/>
      <c r="T173" s="332"/>
      <c r="U173" s="332"/>
      <c r="V173" s="332"/>
      <c r="W173" s="287"/>
      <c r="X173" s="126"/>
      <c r="Y173" s="125"/>
    </row>
    <row r="174" spans="1:25" ht="15" thickBot="1" x14ac:dyDescent="0.35">
      <c r="A174" s="335"/>
      <c r="B174" s="334"/>
      <c r="C174" s="58"/>
      <c r="D174" s="79"/>
      <c r="E174" s="79"/>
      <c r="F174" s="79" t="s">
        <v>170</v>
      </c>
      <c r="G174" s="81" t="s">
        <v>171</v>
      </c>
      <c r="H174" s="8"/>
      <c r="I174" s="8"/>
      <c r="J174" s="5"/>
      <c r="K174" s="108"/>
      <c r="S174" s="117"/>
      <c r="T174" s="332"/>
      <c r="U174" s="332"/>
      <c r="V174" s="332"/>
      <c r="W174" s="287"/>
      <c r="X174" s="126"/>
      <c r="Y174" s="125"/>
    </row>
    <row r="175" spans="1:25" x14ac:dyDescent="0.3">
      <c r="A175" s="335"/>
      <c r="B175" s="17"/>
      <c r="C175" s="40">
        <v>43279</v>
      </c>
      <c r="D175" s="43" t="s">
        <v>355</v>
      </c>
      <c r="E175" s="43" t="s">
        <v>117</v>
      </c>
      <c r="F175" s="49">
        <v>0</v>
      </c>
      <c r="G175" s="51">
        <v>1</v>
      </c>
      <c r="H175" s="5"/>
      <c r="I175" s="5" t="s">
        <v>430</v>
      </c>
      <c r="J175" s="5"/>
      <c r="K175" s="108"/>
      <c r="S175" s="117"/>
      <c r="T175" s="287"/>
      <c r="U175" s="287"/>
      <c r="V175" s="287"/>
      <c r="W175" s="287"/>
      <c r="X175" s="126"/>
      <c r="Y175" s="125"/>
    </row>
    <row r="176" spans="1:25" x14ac:dyDescent="0.3">
      <c r="A176" s="156"/>
      <c r="B176" s="17"/>
      <c r="C176" s="17"/>
      <c r="D176" s="43"/>
      <c r="E176" s="43"/>
      <c r="F176" s="49" t="s">
        <v>170</v>
      </c>
      <c r="G176" s="51" t="s">
        <v>171</v>
      </c>
      <c r="H176" s="5"/>
      <c r="I176" s="5"/>
      <c r="J176" s="5"/>
      <c r="K176" s="108"/>
      <c r="S176" s="117"/>
      <c r="T176" s="287"/>
      <c r="U176" s="287"/>
      <c r="V176" s="287"/>
      <c r="W176" s="287"/>
      <c r="X176" s="126"/>
      <c r="Y176" s="125"/>
    </row>
    <row r="177" spans="1:25" x14ac:dyDescent="0.3">
      <c r="A177" s="156"/>
      <c r="B177" s="17"/>
      <c r="C177" s="17"/>
      <c r="D177" s="17"/>
      <c r="E177" s="17"/>
      <c r="F177" s="334"/>
      <c r="G177" s="5"/>
      <c r="H177" s="5"/>
      <c r="I177" s="5"/>
      <c r="J177" s="5"/>
      <c r="K177" s="108"/>
      <c r="S177" s="117"/>
      <c r="T177" s="287"/>
      <c r="U177" s="287"/>
      <c r="V177" s="287"/>
      <c r="W177" s="287"/>
      <c r="X177" s="126"/>
      <c r="Y177" s="125"/>
    </row>
    <row r="178" spans="1:25" s="13" customFormat="1" ht="15" thickBot="1" x14ac:dyDescent="0.35">
      <c r="A178" s="335"/>
      <c r="B178" s="334" t="s">
        <v>298</v>
      </c>
      <c r="C178" s="334" t="s">
        <v>12</v>
      </c>
      <c r="D178" s="334" t="s">
        <v>13</v>
      </c>
      <c r="E178" s="334" t="s">
        <v>14</v>
      </c>
      <c r="F178" s="334" t="s">
        <v>15</v>
      </c>
      <c r="G178" s="5" t="s">
        <v>24</v>
      </c>
      <c r="H178" s="5" t="s">
        <v>25</v>
      </c>
      <c r="I178" s="5" t="s">
        <v>301</v>
      </c>
      <c r="J178" s="5"/>
      <c r="K178" s="108"/>
      <c r="S178" s="168"/>
      <c r="T178" s="95"/>
      <c r="U178" s="95"/>
      <c r="V178" s="95"/>
      <c r="W178" s="95"/>
      <c r="X178" s="95"/>
      <c r="Y178" s="169"/>
    </row>
    <row r="179" spans="1:25" s="13" customFormat="1" x14ac:dyDescent="0.3">
      <c r="A179" s="335" t="s">
        <v>113</v>
      </c>
      <c r="B179" s="14" t="s">
        <v>117</v>
      </c>
      <c r="C179" s="338">
        <v>3</v>
      </c>
      <c r="D179" s="338">
        <v>2</v>
      </c>
      <c r="E179" s="338">
        <v>0</v>
      </c>
      <c r="F179" s="338">
        <v>1</v>
      </c>
      <c r="G179" s="15">
        <v>4</v>
      </c>
      <c r="H179" s="15">
        <v>3</v>
      </c>
      <c r="I179" s="15">
        <v>6</v>
      </c>
      <c r="J179" s="86"/>
      <c r="K179" s="108"/>
      <c r="S179" s="117"/>
      <c r="T179" s="287"/>
      <c r="U179" s="287"/>
      <c r="V179" s="287"/>
      <c r="W179" s="287"/>
      <c r="X179" s="126"/>
      <c r="Y179" s="125"/>
    </row>
    <row r="180" spans="1:25" s="13" customFormat="1" x14ac:dyDescent="0.3">
      <c r="A180" s="335"/>
      <c r="B180" s="21" t="s">
        <v>351</v>
      </c>
      <c r="C180" s="17"/>
      <c r="D180" s="17"/>
      <c r="E180" s="17"/>
      <c r="F180" s="17"/>
      <c r="G180" s="18"/>
      <c r="H180" s="18"/>
      <c r="I180" s="18"/>
      <c r="J180" s="86"/>
      <c r="K180" s="108"/>
      <c r="S180" s="122"/>
      <c r="T180" s="17"/>
      <c r="U180" s="17"/>
      <c r="V180" s="17"/>
      <c r="W180" s="17"/>
      <c r="X180" s="126"/>
      <c r="Y180" s="125"/>
    </row>
    <row r="181" spans="1:25" x14ac:dyDescent="0.3">
      <c r="A181" s="335"/>
      <c r="B181" s="3" t="s">
        <v>61</v>
      </c>
      <c r="C181" s="334"/>
      <c r="D181" s="334"/>
      <c r="E181" s="334"/>
      <c r="F181" s="334"/>
      <c r="G181" s="5"/>
      <c r="H181" s="5"/>
      <c r="I181" s="5"/>
      <c r="J181" s="87"/>
      <c r="K181" s="108"/>
      <c r="S181" s="117"/>
      <c r="T181" s="287"/>
      <c r="U181" s="287"/>
      <c r="V181" s="287"/>
      <c r="W181" s="287"/>
      <c r="X181" s="126"/>
      <c r="Y181" s="125"/>
    </row>
    <row r="182" spans="1:25" ht="15" thickBot="1" x14ac:dyDescent="0.35">
      <c r="A182" s="335"/>
      <c r="B182" s="7" t="s">
        <v>355</v>
      </c>
      <c r="C182" s="337"/>
      <c r="D182" s="337"/>
      <c r="E182" s="337"/>
      <c r="F182" s="337"/>
      <c r="G182" s="8"/>
      <c r="H182" s="8"/>
      <c r="I182" s="8"/>
      <c r="J182" s="87"/>
      <c r="K182" s="108"/>
      <c r="S182" s="117"/>
      <c r="T182" s="287"/>
      <c r="U182" s="287"/>
      <c r="V182" s="287"/>
      <c r="W182" s="287"/>
      <c r="X182" s="126"/>
      <c r="Y182" s="125"/>
    </row>
    <row r="183" spans="1:25" ht="15" thickBot="1" x14ac:dyDescent="0.35">
      <c r="A183" s="110"/>
      <c r="B183" s="36"/>
      <c r="C183" s="36"/>
      <c r="D183" s="36"/>
      <c r="E183" s="36"/>
      <c r="F183" s="36"/>
      <c r="G183" s="37"/>
      <c r="H183" s="37"/>
      <c r="I183" s="37"/>
      <c r="J183" s="37"/>
      <c r="K183" s="193"/>
      <c r="L183" s="288"/>
      <c r="S183" s="122"/>
      <c r="T183" s="17"/>
      <c r="U183" s="17"/>
      <c r="V183" s="17"/>
      <c r="W183" s="17"/>
      <c r="X183" s="126"/>
      <c r="Y183" s="125"/>
    </row>
    <row r="184" spans="1:25" s="13" customFormat="1" ht="15" thickTop="1" x14ac:dyDescent="0.3">
      <c r="A184" s="335"/>
      <c r="B184" s="334"/>
      <c r="C184" s="334"/>
      <c r="D184" s="334"/>
      <c r="E184" s="334"/>
      <c r="F184" s="334"/>
      <c r="G184" s="5"/>
      <c r="H184" s="5"/>
      <c r="I184" s="5"/>
      <c r="J184" s="5"/>
      <c r="K184" s="108"/>
      <c r="L184" s="10"/>
      <c r="S184" s="117"/>
      <c r="T184" s="287"/>
      <c r="U184" s="287"/>
      <c r="V184" s="287"/>
      <c r="W184" s="287"/>
      <c r="X184" s="126"/>
      <c r="Y184" s="125"/>
    </row>
    <row r="185" spans="1:25" s="13" customFormat="1" ht="21" x14ac:dyDescent="0.4">
      <c r="A185" s="335"/>
      <c r="B185" s="334"/>
      <c r="C185" s="334"/>
      <c r="D185" s="334"/>
      <c r="E185" s="334"/>
      <c r="F185" s="333" t="s">
        <v>457</v>
      </c>
      <c r="G185" s="5"/>
      <c r="H185" s="5"/>
      <c r="I185" s="5"/>
      <c r="J185" s="5"/>
      <c r="K185" s="108"/>
      <c r="L185" s="10"/>
      <c r="S185" s="117"/>
      <c r="T185" s="287"/>
      <c r="U185" s="287"/>
      <c r="V185" s="287"/>
      <c r="W185" s="287"/>
      <c r="X185" s="126"/>
      <c r="Y185" s="125"/>
    </row>
    <row r="186" spans="1:25" x14ac:dyDescent="0.3">
      <c r="A186" s="335"/>
      <c r="B186" s="334"/>
      <c r="C186" s="49"/>
      <c r="D186" s="49"/>
      <c r="E186" s="49"/>
      <c r="F186" s="49"/>
      <c r="G186" s="51"/>
      <c r="H186" s="51"/>
      <c r="I186" s="51"/>
      <c r="J186" s="5"/>
      <c r="K186" s="108"/>
      <c r="L186" s="288"/>
      <c r="S186" s="117"/>
      <c r="T186" s="287"/>
      <c r="U186" s="287"/>
      <c r="V186" s="287"/>
      <c r="W186" s="287"/>
      <c r="X186" s="287"/>
      <c r="Y186" s="118"/>
    </row>
    <row r="187" spans="1:25" x14ac:dyDescent="0.3">
      <c r="A187" s="335"/>
      <c r="B187" s="334"/>
      <c r="C187" s="82">
        <v>43281</v>
      </c>
      <c r="D187" s="43" t="s">
        <v>3</v>
      </c>
      <c r="E187" s="43" t="s">
        <v>5</v>
      </c>
      <c r="F187" s="43">
        <v>4</v>
      </c>
      <c r="G187" s="48">
        <v>3</v>
      </c>
      <c r="H187" s="51"/>
      <c r="I187" s="51" t="s">
        <v>433</v>
      </c>
      <c r="J187" s="5"/>
      <c r="K187" s="108"/>
      <c r="L187" s="288"/>
      <c r="S187" s="122" t="s">
        <v>3</v>
      </c>
      <c r="T187" s="17" t="s">
        <v>5</v>
      </c>
      <c r="U187" s="17">
        <v>4</v>
      </c>
      <c r="V187" s="17">
        <v>3</v>
      </c>
      <c r="W187" s="17"/>
      <c r="X187" s="17">
        <f t="shared" ref="X187:X189" si="33">(IF(U187&gt;V187,3,IF(U187=V187,1,2)))</f>
        <v>3</v>
      </c>
      <c r="Y187" s="123">
        <f t="shared" ref="Y187:Y189" si="34">(IF(V187&gt;U187,3,IF(U187=V187,1,2)))</f>
        <v>2</v>
      </c>
    </row>
    <row r="188" spans="1:25" ht="15" thickBot="1" x14ac:dyDescent="0.35">
      <c r="A188" s="335"/>
      <c r="B188" s="334"/>
      <c r="C188" s="83"/>
      <c r="D188" s="80"/>
      <c r="E188" s="80"/>
      <c r="F188" s="80" t="s">
        <v>172</v>
      </c>
      <c r="G188" s="84" t="s">
        <v>183</v>
      </c>
      <c r="H188" s="81"/>
      <c r="I188" s="81"/>
      <c r="J188" s="5"/>
      <c r="K188" s="108"/>
      <c r="L188" s="288"/>
      <c r="S188" s="122" t="s">
        <v>18</v>
      </c>
      <c r="T188" s="17" t="s">
        <v>133</v>
      </c>
      <c r="U188" s="17">
        <v>2</v>
      </c>
      <c r="V188" s="17">
        <v>1</v>
      </c>
      <c r="W188" s="287"/>
      <c r="X188" s="126">
        <f t="shared" si="33"/>
        <v>3</v>
      </c>
      <c r="Y188" s="125">
        <f t="shared" si="34"/>
        <v>2</v>
      </c>
    </row>
    <row r="189" spans="1:25" s="13" customFormat="1" x14ac:dyDescent="0.3">
      <c r="A189" s="335"/>
      <c r="B189" s="334"/>
      <c r="C189" s="82">
        <v>43281</v>
      </c>
      <c r="D189" s="43" t="s">
        <v>18</v>
      </c>
      <c r="E189" s="43" t="s">
        <v>133</v>
      </c>
      <c r="F189" s="43">
        <v>2</v>
      </c>
      <c r="G189" s="48">
        <v>1</v>
      </c>
      <c r="H189" s="51"/>
      <c r="I189" s="51" t="s">
        <v>432</v>
      </c>
      <c r="J189" s="5"/>
      <c r="K189" s="108"/>
      <c r="L189" s="10"/>
      <c r="S189" s="117" t="s">
        <v>35</v>
      </c>
      <c r="T189" s="334" t="s">
        <v>302</v>
      </c>
      <c r="U189" s="334">
        <v>4</v>
      </c>
      <c r="V189" s="334">
        <v>5</v>
      </c>
      <c r="W189" s="17" t="s">
        <v>214</v>
      </c>
      <c r="X189" s="126">
        <f t="shared" si="33"/>
        <v>2</v>
      </c>
      <c r="Y189" s="125">
        <f t="shared" si="34"/>
        <v>3</v>
      </c>
    </row>
    <row r="190" spans="1:25" ht="15" thickBot="1" x14ac:dyDescent="0.35">
      <c r="A190" s="335"/>
      <c r="B190" s="334"/>
      <c r="C190" s="83"/>
      <c r="D190" s="80"/>
      <c r="E190" s="80"/>
      <c r="F190" s="80" t="s">
        <v>172</v>
      </c>
      <c r="G190" s="84" t="s">
        <v>171</v>
      </c>
      <c r="H190" s="81"/>
      <c r="I190" s="81"/>
      <c r="J190" s="5"/>
      <c r="K190" s="108"/>
      <c r="L190" s="288"/>
      <c r="S190" s="122" t="s">
        <v>353</v>
      </c>
      <c r="T190" s="17" t="s">
        <v>258</v>
      </c>
      <c r="U190" s="17">
        <v>4</v>
      </c>
      <c r="V190" s="17">
        <v>3</v>
      </c>
      <c r="W190" s="287" t="s">
        <v>214</v>
      </c>
      <c r="X190" s="126">
        <f t="shared" ref="X190:X194" si="35">(IF(U190&gt;V190,3,IF(U190=V190,1,2)))</f>
        <v>3</v>
      </c>
      <c r="Y190" s="125">
        <f t="shared" ref="Y190:Y194" si="36">(IF(V190&gt;U190,3,IF(U190=V190,1,2)))</f>
        <v>2</v>
      </c>
    </row>
    <row r="191" spans="1:25" x14ac:dyDescent="0.3">
      <c r="A191" s="335"/>
      <c r="B191" s="33"/>
      <c r="C191" s="82">
        <v>43282</v>
      </c>
      <c r="D191" s="43" t="s">
        <v>35</v>
      </c>
      <c r="E191" s="43" t="s">
        <v>302</v>
      </c>
      <c r="F191" s="43">
        <v>3</v>
      </c>
      <c r="G191" s="48">
        <v>4</v>
      </c>
      <c r="H191" s="51" t="s">
        <v>214</v>
      </c>
      <c r="I191" s="51" t="s">
        <v>426</v>
      </c>
      <c r="J191" s="5"/>
      <c r="K191" s="108"/>
      <c r="L191" s="288"/>
      <c r="S191" s="117" t="s">
        <v>9</v>
      </c>
      <c r="T191" s="334" t="s">
        <v>4</v>
      </c>
      <c r="U191" s="334">
        <v>2</v>
      </c>
      <c r="V191" s="334">
        <v>0</v>
      </c>
      <c r="W191" s="287"/>
      <c r="X191" s="126">
        <f t="shared" si="35"/>
        <v>3</v>
      </c>
      <c r="Y191" s="125">
        <f t="shared" si="36"/>
        <v>2</v>
      </c>
    </row>
    <row r="192" spans="1:25" x14ac:dyDescent="0.3">
      <c r="A192" s="335"/>
      <c r="B192" s="33"/>
      <c r="C192" s="82"/>
      <c r="D192" s="43"/>
      <c r="E192" s="43"/>
      <c r="F192" s="43">
        <v>1</v>
      </c>
      <c r="G192" s="48">
        <v>1</v>
      </c>
      <c r="H192" s="51" t="s">
        <v>30</v>
      </c>
      <c r="I192" s="51"/>
      <c r="J192" s="5"/>
      <c r="K192" s="108"/>
      <c r="L192" s="339"/>
      <c r="S192" s="117" t="s">
        <v>21</v>
      </c>
      <c r="T192" s="334" t="s">
        <v>351</v>
      </c>
      <c r="U192" s="334">
        <v>3</v>
      </c>
      <c r="V192" s="334">
        <v>2</v>
      </c>
      <c r="W192" s="334"/>
      <c r="X192" s="126">
        <f t="shared" si="35"/>
        <v>3</v>
      </c>
      <c r="Y192" s="125">
        <f t="shared" si="36"/>
        <v>2</v>
      </c>
    </row>
    <row r="193" spans="1:25" x14ac:dyDescent="0.3">
      <c r="A193" s="335"/>
      <c r="B193" s="33"/>
      <c r="C193" s="82"/>
      <c r="D193" s="43"/>
      <c r="E193" s="43"/>
      <c r="F193" s="43">
        <v>1</v>
      </c>
      <c r="G193" s="48">
        <v>1</v>
      </c>
      <c r="H193" s="51"/>
      <c r="I193" s="51"/>
      <c r="J193" s="5"/>
      <c r="K193" s="108"/>
      <c r="L193" s="339"/>
      <c r="S193" s="117" t="s">
        <v>41</v>
      </c>
      <c r="T193" s="334" t="s">
        <v>43</v>
      </c>
      <c r="U193" s="334">
        <v>1</v>
      </c>
      <c r="V193" s="334">
        <v>0</v>
      </c>
      <c r="W193" s="334"/>
      <c r="X193" s="126">
        <f t="shared" si="35"/>
        <v>3</v>
      </c>
      <c r="Y193" s="125">
        <f t="shared" si="36"/>
        <v>2</v>
      </c>
    </row>
    <row r="194" spans="1:25" ht="15" thickBot="1" x14ac:dyDescent="0.35">
      <c r="A194" s="335"/>
      <c r="B194" s="33"/>
      <c r="C194" s="83"/>
      <c r="D194" s="80"/>
      <c r="E194" s="80"/>
      <c r="F194" s="80" t="s">
        <v>172</v>
      </c>
      <c r="G194" s="84" t="s">
        <v>183</v>
      </c>
      <c r="H194" s="81"/>
      <c r="I194" s="81"/>
      <c r="J194" s="5"/>
      <c r="K194" s="108"/>
      <c r="L194" s="288"/>
      <c r="S194" s="117" t="s">
        <v>117</v>
      </c>
      <c r="T194" s="334" t="s">
        <v>74</v>
      </c>
      <c r="U194" s="334">
        <v>4</v>
      </c>
      <c r="V194" s="334">
        <v>5</v>
      </c>
      <c r="W194" s="287" t="s">
        <v>214</v>
      </c>
      <c r="X194" s="126">
        <f t="shared" si="35"/>
        <v>2</v>
      </c>
      <c r="Y194" s="125">
        <f t="shared" si="36"/>
        <v>3</v>
      </c>
    </row>
    <row r="195" spans="1:25" x14ac:dyDescent="0.3">
      <c r="A195" s="156"/>
      <c r="B195" s="334"/>
      <c r="C195" s="82">
        <v>43282</v>
      </c>
      <c r="D195" s="43" t="s">
        <v>353</v>
      </c>
      <c r="E195" s="43" t="s">
        <v>258</v>
      </c>
      <c r="F195" s="43">
        <v>3</v>
      </c>
      <c r="G195" s="48">
        <v>2</v>
      </c>
      <c r="H195" s="51" t="s">
        <v>214</v>
      </c>
      <c r="I195" s="51" t="s">
        <v>437</v>
      </c>
      <c r="J195" s="5"/>
      <c r="K195" s="108"/>
      <c r="L195" s="288"/>
      <c r="S195" s="117"/>
      <c r="T195" s="334"/>
      <c r="U195" s="334"/>
      <c r="V195" s="334"/>
      <c r="W195" s="17"/>
      <c r="X195" s="126"/>
      <c r="Y195" s="125"/>
    </row>
    <row r="196" spans="1:25" x14ac:dyDescent="0.3">
      <c r="A196" s="156"/>
      <c r="B196" s="334"/>
      <c r="C196" s="82"/>
      <c r="D196" s="43"/>
      <c r="E196" s="43"/>
      <c r="F196" s="43">
        <v>1</v>
      </c>
      <c r="G196" s="48">
        <v>1</v>
      </c>
      <c r="H196" s="51" t="s">
        <v>30</v>
      </c>
      <c r="I196" s="51"/>
      <c r="J196" s="5"/>
      <c r="K196" s="108"/>
      <c r="L196" s="339"/>
      <c r="S196" s="117"/>
      <c r="T196" s="334"/>
      <c r="U196" s="334"/>
      <c r="V196" s="334"/>
      <c r="W196" s="17"/>
      <c r="X196" s="126"/>
      <c r="Y196" s="125"/>
    </row>
    <row r="197" spans="1:25" x14ac:dyDescent="0.3">
      <c r="A197" s="156"/>
      <c r="B197" s="334"/>
      <c r="C197" s="82"/>
      <c r="D197" s="43"/>
      <c r="E197" s="43"/>
      <c r="F197" s="43">
        <v>1</v>
      </c>
      <c r="G197" s="48">
        <v>1</v>
      </c>
      <c r="H197" s="51"/>
      <c r="I197" s="51"/>
      <c r="J197" s="5"/>
      <c r="K197" s="108"/>
      <c r="L197" s="339"/>
      <c r="S197" s="117"/>
      <c r="T197" s="334"/>
      <c r="U197" s="334"/>
      <c r="V197" s="334"/>
      <c r="W197" s="17"/>
      <c r="X197" s="17"/>
      <c r="Y197" s="123"/>
    </row>
    <row r="198" spans="1:25" s="13" customFormat="1" ht="15" thickBot="1" x14ac:dyDescent="0.35">
      <c r="A198" s="156"/>
      <c r="B198" s="334"/>
      <c r="C198" s="83"/>
      <c r="D198" s="80"/>
      <c r="E198" s="80"/>
      <c r="F198" s="80" t="s">
        <v>172</v>
      </c>
      <c r="G198" s="84" t="s">
        <v>183</v>
      </c>
      <c r="H198" s="81"/>
      <c r="I198" s="81"/>
      <c r="J198" s="5"/>
      <c r="K198" s="108"/>
      <c r="L198" s="10"/>
      <c r="S198" s="117"/>
      <c r="T198" s="334"/>
      <c r="U198" s="334"/>
      <c r="V198" s="334"/>
      <c r="W198" s="287"/>
      <c r="X198" s="287"/>
      <c r="Y198" s="118"/>
    </row>
    <row r="199" spans="1:25" s="13" customFormat="1" x14ac:dyDescent="0.3">
      <c r="A199" s="156"/>
      <c r="B199" s="334"/>
      <c r="C199" s="82">
        <v>43283</v>
      </c>
      <c r="D199" s="43" t="s">
        <v>9</v>
      </c>
      <c r="E199" s="43" t="s">
        <v>4</v>
      </c>
      <c r="F199" s="43">
        <v>2</v>
      </c>
      <c r="G199" s="48">
        <v>0</v>
      </c>
      <c r="H199" s="51"/>
      <c r="I199" s="51" t="s">
        <v>430</v>
      </c>
      <c r="J199" s="5"/>
      <c r="K199" s="108"/>
      <c r="L199" s="10"/>
      <c r="S199" s="117"/>
      <c r="T199" s="334"/>
      <c r="U199" s="334"/>
      <c r="V199" s="334"/>
      <c r="W199" s="287"/>
      <c r="X199" s="287"/>
      <c r="Y199" s="118"/>
    </row>
    <row r="200" spans="1:25" s="13" customFormat="1" ht="15" thickBot="1" x14ac:dyDescent="0.35">
      <c r="A200" s="156"/>
      <c r="B200" s="334"/>
      <c r="C200" s="83"/>
      <c r="D200" s="80"/>
      <c r="E200" s="80"/>
      <c r="F200" s="80" t="s">
        <v>170</v>
      </c>
      <c r="G200" s="84" t="s">
        <v>171</v>
      </c>
      <c r="H200" s="81"/>
      <c r="I200" s="81"/>
      <c r="J200" s="5"/>
      <c r="K200" s="108"/>
      <c r="S200" s="117"/>
      <c r="T200" s="334"/>
      <c r="U200" s="334"/>
      <c r="V200" s="334"/>
      <c r="W200" s="287"/>
      <c r="X200" s="287"/>
      <c r="Y200" s="118"/>
    </row>
    <row r="201" spans="1:25" s="13" customFormat="1" x14ac:dyDescent="0.3">
      <c r="A201" s="156"/>
      <c r="B201" s="334"/>
      <c r="C201" s="82">
        <v>43283</v>
      </c>
      <c r="D201" s="43" t="s">
        <v>21</v>
      </c>
      <c r="E201" s="43" t="s">
        <v>351</v>
      </c>
      <c r="F201" s="43">
        <v>3</v>
      </c>
      <c r="G201" s="48">
        <v>2</v>
      </c>
      <c r="H201" s="51"/>
      <c r="I201" s="51" t="s">
        <v>438</v>
      </c>
      <c r="J201" s="5"/>
      <c r="K201" s="108"/>
      <c r="S201" s="117"/>
      <c r="T201" s="334"/>
      <c r="U201" s="334"/>
      <c r="V201" s="334"/>
      <c r="W201" s="287"/>
      <c r="X201" s="287"/>
      <c r="Y201" s="118"/>
    </row>
    <row r="202" spans="1:25" ht="15" thickBot="1" x14ac:dyDescent="0.35">
      <c r="A202" s="156"/>
      <c r="B202" s="334"/>
      <c r="C202" s="83"/>
      <c r="D202" s="80"/>
      <c r="E202" s="80"/>
      <c r="F202" s="80" t="s">
        <v>170</v>
      </c>
      <c r="G202" s="84" t="s">
        <v>171</v>
      </c>
      <c r="H202" s="81"/>
      <c r="I202" s="81"/>
      <c r="J202" s="5"/>
      <c r="K202" s="108"/>
      <c r="L202" s="288"/>
      <c r="S202" s="117"/>
      <c r="T202" s="334"/>
      <c r="U202" s="334"/>
      <c r="V202" s="334"/>
      <c r="W202" s="287"/>
      <c r="X202" s="287"/>
      <c r="Y202" s="118"/>
    </row>
    <row r="203" spans="1:25" x14ac:dyDescent="0.3">
      <c r="A203" s="156"/>
      <c r="B203" s="334"/>
      <c r="C203" s="82">
        <v>43284</v>
      </c>
      <c r="D203" s="43" t="s">
        <v>41</v>
      </c>
      <c r="E203" s="43" t="s">
        <v>43</v>
      </c>
      <c r="F203" s="43">
        <v>1</v>
      </c>
      <c r="G203" s="48">
        <v>0</v>
      </c>
      <c r="H203" s="51"/>
      <c r="I203" s="51" t="s">
        <v>428</v>
      </c>
      <c r="J203" s="5"/>
      <c r="K203" s="108"/>
      <c r="L203" s="288"/>
      <c r="S203" s="117"/>
      <c r="T203" s="334"/>
      <c r="U203" s="334"/>
      <c r="V203" s="334"/>
      <c r="W203" s="287"/>
      <c r="X203" s="126"/>
      <c r="Y203" s="125"/>
    </row>
    <row r="204" spans="1:25" s="13" customFormat="1" ht="15" thickBot="1" x14ac:dyDescent="0.35">
      <c r="A204" s="156"/>
      <c r="B204" s="334"/>
      <c r="C204" s="83"/>
      <c r="D204" s="80"/>
      <c r="E204" s="80"/>
      <c r="F204" s="80" t="s">
        <v>170</v>
      </c>
      <c r="G204" s="84" t="s">
        <v>171</v>
      </c>
      <c r="H204" s="81"/>
      <c r="I204" s="81"/>
      <c r="J204" s="5"/>
      <c r="K204" s="108"/>
      <c r="L204" s="10"/>
      <c r="S204" s="117"/>
      <c r="T204" s="334"/>
      <c r="U204" s="334"/>
      <c r="V204" s="334"/>
      <c r="W204" s="287"/>
      <c r="X204" s="287"/>
      <c r="Y204" s="118"/>
    </row>
    <row r="205" spans="1:25" s="13" customFormat="1" x14ac:dyDescent="0.3">
      <c r="A205" s="156"/>
      <c r="B205" s="334"/>
      <c r="C205" s="82">
        <v>43284</v>
      </c>
      <c r="D205" s="43" t="s">
        <v>117</v>
      </c>
      <c r="E205" s="43" t="s">
        <v>74</v>
      </c>
      <c r="F205" s="43">
        <v>3</v>
      </c>
      <c r="G205" s="48">
        <v>4</v>
      </c>
      <c r="H205" s="51" t="s">
        <v>214</v>
      </c>
      <c r="I205" s="51" t="s">
        <v>426</v>
      </c>
      <c r="J205" s="5"/>
      <c r="K205" s="108"/>
      <c r="L205" s="10"/>
      <c r="S205" s="117"/>
      <c r="T205" s="287"/>
      <c r="U205" s="287"/>
      <c r="V205" s="287"/>
      <c r="W205" s="287"/>
      <c r="X205" s="287"/>
      <c r="Y205" s="118"/>
    </row>
    <row r="206" spans="1:25" s="13" customFormat="1" x14ac:dyDescent="0.3">
      <c r="A206" s="156"/>
      <c r="B206" s="334"/>
      <c r="C206" s="49"/>
      <c r="D206" s="43"/>
      <c r="E206" s="43"/>
      <c r="F206" s="43">
        <v>1</v>
      </c>
      <c r="G206" s="48">
        <v>1</v>
      </c>
      <c r="H206" s="51" t="s">
        <v>30</v>
      </c>
      <c r="I206" s="51"/>
      <c r="J206" s="5"/>
      <c r="K206" s="108"/>
      <c r="S206" s="117"/>
      <c r="T206" s="287"/>
      <c r="U206" s="287"/>
      <c r="V206" s="287"/>
      <c r="W206" s="287"/>
      <c r="X206" s="287"/>
      <c r="Y206" s="118"/>
    </row>
    <row r="207" spans="1:25" s="13" customFormat="1" x14ac:dyDescent="0.3">
      <c r="A207" s="156"/>
      <c r="B207" s="334"/>
      <c r="C207" s="49"/>
      <c r="D207" s="49"/>
      <c r="E207" s="49"/>
      <c r="F207" s="33">
        <v>1</v>
      </c>
      <c r="G207" s="309">
        <v>1</v>
      </c>
      <c r="H207" s="51"/>
      <c r="I207" s="51"/>
      <c r="J207" s="5"/>
      <c r="K207" s="108"/>
      <c r="L207" s="10"/>
      <c r="S207" s="117"/>
      <c r="T207" s="287"/>
      <c r="U207" s="287"/>
      <c r="V207" s="287"/>
      <c r="W207" s="287"/>
      <c r="X207" s="287"/>
      <c r="Y207" s="118"/>
    </row>
    <row r="208" spans="1:25" s="13" customFormat="1" x14ac:dyDescent="0.3">
      <c r="A208" s="156"/>
      <c r="B208" s="334"/>
      <c r="C208" s="49"/>
      <c r="D208" s="49"/>
      <c r="E208" s="49"/>
      <c r="F208" s="49" t="s">
        <v>170</v>
      </c>
      <c r="G208" s="51" t="s">
        <v>171</v>
      </c>
      <c r="H208" s="51"/>
      <c r="I208" s="51"/>
      <c r="J208" s="5"/>
      <c r="K208" s="108"/>
      <c r="L208" s="10"/>
      <c r="S208" s="117"/>
      <c r="T208" s="287"/>
      <c r="U208" s="287"/>
      <c r="V208" s="287"/>
      <c r="W208" s="287"/>
      <c r="X208" s="126"/>
      <c r="Y208" s="125"/>
    </row>
    <row r="209" spans="1:25" s="13" customFormat="1" x14ac:dyDescent="0.3">
      <c r="A209" s="156"/>
      <c r="B209" s="334"/>
      <c r="C209" s="334"/>
      <c r="D209" s="334"/>
      <c r="E209" s="334"/>
      <c r="F209" s="334"/>
      <c r="G209" s="5"/>
      <c r="H209" s="5"/>
      <c r="I209" s="5"/>
      <c r="J209" s="5"/>
      <c r="K209" s="108"/>
      <c r="S209" s="117"/>
      <c r="T209" s="287"/>
      <c r="U209" s="287"/>
      <c r="V209" s="287"/>
      <c r="W209" s="287"/>
      <c r="X209" s="126"/>
      <c r="Y209" s="125"/>
    </row>
    <row r="210" spans="1:25" s="13" customFormat="1" x14ac:dyDescent="0.3">
      <c r="A210" s="156"/>
      <c r="B210" s="334"/>
      <c r="C210" s="334"/>
      <c r="D210" s="334"/>
      <c r="E210" s="334"/>
      <c r="F210" s="334"/>
      <c r="G210" s="5"/>
      <c r="H210" s="5"/>
      <c r="I210" s="5"/>
      <c r="J210" s="5"/>
      <c r="K210" s="108"/>
      <c r="L210" s="10"/>
      <c r="S210" s="117"/>
      <c r="T210" s="287"/>
      <c r="U210" s="287"/>
      <c r="V210" s="287"/>
      <c r="W210" s="287"/>
      <c r="X210" s="126"/>
      <c r="Y210" s="125"/>
    </row>
    <row r="211" spans="1:25" s="13" customFormat="1" ht="21" x14ac:dyDescent="0.4">
      <c r="A211" s="156"/>
      <c r="B211" s="334"/>
      <c r="C211" s="334"/>
      <c r="D211" s="334"/>
      <c r="E211" s="334"/>
      <c r="F211" s="333" t="s">
        <v>456</v>
      </c>
      <c r="G211" s="5"/>
      <c r="H211" s="5"/>
      <c r="I211" s="5"/>
      <c r="J211" s="5"/>
      <c r="K211" s="108"/>
      <c r="S211" s="117"/>
      <c r="T211" s="287"/>
      <c r="U211" s="287"/>
      <c r="V211" s="287"/>
      <c r="W211" s="287"/>
      <c r="X211" s="126"/>
      <c r="Y211" s="125"/>
    </row>
    <row r="212" spans="1:25" s="13" customFormat="1" x14ac:dyDescent="0.3">
      <c r="A212" s="156"/>
      <c r="B212" s="334"/>
      <c r="C212" s="334"/>
      <c r="D212" s="49"/>
      <c r="E212" s="49"/>
      <c r="F212" s="49"/>
      <c r="G212" s="51"/>
      <c r="H212" s="51"/>
      <c r="I212" s="5"/>
      <c r="J212" s="5"/>
      <c r="K212" s="108"/>
      <c r="L212" s="10"/>
      <c r="S212" s="117"/>
      <c r="T212" s="287"/>
      <c r="U212" s="287"/>
      <c r="V212" s="287"/>
      <c r="W212" s="287"/>
      <c r="X212" s="126"/>
      <c r="Y212" s="125"/>
    </row>
    <row r="213" spans="1:25" s="13" customFormat="1" x14ac:dyDescent="0.3">
      <c r="A213" s="156"/>
      <c r="B213" s="334"/>
      <c r="C213" s="40">
        <v>43287</v>
      </c>
      <c r="D213" s="49" t="s">
        <v>18</v>
      </c>
      <c r="E213" s="43" t="s">
        <v>3</v>
      </c>
      <c r="F213" s="43">
        <v>0</v>
      </c>
      <c r="G213" s="48">
        <v>2</v>
      </c>
      <c r="H213" s="48"/>
      <c r="I213" s="5" t="s">
        <v>437</v>
      </c>
      <c r="J213" s="5"/>
      <c r="K213" s="108"/>
      <c r="L213" s="10"/>
      <c r="S213" s="117" t="s">
        <v>18</v>
      </c>
      <c r="T213" s="287" t="s">
        <v>3</v>
      </c>
      <c r="U213" s="287">
        <v>0</v>
      </c>
      <c r="V213" s="287">
        <v>2</v>
      </c>
      <c r="W213" s="287"/>
      <c r="X213" s="126">
        <f t="shared" ref="X213:X216" si="37">(IF(U213&gt;V213,3,IF(U213=V213,1,2)))</f>
        <v>2</v>
      </c>
      <c r="Y213" s="125">
        <f t="shared" ref="Y213:Y216" si="38">(IF(V213&gt;U213,3,IF(U213=V213,1,2)))</f>
        <v>3</v>
      </c>
    </row>
    <row r="214" spans="1:25" s="13" customFormat="1" ht="15" thickBot="1" x14ac:dyDescent="0.35">
      <c r="A214" s="156"/>
      <c r="B214" s="334"/>
      <c r="C214" s="58"/>
      <c r="D214" s="80"/>
      <c r="E214" s="80"/>
      <c r="F214" s="80" t="s">
        <v>170</v>
      </c>
      <c r="G214" s="84" t="s">
        <v>183</v>
      </c>
      <c r="H214" s="84"/>
      <c r="I214" s="8"/>
      <c r="J214" s="5"/>
      <c r="K214" s="108"/>
      <c r="L214" s="10"/>
      <c r="S214" s="117" t="s">
        <v>9</v>
      </c>
      <c r="T214" s="334" t="s">
        <v>21</v>
      </c>
      <c r="U214" s="334">
        <v>1</v>
      </c>
      <c r="V214" s="334">
        <v>2</v>
      </c>
      <c r="W214" s="287"/>
      <c r="X214" s="126">
        <f t="shared" si="37"/>
        <v>2</v>
      </c>
      <c r="Y214" s="125">
        <f t="shared" si="38"/>
        <v>3</v>
      </c>
    </row>
    <row r="215" spans="1:25" s="13" customFormat="1" x14ac:dyDescent="0.3">
      <c r="A215" s="156"/>
      <c r="B215" s="334"/>
      <c r="C215" s="40">
        <v>43287</v>
      </c>
      <c r="D215" s="43" t="s">
        <v>9</v>
      </c>
      <c r="E215" s="43" t="s">
        <v>21</v>
      </c>
      <c r="F215" s="43">
        <v>1</v>
      </c>
      <c r="G215" s="48">
        <v>2</v>
      </c>
      <c r="H215" s="48"/>
      <c r="I215" s="5" t="s">
        <v>433</v>
      </c>
      <c r="J215" s="5"/>
      <c r="K215" s="108"/>
      <c r="S215" s="117" t="s">
        <v>41</v>
      </c>
      <c r="T215" s="334" t="s">
        <v>74</v>
      </c>
      <c r="U215" s="334">
        <v>0</v>
      </c>
      <c r="V215" s="334">
        <v>2</v>
      </c>
      <c r="W215" s="287"/>
      <c r="X215" s="126">
        <f t="shared" si="37"/>
        <v>2</v>
      </c>
      <c r="Y215" s="125">
        <f t="shared" si="38"/>
        <v>3</v>
      </c>
    </row>
    <row r="216" spans="1:25" s="13" customFormat="1" ht="15" thickBot="1" x14ac:dyDescent="0.35">
      <c r="A216" s="156"/>
      <c r="B216" s="334"/>
      <c r="C216" s="58"/>
      <c r="D216" s="80"/>
      <c r="E216" s="80"/>
      <c r="F216" s="80" t="s">
        <v>170</v>
      </c>
      <c r="G216" s="84" t="s">
        <v>173</v>
      </c>
      <c r="H216" s="84"/>
      <c r="I216" s="8"/>
      <c r="J216" s="5"/>
      <c r="K216" s="108"/>
      <c r="L216" s="10"/>
      <c r="S216" s="117" t="s">
        <v>302</v>
      </c>
      <c r="T216" s="339" t="s">
        <v>353</v>
      </c>
      <c r="U216" s="339">
        <v>5</v>
      </c>
      <c r="V216" s="339">
        <v>6</v>
      </c>
      <c r="W216" s="287" t="s">
        <v>214</v>
      </c>
      <c r="X216" s="126">
        <f t="shared" si="37"/>
        <v>2</v>
      </c>
      <c r="Y216" s="125">
        <f t="shared" si="38"/>
        <v>3</v>
      </c>
    </row>
    <row r="217" spans="1:25" s="13" customFormat="1" x14ac:dyDescent="0.3">
      <c r="A217" s="156"/>
      <c r="B217" s="334"/>
      <c r="C217" s="40">
        <v>43288</v>
      </c>
      <c r="D217" s="43" t="s">
        <v>41</v>
      </c>
      <c r="E217" s="43" t="s">
        <v>74</v>
      </c>
      <c r="F217" s="43">
        <v>0</v>
      </c>
      <c r="G217" s="48">
        <v>2</v>
      </c>
      <c r="H217" s="48"/>
      <c r="I217" s="5" t="s">
        <v>430</v>
      </c>
      <c r="J217" s="5"/>
      <c r="K217" s="108"/>
      <c r="S217" s="117"/>
      <c r="T217" s="339"/>
      <c r="U217" s="339"/>
      <c r="V217" s="339"/>
      <c r="W217" s="287"/>
      <c r="X217" s="126"/>
      <c r="Y217" s="125"/>
    </row>
    <row r="218" spans="1:25" s="13" customFormat="1" ht="15" thickBot="1" x14ac:dyDescent="0.35">
      <c r="A218" s="156"/>
      <c r="B218" s="334"/>
      <c r="C218" s="58"/>
      <c r="D218" s="80"/>
      <c r="E218" s="80"/>
      <c r="F218" s="80" t="s">
        <v>170</v>
      </c>
      <c r="G218" s="84" t="s">
        <v>183</v>
      </c>
      <c r="H218" s="84"/>
      <c r="I218" s="8"/>
      <c r="J218" s="5"/>
      <c r="K218" s="108"/>
      <c r="S218" s="117"/>
      <c r="T218" s="339"/>
      <c r="U218" s="339"/>
      <c r="V218" s="339"/>
      <c r="W218" s="287"/>
      <c r="X218" s="126"/>
      <c r="Y218" s="125"/>
    </row>
    <row r="219" spans="1:25" s="13" customFormat="1" x14ac:dyDescent="0.3">
      <c r="A219" s="156"/>
      <c r="B219" s="334"/>
      <c r="C219" s="40">
        <v>43288</v>
      </c>
      <c r="D219" s="43" t="s">
        <v>302</v>
      </c>
      <c r="E219" s="43" t="s">
        <v>353</v>
      </c>
      <c r="F219" s="43">
        <v>3</v>
      </c>
      <c r="G219" s="48">
        <v>4</v>
      </c>
      <c r="H219" s="48" t="s">
        <v>214</v>
      </c>
      <c r="I219" s="5" t="s">
        <v>432</v>
      </c>
      <c r="J219" s="5"/>
      <c r="K219" s="108"/>
      <c r="L219" s="10"/>
      <c r="S219" s="117"/>
      <c r="T219" s="288"/>
      <c r="U219" s="288"/>
      <c r="V219" s="288"/>
      <c r="W219" s="288"/>
      <c r="X219" s="126"/>
      <c r="Y219" s="125"/>
    </row>
    <row r="220" spans="1:25" s="13" customFormat="1" x14ac:dyDescent="0.3">
      <c r="A220" s="156"/>
      <c r="B220" s="334"/>
      <c r="C220" s="334"/>
      <c r="D220" s="43"/>
      <c r="E220" s="43"/>
      <c r="F220" s="43">
        <v>2</v>
      </c>
      <c r="G220" s="48">
        <v>2</v>
      </c>
      <c r="H220" s="48" t="s">
        <v>30</v>
      </c>
      <c r="I220" s="5"/>
      <c r="J220" s="5"/>
      <c r="K220" s="108"/>
      <c r="S220" s="117"/>
      <c r="T220" s="288"/>
      <c r="U220" s="288"/>
      <c r="V220" s="288"/>
      <c r="W220" s="288"/>
      <c r="X220" s="126"/>
      <c r="Y220" s="125"/>
    </row>
    <row r="221" spans="1:25" s="13" customFormat="1" x14ac:dyDescent="0.3">
      <c r="A221" s="156"/>
      <c r="B221" s="334"/>
      <c r="C221" s="334"/>
      <c r="D221" s="43"/>
      <c r="E221" s="43"/>
      <c r="F221" s="43">
        <v>1</v>
      </c>
      <c r="G221" s="48">
        <v>1</v>
      </c>
      <c r="H221" s="48"/>
      <c r="I221" s="5"/>
      <c r="J221" s="5"/>
      <c r="K221" s="108"/>
      <c r="L221" s="10"/>
      <c r="S221" s="117"/>
      <c r="T221" s="288"/>
      <c r="U221" s="288"/>
      <c r="V221" s="288"/>
      <c r="W221" s="288"/>
      <c r="X221" s="288"/>
      <c r="Y221" s="118"/>
    </row>
    <row r="222" spans="1:25" s="13" customFormat="1" x14ac:dyDescent="0.3">
      <c r="A222" s="156"/>
      <c r="B222" s="334"/>
      <c r="C222" s="334"/>
      <c r="D222" s="43"/>
      <c r="E222" s="43"/>
      <c r="F222" s="43" t="s">
        <v>172</v>
      </c>
      <c r="G222" s="48" t="s">
        <v>183</v>
      </c>
      <c r="H222" s="48"/>
      <c r="I222" s="5"/>
      <c r="J222" s="5"/>
      <c r="K222" s="108"/>
      <c r="L222" s="10"/>
      <c r="S222" s="117"/>
      <c r="T222" s="288"/>
      <c r="U222" s="288"/>
      <c r="V222" s="288"/>
      <c r="W222" s="288"/>
      <c r="X222" s="126"/>
      <c r="Y222" s="125"/>
    </row>
    <row r="223" spans="1:25" s="13" customFormat="1" x14ac:dyDescent="0.3">
      <c r="A223" s="156"/>
      <c r="B223" s="334"/>
      <c r="C223" s="334"/>
      <c r="D223" s="17"/>
      <c r="E223" s="17"/>
      <c r="F223" s="17"/>
      <c r="G223" s="18"/>
      <c r="H223" s="18"/>
      <c r="I223" s="5"/>
      <c r="J223" s="5"/>
      <c r="K223" s="108"/>
      <c r="L223" s="10"/>
      <c r="S223" s="117"/>
      <c r="T223" s="288"/>
      <c r="U223" s="288"/>
      <c r="V223" s="288"/>
      <c r="W223" s="288"/>
      <c r="X223" s="126"/>
      <c r="Y223" s="125"/>
    </row>
    <row r="224" spans="1:25" s="13" customFormat="1" x14ac:dyDescent="0.3">
      <c r="A224" s="24"/>
      <c r="B224" s="17"/>
      <c r="C224" s="17"/>
      <c r="D224" s="17"/>
      <c r="E224" s="17"/>
      <c r="F224" s="17"/>
      <c r="G224" s="18"/>
      <c r="H224" s="18"/>
      <c r="I224" s="18"/>
      <c r="J224" s="18"/>
      <c r="K224" s="108"/>
      <c r="L224" s="10"/>
      <c r="S224" s="117"/>
      <c r="T224" s="288"/>
      <c r="U224" s="288"/>
      <c r="V224" s="288"/>
      <c r="W224" s="288"/>
      <c r="X224" s="126"/>
      <c r="Y224" s="125"/>
    </row>
    <row r="225" spans="1:25" s="13" customFormat="1" ht="21" x14ac:dyDescent="0.4">
      <c r="A225" s="24"/>
      <c r="B225" s="17"/>
      <c r="C225" s="17"/>
      <c r="D225" s="17"/>
      <c r="E225" s="17"/>
      <c r="F225" s="70" t="s">
        <v>458</v>
      </c>
      <c r="G225" s="18"/>
      <c r="H225" s="18"/>
      <c r="I225" s="18"/>
      <c r="J225" s="18"/>
      <c r="K225" s="108"/>
      <c r="S225" s="117"/>
      <c r="T225" s="288"/>
      <c r="U225" s="288"/>
      <c r="V225" s="288"/>
      <c r="W225" s="288"/>
      <c r="X225" s="126"/>
      <c r="Y225" s="125"/>
    </row>
    <row r="226" spans="1:25" s="13" customFormat="1" x14ac:dyDescent="0.3">
      <c r="A226" s="156"/>
      <c r="B226" s="28"/>
      <c r="C226" s="334"/>
      <c r="D226" s="49"/>
      <c r="E226" s="49"/>
      <c r="F226" s="49"/>
      <c r="G226" s="51"/>
      <c r="H226" s="5"/>
      <c r="I226" s="5"/>
      <c r="J226" s="5"/>
      <c r="K226" s="108"/>
      <c r="L226" s="10"/>
      <c r="S226" s="117"/>
      <c r="T226" s="288"/>
      <c r="U226" s="288"/>
      <c r="V226" s="288"/>
      <c r="W226" s="288"/>
      <c r="X226" s="126"/>
      <c r="Y226" s="125"/>
    </row>
    <row r="227" spans="1:25" x14ac:dyDescent="0.3">
      <c r="A227" s="186"/>
      <c r="B227" s="95"/>
      <c r="C227" s="165">
        <v>43291</v>
      </c>
      <c r="D227" s="43" t="s">
        <v>3</v>
      </c>
      <c r="E227" s="43" t="s">
        <v>21</v>
      </c>
      <c r="F227" s="43">
        <v>1</v>
      </c>
      <c r="G227" s="43">
        <v>0</v>
      </c>
      <c r="H227" s="17"/>
      <c r="I227" s="18" t="s">
        <v>428</v>
      </c>
      <c r="J227" s="18"/>
      <c r="K227" s="109"/>
      <c r="S227" s="117" t="s">
        <v>3</v>
      </c>
      <c r="T227" s="288" t="s">
        <v>21</v>
      </c>
      <c r="U227" s="288">
        <v>1</v>
      </c>
      <c r="V227" s="288">
        <v>0</v>
      </c>
      <c r="W227" s="288"/>
      <c r="X227" s="126">
        <f t="shared" ref="X227:X228" si="39">(IF(U227&gt;V227,3,IF(U227=V227,1,2)))</f>
        <v>3</v>
      </c>
      <c r="Y227" s="125">
        <f t="shared" ref="Y227:Y228" si="40">(IF(V227&gt;U227,3,IF(U227=V227,1,2)))</f>
        <v>2</v>
      </c>
    </row>
    <row r="228" spans="1:25" ht="15" thickBot="1" x14ac:dyDescent="0.35">
      <c r="A228" s="186"/>
      <c r="B228" s="95"/>
      <c r="C228" s="62"/>
      <c r="D228" s="80"/>
      <c r="E228" s="80"/>
      <c r="F228" s="80" t="s">
        <v>170</v>
      </c>
      <c r="G228" s="80" t="s">
        <v>171</v>
      </c>
      <c r="H228" s="30"/>
      <c r="I228" s="31"/>
      <c r="J228" s="18"/>
      <c r="K228" s="109"/>
      <c r="S228" s="117" t="s">
        <v>353</v>
      </c>
      <c r="T228" s="339" t="s">
        <v>74</v>
      </c>
      <c r="U228" s="339">
        <v>2</v>
      </c>
      <c r="V228" s="339">
        <v>1</v>
      </c>
      <c r="W228" s="288" t="s">
        <v>30</v>
      </c>
      <c r="X228" s="126">
        <f t="shared" si="39"/>
        <v>3</v>
      </c>
      <c r="Y228" s="125">
        <f t="shared" si="40"/>
        <v>2</v>
      </c>
    </row>
    <row r="229" spans="1:25" x14ac:dyDescent="0.3">
      <c r="A229" s="186"/>
      <c r="B229" s="95"/>
      <c r="C229" s="165">
        <v>43292</v>
      </c>
      <c r="D229" s="43" t="s">
        <v>353</v>
      </c>
      <c r="E229" s="43" t="s">
        <v>74</v>
      </c>
      <c r="F229" s="43">
        <v>2</v>
      </c>
      <c r="G229" s="43">
        <v>1</v>
      </c>
      <c r="H229" s="17" t="s">
        <v>30</v>
      </c>
      <c r="I229" s="18" t="s">
        <v>426</v>
      </c>
      <c r="J229" s="18"/>
      <c r="K229" s="109"/>
      <c r="S229" s="117"/>
      <c r="T229" s="288"/>
      <c r="U229" s="288"/>
      <c r="V229" s="288"/>
      <c r="W229" s="288"/>
      <c r="X229" s="126"/>
      <c r="Y229" s="125"/>
    </row>
    <row r="230" spans="1:25" x14ac:dyDescent="0.3">
      <c r="A230" s="186"/>
      <c r="B230" s="95"/>
      <c r="C230" s="165"/>
      <c r="D230" s="43"/>
      <c r="E230" s="43"/>
      <c r="F230" s="43">
        <v>1</v>
      </c>
      <c r="G230" s="43">
        <v>1</v>
      </c>
      <c r="H230" s="17"/>
      <c r="I230" s="18"/>
      <c r="J230" s="18"/>
      <c r="K230" s="109"/>
      <c r="S230" s="117"/>
      <c r="T230" s="339"/>
      <c r="U230" s="339"/>
      <c r="V230" s="339"/>
      <c r="W230" s="339"/>
      <c r="X230" s="126"/>
      <c r="Y230" s="125"/>
    </row>
    <row r="231" spans="1:25" x14ac:dyDescent="0.3">
      <c r="A231" s="156"/>
      <c r="B231" s="334"/>
      <c r="C231" s="334"/>
      <c r="D231" s="49"/>
      <c r="E231" s="49"/>
      <c r="F231" s="49" t="s">
        <v>170</v>
      </c>
      <c r="G231" s="51" t="s">
        <v>183</v>
      </c>
      <c r="H231" s="5"/>
      <c r="I231" s="5"/>
      <c r="J231" s="5"/>
      <c r="K231" s="108"/>
      <c r="S231" s="117"/>
      <c r="T231" s="288"/>
      <c r="U231" s="288"/>
      <c r="V231" s="288"/>
      <c r="W231" s="288"/>
      <c r="X231" s="126"/>
      <c r="Y231" s="125"/>
    </row>
    <row r="232" spans="1:25" x14ac:dyDescent="0.3">
      <c r="A232" s="156"/>
      <c r="B232" s="334"/>
      <c r="C232" s="334"/>
      <c r="D232" s="334"/>
      <c r="E232" s="334"/>
      <c r="F232" s="334"/>
      <c r="G232" s="5"/>
      <c r="H232" s="5"/>
      <c r="I232" s="5"/>
      <c r="J232" s="5"/>
      <c r="K232" s="108"/>
      <c r="S232" s="117"/>
      <c r="T232" s="288"/>
      <c r="U232" s="288"/>
      <c r="V232" s="288"/>
      <c r="W232" s="288"/>
      <c r="X232" s="126"/>
      <c r="Y232" s="125"/>
    </row>
    <row r="233" spans="1:25" ht="15" thickBot="1" x14ac:dyDescent="0.35">
      <c r="A233" s="156"/>
      <c r="B233" s="334"/>
      <c r="C233" s="334"/>
      <c r="D233" s="334"/>
      <c r="E233" s="334"/>
      <c r="F233" s="334"/>
      <c r="G233" s="5"/>
      <c r="H233" s="5"/>
      <c r="I233" s="5"/>
      <c r="J233" s="5"/>
      <c r="K233" s="108"/>
      <c r="S233" s="117"/>
      <c r="T233" s="288"/>
      <c r="U233" s="288"/>
      <c r="V233" s="288"/>
      <c r="W233" s="288"/>
      <c r="X233" s="126"/>
      <c r="Y233" s="125"/>
    </row>
    <row r="234" spans="1:25" ht="21" x14ac:dyDescent="0.4">
      <c r="A234" s="156"/>
      <c r="B234" s="334"/>
      <c r="C234" s="420" t="s">
        <v>441</v>
      </c>
      <c r="D234" s="444"/>
      <c r="E234" s="444"/>
      <c r="F234" s="444"/>
      <c r="G234" s="444"/>
      <c r="H234" s="444"/>
      <c r="I234" s="445"/>
      <c r="J234" s="5"/>
      <c r="K234" s="93"/>
      <c r="S234" s="117"/>
      <c r="T234" s="288"/>
      <c r="U234" s="288"/>
      <c r="V234" s="288"/>
      <c r="W234" s="288"/>
      <c r="X234" s="126"/>
      <c r="Y234" s="125"/>
    </row>
    <row r="235" spans="1:25" ht="14.4" customHeight="1" x14ac:dyDescent="0.4">
      <c r="A235" s="156"/>
      <c r="B235" s="405"/>
      <c r="C235" s="364"/>
      <c r="D235" s="406"/>
      <c r="E235" s="406"/>
      <c r="F235" s="406"/>
      <c r="G235" s="406"/>
      <c r="H235" s="406"/>
      <c r="I235" s="384"/>
      <c r="J235" s="5"/>
      <c r="K235" s="407"/>
      <c r="S235" s="117"/>
      <c r="T235" s="357"/>
      <c r="U235" s="357"/>
      <c r="V235" s="357"/>
      <c r="W235" s="357"/>
      <c r="X235" s="126"/>
      <c r="Y235" s="125"/>
    </row>
    <row r="236" spans="1:25" x14ac:dyDescent="0.3">
      <c r="A236" s="194"/>
      <c r="B236" s="17"/>
      <c r="C236" s="21"/>
      <c r="D236" s="43" t="s">
        <v>21</v>
      </c>
      <c r="E236" s="85" t="s">
        <v>74</v>
      </c>
      <c r="F236" s="17">
        <v>2</v>
      </c>
      <c r="G236" s="18">
        <v>0</v>
      </c>
      <c r="I236" s="22"/>
      <c r="J236" s="18"/>
      <c r="K236" s="35"/>
      <c r="S236" s="117" t="s">
        <v>21</v>
      </c>
      <c r="T236" s="288" t="s">
        <v>74</v>
      </c>
      <c r="U236" s="288">
        <v>2</v>
      </c>
      <c r="V236" s="288">
        <v>0</v>
      </c>
      <c r="W236" s="288"/>
      <c r="X236" s="126">
        <f t="shared" ref="X236" si="41">(IF(U236&gt;V236,3,IF(U236=V236,1,2)))</f>
        <v>3</v>
      </c>
      <c r="Y236" s="125">
        <f t="shared" ref="Y236" si="42">(IF(V236&gt;U236,3,IF(U236=V236,1,2)))</f>
        <v>2</v>
      </c>
    </row>
    <row r="237" spans="1:25" x14ac:dyDescent="0.3">
      <c r="A237" s="156"/>
      <c r="B237" s="334"/>
      <c r="C237" s="3"/>
      <c r="D237" s="49"/>
      <c r="E237" s="49"/>
      <c r="F237" s="334" t="s">
        <v>172</v>
      </c>
      <c r="G237" s="5" t="s">
        <v>171</v>
      </c>
      <c r="I237" s="6"/>
      <c r="J237" s="5"/>
      <c r="K237" s="93"/>
      <c r="S237" s="117"/>
      <c r="T237" s="288"/>
      <c r="U237" s="288"/>
      <c r="V237" s="288"/>
      <c r="W237" s="288"/>
      <c r="X237" s="288"/>
      <c r="Y237" s="118"/>
    </row>
    <row r="238" spans="1:25" ht="15" thickBot="1" x14ac:dyDescent="0.35">
      <c r="A238" s="156"/>
      <c r="B238" s="334"/>
      <c r="C238" s="7"/>
      <c r="D238" s="337"/>
      <c r="E238" s="337"/>
      <c r="F238" s="337"/>
      <c r="G238" s="337"/>
      <c r="H238" s="8"/>
      <c r="I238" s="9"/>
      <c r="J238" s="5"/>
      <c r="K238" s="93"/>
      <c r="S238" s="117"/>
      <c r="T238" s="288"/>
      <c r="U238" s="288"/>
      <c r="V238" s="288"/>
      <c r="W238" s="288"/>
      <c r="X238" s="288"/>
      <c r="Y238" s="118"/>
    </row>
    <row r="239" spans="1:25" x14ac:dyDescent="0.3">
      <c r="A239" s="156"/>
      <c r="B239" s="334"/>
      <c r="C239" s="334"/>
      <c r="D239" s="334"/>
      <c r="E239" s="334"/>
      <c r="F239" s="334"/>
      <c r="G239" s="334"/>
      <c r="H239" s="5"/>
      <c r="I239" s="5"/>
      <c r="J239" s="5"/>
      <c r="K239" s="93"/>
      <c r="S239" s="117"/>
      <c r="T239" s="288"/>
      <c r="U239" s="288"/>
      <c r="V239" s="288"/>
      <c r="W239" s="288"/>
      <c r="X239" s="126"/>
      <c r="Y239" s="125"/>
    </row>
    <row r="240" spans="1:25" x14ac:dyDescent="0.3">
      <c r="A240" s="156"/>
      <c r="B240" s="334"/>
      <c r="C240" s="334"/>
      <c r="D240" s="334"/>
      <c r="E240" s="334"/>
      <c r="F240" s="334"/>
      <c r="G240" s="334"/>
      <c r="H240" s="5"/>
      <c r="I240" s="5"/>
      <c r="J240" s="5"/>
      <c r="K240" s="93"/>
      <c r="S240" s="117"/>
      <c r="T240" s="332"/>
      <c r="U240" s="332"/>
      <c r="V240" s="332"/>
      <c r="W240" s="332"/>
      <c r="X240" s="126"/>
      <c r="Y240" s="125"/>
    </row>
    <row r="241" spans="1:25" x14ac:dyDescent="0.3">
      <c r="A241" s="156"/>
      <c r="B241" s="334"/>
      <c r="C241" s="334"/>
      <c r="D241" s="334"/>
      <c r="E241" s="334"/>
      <c r="F241" s="334"/>
      <c r="G241" s="334"/>
      <c r="H241" s="5"/>
      <c r="I241" s="5"/>
      <c r="J241" s="5"/>
      <c r="K241" s="93"/>
      <c r="S241" s="117"/>
      <c r="T241" s="332"/>
      <c r="U241" s="332"/>
      <c r="V241" s="332"/>
      <c r="W241" s="332"/>
      <c r="X241" s="126"/>
      <c r="Y241" s="125"/>
    </row>
    <row r="242" spans="1:25" ht="15" thickBot="1" x14ac:dyDescent="0.35">
      <c r="A242" s="156"/>
      <c r="B242" s="334"/>
      <c r="C242" s="334"/>
      <c r="D242" s="334"/>
      <c r="E242" s="334"/>
      <c r="F242" s="334"/>
      <c r="G242" s="334"/>
      <c r="H242" s="5"/>
      <c r="I242" s="5"/>
      <c r="J242" s="5"/>
      <c r="K242" s="93"/>
      <c r="S242" s="117"/>
      <c r="T242" s="332"/>
      <c r="U242" s="332"/>
      <c r="V242" s="332"/>
      <c r="W242" s="332"/>
      <c r="X242" s="126"/>
      <c r="Y242" s="125"/>
    </row>
    <row r="243" spans="1:25" ht="21" x14ac:dyDescent="0.4">
      <c r="A243" s="156"/>
      <c r="B243" s="334"/>
      <c r="C243" s="420" t="s">
        <v>440</v>
      </c>
      <c r="D243" s="444"/>
      <c r="E243" s="444"/>
      <c r="F243" s="444"/>
      <c r="G243" s="444"/>
      <c r="H243" s="444"/>
      <c r="I243" s="445"/>
      <c r="J243" s="5"/>
      <c r="K243" s="93"/>
      <c r="S243" s="117"/>
      <c r="T243" s="332"/>
      <c r="U243" s="332"/>
      <c r="V243" s="332"/>
      <c r="W243" s="332"/>
      <c r="X243" s="126"/>
      <c r="Y243" s="125"/>
    </row>
    <row r="244" spans="1:25" ht="14.4" customHeight="1" x14ac:dyDescent="0.4">
      <c r="A244" s="156"/>
      <c r="B244" s="405"/>
      <c r="C244" s="364"/>
      <c r="D244" s="406"/>
      <c r="E244" s="406"/>
      <c r="F244" s="406"/>
      <c r="G244" s="406"/>
      <c r="H244" s="406"/>
      <c r="I244" s="384"/>
      <c r="J244" s="5"/>
      <c r="K244" s="407"/>
      <c r="S244" s="117"/>
      <c r="T244" s="405"/>
      <c r="U244" s="405"/>
      <c r="V244" s="405"/>
      <c r="W244" s="405"/>
      <c r="X244" s="126"/>
      <c r="Y244" s="125"/>
    </row>
    <row r="245" spans="1:25" x14ac:dyDescent="0.3">
      <c r="A245" s="194"/>
      <c r="B245" s="17"/>
      <c r="C245" s="21"/>
      <c r="D245" s="43" t="s">
        <v>3</v>
      </c>
      <c r="E245" s="64" t="s">
        <v>353</v>
      </c>
      <c r="F245" s="48">
        <v>4</v>
      </c>
      <c r="G245" s="18">
        <v>2</v>
      </c>
      <c r="I245" s="22"/>
      <c r="J245" s="18"/>
      <c r="K245" s="35"/>
      <c r="S245" s="117" t="s">
        <v>3</v>
      </c>
      <c r="T245" s="332" t="s">
        <v>353</v>
      </c>
      <c r="U245" s="332">
        <v>4</v>
      </c>
      <c r="V245" s="332">
        <v>2</v>
      </c>
      <c r="W245" s="332"/>
      <c r="X245" s="126">
        <f t="shared" ref="X245" si="43">(IF(U245&gt;V245,3,IF(U245=V245,1,2)))</f>
        <v>3</v>
      </c>
      <c r="Y245" s="125">
        <f t="shared" ref="Y245" si="44">(IF(V245&gt;U245,3,IF(U245=V245,1,2)))</f>
        <v>2</v>
      </c>
    </row>
    <row r="246" spans="1:25" x14ac:dyDescent="0.3">
      <c r="A246" s="194"/>
      <c r="B246" s="17"/>
      <c r="C246" s="21"/>
      <c r="D246" s="43"/>
      <c r="E246" s="64"/>
      <c r="F246" s="48" t="s">
        <v>215</v>
      </c>
      <c r="G246" s="18" t="s">
        <v>183</v>
      </c>
      <c r="I246" s="22"/>
      <c r="J246" s="18"/>
      <c r="K246" s="35"/>
      <c r="S246" s="117"/>
      <c r="T246" s="332"/>
      <c r="U246" s="332"/>
      <c r="V246" s="332"/>
      <c r="W246" s="332"/>
      <c r="X246" s="332"/>
      <c r="Y246" s="118"/>
    </row>
    <row r="247" spans="1:25" ht="15" thickBot="1" x14ac:dyDescent="0.35">
      <c r="A247" s="156"/>
      <c r="B247" s="334"/>
      <c r="C247" s="7"/>
      <c r="D247" s="337"/>
      <c r="E247" s="337"/>
      <c r="F247" s="337"/>
      <c r="G247" s="8"/>
      <c r="H247" s="8"/>
      <c r="I247" s="9"/>
      <c r="J247" s="5"/>
      <c r="K247" s="93"/>
      <c r="S247" s="119"/>
      <c r="T247" s="120"/>
      <c r="U247" s="120"/>
      <c r="V247" s="120"/>
      <c r="W247" s="120"/>
      <c r="X247" s="120"/>
      <c r="Y247" s="121"/>
    </row>
    <row r="248" spans="1:25" x14ac:dyDescent="0.3">
      <c r="A248" s="156"/>
      <c r="B248" s="334"/>
      <c r="C248" s="334"/>
      <c r="D248" s="334"/>
      <c r="E248" s="334"/>
      <c r="F248" s="334"/>
      <c r="G248" s="5"/>
      <c r="H248" s="5"/>
      <c r="I248" s="5"/>
      <c r="J248" s="5"/>
      <c r="K248" s="93"/>
      <c r="S248" s="288"/>
      <c r="T248" s="288"/>
      <c r="U248" s="288"/>
      <c r="V248" s="288"/>
      <c r="W248" s="288"/>
      <c r="X248" s="288"/>
      <c r="Y248" s="288"/>
    </row>
    <row r="249" spans="1:25" x14ac:dyDescent="0.3">
      <c r="A249" s="194"/>
      <c r="B249" s="17"/>
      <c r="C249" s="17"/>
      <c r="D249" s="17"/>
      <c r="E249" s="17"/>
      <c r="F249" s="17"/>
      <c r="G249" s="18"/>
      <c r="H249" s="18"/>
      <c r="I249" s="18"/>
      <c r="J249" s="18"/>
      <c r="K249" s="35"/>
      <c r="S249" s="288"/>
      <c r="T249" s="288"/>
      <c r="U249" s="288"/>
      <c r="V249" s="288"/>
      <c r="W249" s="288"/>
      <c r="X249" s="288"/>
      <c r="Y249" s="288"/>
    </row>
    <row r="250" spans="1:25" x14ac:dyDescent="0.3">
      <c r="A250" s="24"/>
      <c r="B250" s="17"/>
      <c r="C250" s="17"/>
      <c r="D250" s="17"/>
      <c r="E250" s="17"/>
      <c r="F250" s="17"/>
      <c r="G250" s="18"/>
      <c r="H250" s="18"/>
      <c r="I250" s="18"/>
      <c r="J250" s="18"/>
      <c r="K250" s="109"/>
      <c r="S250" s="288"/>
      <c r="T250" s="288"/>
      <c r="U250" s="288"/>
      <c r="V250" s="288"/>
      <c r="W250" s="288"/>
      <c r="X250" s="288"/>
      <c r="Y250" s="288"/>
    </row>
    <row r="251" spans="1:25" x14ac:dyDescent="0.3">
      <c r="A251" s="24"/>
      <c r="B251" s="17"/>
      <c r="C251" s="17"/>
      <c r="D251" s="17"/>
      <c r="E251" s="17"/>
      <c r="F251" s="17"/>
      <c r="G251" s="18"/>
      <c r="H251" s="18"/>
      <c r="I251" s="18"/>
      <c r="J251" s="18"/>
      <c r="K251" s="109"/>
      <c r="S251" s="288"/>
      <c r="T251" s="288"/>
      <c r="U251" s="288"/>
      <c r="V251" s="288"/>
      <c r="W251" s="288"/>
      <c r="X251" s="288"/>
      <c r="Y251" s="288"/>
    </row>
    <row r="252" spans="1:25" ht="15" thickBot="1" x14ac:dyDescent="0.35">
      <c r="A252" s="335"/>
      <c r="B252" s="334" t="s">
        <v>298</v>
      </c>
      <c r="C252" s="334" t="s">
        <v>12</v>
      </c>
      <c r="D252" s="334" t="s">
        <v>13</v>
      </c>
      <c r="E252" s="334" t="s">
        <v>14</v>
      </c>
      <c r="F252" s="334" t="s">
        <v>15</v>
      </c>
      <c r="G252" s="5" t="s">
        <v>24</v>
      </c>
      <c r="H252" s="5" t="s">
        <v>25</v>
      </c>
      <c r="I252" s="5" t="s">
        <v>301</v>
      </c>
      <c r="J252" s="5"/>
      <c r="K252" s="93"/>
      <c r="S252" s="288"/>
      <c r="T252" s="288"/>
      <c r="U252" s="288"/>
      <c r="V252" s="288"/>
      <c r="W252" s="288"/>
      <c r="X252" s="288"/>
      <c r="Y252" s="288"/>
    </row>
    <row r="253" spans="1:25" x14ac:dyDescent="0.3">
      <c r="A253" s="24"/>
      <c r="B253" s="14" t="s">
        <v>3</v>
      </c>
      <c r="C253" s="338">
        <f>COUNTIF($S$12:$T$245,"Frankreich")</f>
        <v>7</v>
      </c>
      <c r="D253" s="124">
        <f t="shared" ref="D253:D284" si="45">SUMPRODUCT(($S$12:$T$245=B253)*($X$12:$Y$245=3))</f>
        <v>6</v>
      </c>
      <c r="E253" s="124">
        <f t="shared" ref="E253:E284" si="46">SUMPRODUCT(($S$12:$T$245=B253)*($X$12:$Y$245=1))</f>
        <v>1</v>
      </c>
      <c r="F253" s="124">
        <f t="shared" ref="F253:F284" si="47">SUMPRODUCT(($S$12:$T$245=B253)*($X$12:$Y$245=2))</f>
        <v>0</v>
      </c>
      <c r="G253" s="124">
        <f t="shared" ref="G253:G284" si="48">SUMPRODUCT(($S$12:$S$245=B253)*($U$12:$U$245))+SUMPRODUCT(($T$12:$T$245=B253)*($V$12:$V$245))</f>
        <v>14</v>
      </c>
      <c r="H253" s="124">
        <f t="shared" ref="H253:H284" si="49">SUMPRODUCT(($S$12:$S$245=B253)*($V$12:$V$245))+SUMPRODUCT(($T$12:$T$245=B253)*($U$12:$U$245))</f>
        <v>6</v>
      </c>
      <c r="I253" s="16">
        <f t="shared" ref="I253:I284" si="50">(D253*3)+E253</f>
        <v>19</v>
      </c>
      <c r="J253" s="18"/>
      <c r="K253" s="109"/>
      <c r="S253" s="288"/>
      <c r="T253" s="288"/>
      <c r="U253" s="288"/>
      <c r="V253" s="288"/>
      <c r="W253" s="288"/>
      <c r="X253" s="288"/>
      <c r="Y253" s="288"/>
    </row>
    <row r="254" spans="1:25" x14ac:dyDescent="0.3">
      <c r="A254" s="24"/>
      <c r="B254" s="21" t="s">
        <v>353</v>
      </c>
      <c r="C254" s="17">
        <f>COUNTIF($S$12:$T$245,"Kroatien")</f>
        <v>7</v>
      </c>
      <c r="D254" s="43">
        <f t="shared" si="45"/>
        <v>6</v>
      </c>
      <c r="E254" s="43">
        <f t="shared" si="46"/>
        <v>0</v>
      </c>
      <c r="F254" s="43">
        <f t="shared" si="47"/>
        <v>1</v>
      </c>
      <c r="G254" s="43">
        <f t="shared" si="48"/>
        <v>21</v>
      </c>
      <c r="H254" s="43">
        <f t="shared" si="49"/>
        <v>14</v>
      </c>
      <c r="I254" s="22">
        <f t="shared" si="50"/>
        <v>18</v>
      </c>
      <c r="J254" s="18"/>
      <c r="K254" s="109"/>
      <c r="S254" s="288"/>
      <c r="T254" s="288"/>
      <c r="U254" s="288"/>
      <c r="V254" s="288"/>
      <c r="W254" s="288"/>
      <c r="X254" s="288"/>
      <c r="Y254" s="288"/>
    </row>
    <row r="255" spans="1:25" x14ac:dyDescent="0.3">
      <c r="A255" s="24"/>
      <c r="B255" s="3" t="s">
        <v>21</v>
      </c>
      <c r="C255" s="17">
        <f>COUNTIF($S$12:$T$245,"Belgien")</f>
        <v>7</v>
      </c>
      <c r="D255" s="43">
        <f t="shared" si="45"/>
        <v>6</v>
      </c>
      <c r="E255" s="43">
        <f t="shared" si="46"/>
        <v>0</v>
      </c>
      <c r="F255" s="43">
        <f t="shared" si="47"/>
        <v>1</v>
      </c>
      <c r="G255" s="43">
        <f t="shared" si="48"/>
        <v>16</v>
      </c>
      <c r="H255" s="43">
        <f t="shared" si="49"/>
        <v>6</v>
      </c>
      <c r="I255" s="22">
        <f t="shared" si="50"/>
        <v>18</v>
      </c>
      <c r="J255" s="5"/>
      <c r="K255" s="108"/>
      <c r="S255" s="288"/>
      <c r="T255" s="288"/>
      <c r="U255" s="288"/>
      <c r="V255" s="288"/>
      <c r="W255" s="288"/>
      <c r="X255" s="288"/>
      <c r="Y255" s="288"/>
    </row>
    <row r="256" spans="1:25" x14ac:dyDescent="0.3">
      <c r="A256" s="24"/>
      <c r="B256" s="3" t="s">
        <v>74</v>
      </c>
      <c r="C256" s="17">
        <f>COUNTIF($S$12:$T$245,"England")</f>
        <v>7</v>
      </c>
      <c r="D256" s="43">
        <f t="shared" si="45"/>
        <v>4</v>
      </c>
      <c r="E256" s="43">
        <f t="shared" si="46"/>
        <v>0</v>
      </c>
      <c r="F256" s="43">
        <f t="shared" si="47"/>
        <v>3</v>
      </c>
      <c r="G256" s="43">
        <f t="shared" si="48"/>
        <v>16</v>
      </c>
      <c r="H256" s="43">
        <f t="shared" si="49"/>
        <v>11</v>
      </c>
      <c r="I256" s="22">
        <f t="shared" si="50"/>
        <v>12</v>
      </c>
      <c r="J256" s="5"/>
      <c r="K256" s="108"/>
      <c r="S256" s="288"/>
      <c r="T256" s="288"/>
      <c r="U256" s="288"/>
      <c r="V256" s="288"/>
      <c r="W256" s="288"/>
      <c r="X256" s="288"/>
      <c r="Y256" s="288"/>
    </row>
    <row r="257" spans="1:25" x14ac:dyDescent="0.3">
      <c r="A257" s="24"/>
      <c r="B257" s="21" t="s">
        <v>18</v>
      </c>
      <c r="C257" s="17">
        <f>COUNTIF($S$12:$T$245,"Uruguay")</f>
        <v>5</v>
      </c>
      <c r="D257" s="43">
        <f t="shared" si="45"/>
        <v>4</v>
      </c>
      <c r="E257" s="43">
        <f t="shared" si="46"/>
        <v>0</v>
      </c>
      <c r="F257" s="43">
        <f t="shared" si="47"/>
        <v>1</v>
      </c>
      <c r="G257" s="43">
        <f t="shared" si="48"/>
        <v>7</v>
      </c>
      <c r="H257" s="43">
        <f t="shared" si="49"/>
        <v>3</v>
      </c>
      <c r="I257" s="22">
        <f t="shared" si="50"/>
        <v>12</v>
      </c>
      <c r="J257" s="18"/>
      <c r="K257" s="109"/>
      <c r="S257" s="288"/>
      <c r="T257" s="288"/>
      <c r="U257" s="288"/>
      <c r="V257" s="288"/>
      <c r="W257" s="288"/>
      <c r="X257" s="288"/>
      <c r="Y257" s="288"/>
    </row>
    <row r="258" spans="1:25" x14ac:dyDescent="0.3">
      <c r="A258" s="24"/>
      <c r="B258" s="21" t="s">
        <v>9</v>
      </c>
      <c r="C258" s="17">
        <f>COUNTIF($S$12:$T$245,"Brasilien")</f>
        <v>5</v>
      </c>
      <c r="D258" s="43">
        <f t="shared" si="45"/>
        <v>3</v>
      </c>
      <c r="E258" s="43">
        <f t="shared" si="46"/>
        <v>1</v>
      </c>
      <c r="F258" s="43">
        <f t="shared" si="47"/>
        <v>1</v>
      </c>
      <c r="G258" s="43">
        <f t="shared" si="48"/>
        <v>8</v>
      </c>
      <c r="H258" s="43">
        <f t="shared" si="49"/>
        <v>3</v>
      </c>
      <c r="I258" s="22">
        <f t="shared" si="50"/>
        <v>10</v>
      </c>
      <c r="J258" s="18"/>
      <c r="K258" s="109"/>
      <c r="S258" s="288"/>
      <c r="T258" s="288"/>
      <c r="U258" s="288"/>
      <c r="V258" s="288"/>
      <c r="W258" s="288"/>
      <c r="X258" s="288"/>
      <c r="Y258" s="288"/>
    </row>
    <row r="259" spans="1:25" x14ac:dyDescent="0.3">
      <c r="A259" s="24"/>
      <c r="B259" s="21" t="s">
        <v>302</v>
      </c>
      <c r="C259" s="17">
        <f>COUNTIF($S$12:$T$245,"Russland")</f>
        <v>5</v>
      </c>
      <c r="D259" s="43">
        <f t="shared" si="45"/>
        <v>3</v>
      </c>
      <c r="E259" s="43">
        <f t="shared" si="46"/>
        <v>0</v>
      </c>
      <c r="F259" s="43">
        <f t="shared" si="47"/>
        <v>2</v>
      </c>
      <c r="G259" s="43">
        <f t="shared" si="48"/>
        <v>18</v>
      </c>
      <c r="H259" s="43">
        <f t="shared" si="49"/>
        <v>14</v>
      </c>
      <c r="I259" s="22">
        <f t="shared" si="50"/>
        <v>9</v>
      </c>
      <c r="J259" s="18"/>
      <c r="K259" s="109"/>
      <c r="S259" s="288"/>
      <c r="T259" s="288"/>
      <c r="U259" s="288"/>
      <c r="V259" s="288"/>
      <c r="W259" s="288"/>
      <c r="X259" s="288"/>
      <c r="Y259" s="288"/>
    </row>
    <row r="260" spans="1:25" x14ac:dyDescent="0.3">
      <c r="A260" s="24"/>
      <c r="B260" s="21" t="s">
        <v>41</v>
      </c>
      <c r="C260" s="17">
        <f>COUNTIF($S$12:$T$245,"Schweden")</f>
        <v>5</v>
      </c>
      <c r="D260" s="43">
        <f t="shared" si="45"/>
        <v>3</v>
      </c>
      <c r="E260" s="43">
        <f t="shared" si="46"/>
        <v>0</v>
      </c>
      <c r="F260" s="43">
        <f t="shared" si="47"/>
        <v>2</v>
      </c>
      <c r="G260" s="43">
        <f t="shared" si="48"/>
        <v>6</v>
      </c>
      <c r="H260" s="43">
        <f t="shared" si="49"/>
        <v>4</v>
      </c>
      <c r="I260" s="22">
        <f t="shared" si="50"/>
        <v>9</v>
      </c>
      <c r="J260" s="18"/>
      <c r="K260" s="109"/>
      <c r="S260" s="288"/>
      <c r="T260" s="288"/>
      <c r="U260" s="288"/>
      <c r="V260" s="288"/>
      <c r="W260" s="288"/>
      <c r="X260" s="288"/>
      <c r="Y260" s="288"/>
    </row>
    <row r="261" spans="1:25" x14ac:dyDescent="0.3">
      <c r="A261" s="24"/>
      <c r="B261" s="3" t="s">
        <v>117</v>
      </c>
      <c r="C261" s="17">
        <f>COUNTIF($S$12:$T$245,"Kolumbien")</f>
        <v>4</v>
      </c>
      <c r="D261" s="43">
        <f t="shared" si="45"/>
        <v>2</v>
      </c>
      <c r="E261" s="43">
        <f t="shared" si="46"/>
        <v>0</v>
      </c>
      <c r="F261" s="43">
        <f t="shared" si="47"/>
        <v>2</v>
      </c>
      <c r="G261" s="43">
        <f t="shared" si="48"/>
        <v>9</v>
      </c>
      <c r="H261" s="43">
        <f t="shared" si="49"/>
        <v>7</v>
      </c>
      <c r="I261" s="22">
        <f t="shared" si="50"/>
        <v>6</v>
      </c>
      <c r="J261" s="5"/>
      <c r="K261" s="108"/>
      <c r="S261" s="288"/>
      <c r="T261" s="288"/>
      <c r="U261" s="288"/>
      <c r="V261" s="288"/>
      <c r="W261" s="288"/>
      <c r="X261" s="288"/>
      <c r="Y261" s="288"/>
    </row>
    <row r="262" spans="1:25" x14ac:dyDescent="0.3">
      <c r="A262" s="24"/>
      <c r="B262" s="21" t="s">
        <v>4</v>
      </c>
      <c r="C262" s="17">
        <f>COUNTIF($S$12:$T$245,"Mexiko")</f>
        <v>4</v>
      </c>
      <c r="D262" s="43">
        <f t="shared" si="45"/>
        <v>2</v>
      </c>
      <c r="E262" s="43">
        <f t="shared" si="46"/>
        <v>0</v>
      </c>
      <c r="F262" s="43">
        <f t="shared" si="47"/>
        <v>2</v>
      </c>
      <c r="G262" s="43">
        <f t="shared" si="48"/>
        <v>3</v>
      </c>
      <c r="H262" s="43">
        <f t="shared" si="49"/>
        <v>6</v>
      </c>
      <c r="I262" s="22">
        <f t="shared" si="50"/>
        <v>6</v>
      </c>
      <c r="J262" s="18"/>
      <c r="K262" s="109"/>
      <c r="S262" s="288"/>
      <c r="T262" s="288"/>
      <c r="U262" s="288"/>
      <c r="V262" s="288"/>
      <c r="W262" s="288"/>
      <c r="X262" s="288"/>
      <c r="Y262" s="288"/>
    </row>
    <row r="263" spans="1:25" x14ac:dyDescent="0.3">
      <c r="A263" s="24"/>
      <c r="B263" s="21" t="s">
        <v>35</v>
      </c>
      <c r="C263" s="17">
        <f>COUNTIF($S$12:$T$245,"Spanien")</f>
        <v>4</v>
      </c>
      <c r="D263" s="43">
        <f t="shared" si="45"/>
        <v>1</v>
      </c>
      <c r="E263" s="43">
        <f t="shared" si="46"/>
        <v>2</v>
      </c>
      <c r="F263" s="43">
        <f t="shared" si="47"/>
        <v>1</v>
      </c>
      <c r="G263" s="43">
        <f t="shared" si="48"/>
        <v>10</v>
      </c>
      <c r="H263" s="43">
        <f t="shared" si="49"/>
        <v>10</v>
      </c>
      <c r="I263" s="22">
        <f t="shared" si="50"/>
        <v>5</v>
      </c>
      <c r="J263" s="18"/>
      <c r="K263" s="109"/>
      <c r="S263" s="288"/>
      <c r="T263" s="288"/>
      <c r="U263" s="288"/>
      <c r="V263" s="288"/>
      <c r="W263" s="288"/>
      <c r="X263" s="288"/>
      <c r="Y263" s="288"/>
    </row>
    <row r="264" spans="1:25" x14ac:dyDescent="0.3">
      <c r="A264" s="24"/>
      <c r="B264" s="21" t="s">
        <v>133</v>
      </c>
      <c r="C264" s="17">
        <f>COUNTIF($S$12:$T$245,"Portugal")</f>
        <v>4</v>
      </c>
      <c r="D264" s="43">
        <f t="shared" si="45"/>
        <v>1</v>
      </c>
      <c r="E264" s="43">
        <f t="shared" si="46"/>
        <v>2</v>
      </c>
      <c r="F264" s="43">
        <f t="shared" si="47"/>
        <v>1</v>
      </c>
      <c r="G264" s="43">
        <f t="shared" si="48"/>
        <v>6</v>
      </c>
      <c r="H264" s="43">
        <f t="shared" si="49"/>
        <v>6</v>
      </c>
      <c r="I264" s="22">
        <f t="shared" si="50"/>
        <v>5</v>
      </c>
      <c r="J264" s="18"/>
      <c r="K264" s="109"/>
      <c r="S264" s="288"/>
      <c r="T264" s="288"/>
      <c r="U264" s="288"/>
      <c r="V264" s="288"/>
      <c r="W264" s="288"/>
      <c r="X264" s="288"/>
      <c r="Y264" s="288"/>
    </row>
    <row r="265" spans="1:25" x14ac:dyDescent="0.3">
      <c r="A265" s="24"/>
      <c r="B265" s="21" t="s">
        <v>258</v>
      </c>
      <c r="C265" s="17">
        <f>COUNTIF($S$12:$T$245,"Dänemark")</f>
        <v>4</v>
      </c>
      <c r="D265" s="43">
        <f t="shared" si="45"/>
        <v>1</v>
      </c>
      <c r="E265" s="43">
        <f t="shared" si="46"/>
        <v>2</v>
      </c>
      <c r="F265" s="43">
        <f t="shared" si="47"/>
        <v>1</v>
      </c>
      <c r="G265" s="43">
        <f t="shared" si="48"/>
        <v>5</v>
      </c>
      <c r="H265" s="43">
        <f t="shared" si="49"/>
        <v>5</v>
      </c>
      <c r="I265" s="22">
        <f t="shared" si="50"/>
        <v>5</v>
      </c>
      <c r="J265" s="18"/>
      <c r="K265" s="109"/>
      <c r="S265" s="288"/>
      <c r="T265" s="288"/>
      <c r="U265" s="288"/>
      <c r="V265" s="288"/>
      <c r="W265" s="288"/>
      <c r="X265" s="288"/>
      <c r="Y265" s="288"/>
    </row>
    <row r="266" spans="1:25" x14ac:dyDescent="0.3">
      <c r="A266" s="24"/>
      <c r="B266" s="21" t="s">
        <v>43</v>
      </c>
      <c r="C266" s="17">
        <f>COUNTIF($S$12:$T$245,"Schweiz")</f>
        <v>4</v>
      </c>
      <c r="D266" s="43">
        <f t="shared" si="45"/>
        <v>1</v>
      </c>
      <c r="E266" s="43">
        <f t="shared" si="46"/>
        <v>2</v>
      </c>
      <c r="F266" s="43">
        <f t="shared" si="47"/>
        <v>1</v>
      </c>
      <c r="G266" s="43">
        <f t="shared" si="48"/>
        <v>5</v>
      </c>
      <c r="H266" s="43">
        <f t="shared" si="49"/>
        <v>5</v>
      </c>
      <c r="I266" s="22">
        <f t="shared" si="50"/>
        <v>5</v>
      </c>
      <c r="J266" s="18"/>
      <c r="K266" s="109"/>
      <c r="S266" s="288"/>
      <c r="T266" s="288"/>
      <c r="U266" s="288"/>
      <c r="V266" s="288"/>
      <c r="W266" s="288"/>
      <c r="X266" s="288"/>
      <c r="Y266" s="288"/>
    </row>
    <row r="267" spans="1:25" x14ac:dyDescent="0.3">
      <c r="A267" s="24"/>
      <c r="B267" s="21" t="s">
        <v>351</v>
      </c>
      <c r="C267" s="17">
        <f>COUNTIF($S$12:$T$245,"Japan")</f>
        <v>4</v>
      </c>
      <c r="D267" s="43">
        <f t="shared" si="45"/>
        <v>1</v>
      </c>
      <c r="E267" s="43">
        <f t="shared" si="46"/>
        <v>1</v>
      </c>
      <c r="F267" s="43">
        <f t="shared" si="47"/>
        <v>2</v>
      </c>
      <c r="G267" s="43">
        <f t="shared" si="48"/>
        <v>6</v>
      </c>
      <c r="H267" s="43">
        <f t="shared" si="49"/>
        <v>7</v>
      </c>
      <c r="I267" s="22">
        <f t="shared" si="50"/>
        <v>4</v>
      </c>
      <c r="J267" s="5"/>
      <c r="K267" s="108"/>
      <c r="S267" s="288"/>
      <c r="T267" s="288"/>
      <c r="U267" s="288"/>
      <c r="V267" s="288"/>
      <c r="W267" s="288"/>
      <c r="X267" s="288"/>
      <c r="Y267" s="288"/>
    </row>
    <row r="268" spans="1:25" x14ac:dyDescent="0.3">
      <c r="A268" s="24"/>
      <c r="B268" s="21" t="s">
        <v>5</v>
      </c>
      <c r="C268" s="17">
        <f>COUNTIF($S$12:$T$245,"Argentinien")</f>
        <v>4</v>
      </c>
      <c r="D268" s="43">
        <f t="shared" si="45"/>
        <v>1</v>
      </c>
      <c r="E268" s="43">
        <f t="shared" si="46"/>
        <v>1</v>
      </c>
      <c r="F268" s="43">
        <f t="shared" si="47"/>
        <v>2</v>
      </c>
      <c r="G268" s="43">
        <f t="shared" si="48"/>
        <v>6</v>
      </c>
      <c r="H268" s="43">
        <f t="shared" si="49"/>
        <v>9</v>
      </c>
      <c r="I268" s="22">
        <f t="shared" si="50"/>
        <v>4</v>
      </c>
      <c r="J268" s="18"/>
      <c r="K268" s="109"/>
      <c r="S268" s="288"/>
      <c r="T268" s="288"/>
      <c r="U268" s="288"/>
      <c r="V268" s="288"/>
      <c r="W268" s="288"/>
      <c r="X268" s="288"/>
      <c r="Y268" s="288"/>
    </row>
    <row r="269" spans="1:25" x14ac:dyDescent="0.3">
      <c r="A269" s="24"/>
      <c r="B269" s="21" t="s">
        <v>355</v>
      </c>
      <c r="C269" s="17">
        <f>COUNTIF($S$12:$T$245,"Senegal")</f>
        <v>3</v>
      </c>
      <c r="D269" s="43">
        <f t="shared" si="45"/>
        <v>1</v>
      </c>
      <c r="E269" s="43">
        <f t="shared" si="46"/>
        <v>1</v>
      </c>
      <c r="F269" s="43">
        <f t="shared" si="47"/>
        <v>1</v>
      </c>
      <c r="G269" s="43">
        <f t="shared" si="48"/>
        <v>4</v>
      </c>
      <c r="H269" s="43">
        <f t="shared" si="49"/>
        <v>4</v>
      </c>
      <c r="I269" s="22">
        <f t="shared" si="50"/>
        <v>4</v>
      </c>
      <c r="J269" s="5"/>
      <c r="K269" s="108"/>
      <c r="S269" s="288"/>
      <c r="T269" s="288"/>
      <c r="U269" s="288"/>
      <c r="V269" s="288"/>
      <c r="W269" s="288"/>
      <c r="X269" s="288"/>
      <c r="Y269" s="288"/>
    </row>
    <row r="270" spans="1:25" x14ac:dyDescent="0.3">
      <c r="A270" s="24"/>
      <c r="B270" s="21" t="s">
        <v>177</v>
      </c>
      <c r="C270" s="17">
        <f>COUNTIF($S$12:$T$245,"Iran")</f>
        <v>3</v>
      </c>
      <c r="D270" s="43">
        <f t="shared" si="45"/>
        <v>1</v>
      </c>
      <c r="E270" s="43">
        <f t="shared" si="46"/>
        <v>1</v>
      </c>
      <c r="F270" s="43">
        <f t="shared" si="47"/>
        <v>1</v>
      </c>
      <c r="G270" s="43">
        <f t="shared" si="48"/>
        <v>2</v>
      </c>
      <c r="H270" s="43">
        <f t="shared" si="49"/>
        <v>2</v>
      </c>
      <c r="I270" s="22">
        <f t="shared" si="50"/>
        <v>4</v>
      </c>
      <c r="J270" s="18"/>
      <c r="K270" s="35"/>
      <c r="S270" s="288"/>
      <c r="T270" s="288"/>
      <c r="U270" s="288"/>
      <c r="V270" s="288"/>
      <c r="W270" s="288"/>
      <c r="X270" s="288"/>
      <c r="Y270" s="288"/>
    </row>
    <row r="271" spans="1:25" x14ac:dyDescent="0.3">
      <c r="A271" s="24"/>
      <c r="B271" s="21" t="s">
        <v>176</v>
      </c>
      <c r="C271" s="17">
        <f>COUNTIF($S$12:$T$245,"Tunesien")</f>
        <v>3</v>
      </c>
      <c r="D271" s="43">
        <f t="shared" si="45"/>
        <v>1</v>
      </c>
      <c r="E271" s="43">
        <f t="shared" si="46"/>
        <v>0</v>
      </c>
      <c r="F271" s="43">
        <f t="shared" si="47"/>
        <v>2</v>
      </c>
      <c r="G271" s="43">
        <f t="shared" si="48"/>
        <v>5</v>
      </c>
      <c r="H271" s="43">
        <f t="shared" si="49"/>
        <v>8</v>
      </c>
      <c r="I271" s="22">
        <f t="shared" si="50"/>
        <v>3</v>
      </c>
      <c r="J271" s="5"/>
      <c r="K271" s="108"/>
      <c r="S271" s="288"/>
      <c r="T271" s="288"/>
      <c r="U271" s="288"/>
      <c r="V271" s="288"/>
      <c r="W271" s="288"/>
      <c r="X271" s="288"/>
      <c r="Y271" s="288"/>
    </row>
    <row r="272" spans="1:25" x14ac:dyDescent="0.3">
      <c r="A272" s="24"/>
      <c r="B272" s="21" t="s">
        <v>90</v>
      </c>
      <c r="C272" s="17">
        <f>COUNTIF($S$12:$T$245,"Südkorea")</f>
        <v>3</v>
      </c>
      <c r="D272" s="43">
        <f t="shared" si="45"/>
        <v>1</v>
      </c>
      <c r="E272" s="43">
        <f t="shared" si="46"/>
        <v>0</v>
      </c>
      <c r="F272" s="43">
        <f t="shared" si="47"/>
        <v>2</v>
      </c>
      <c r="G272" s="43">
        <f t="shared" si="48"/>
        <v>3</v>
      </c>
      <c r="H272" s="43">
        <f t="shared" si="49"/>
        <v>3</v>
      </c>
      <c r="I272" s="22">
        <f t="shared" si="50"/>
        <v>3</v>
      </c>
      <c r="J272" s="18"/>
      <c r="K272" s="109"/>
      <c r="S272" s="288"/>
      <c r="T272" s="288"/>
      <c r="U272" s="288"/>
      <c r="V272" s="288"/>
      <c r="W272" s="288"/>
      <c r="X272" s="288"/>
      <c r="Y272" s="288"/>
    </row>
    <row r="273" spans="1:25" x14ac:dyDescent="0.3">
      <c r="A273" s="24"/>
      <c r="B273" s="21" t="s">
        <v>307</v>
      </c>
      <c r="C273" s="17">
        <f>COUNTIF($S$12:$T$245,"Nigeria")</f>
        <v>3</v>
      </c>
      <c r="D273" s="43">
        <f t="shared" si="45"/>
        <v>1</v>
      </c>
      <c r="E273" s="43">
        <f t="shared" si="46"/>
        <v>0</v>
      </c>
      <c r="F273" s="43">
        <f t="shared" si="47"/>
        <v>2</v>
      </c>
      <c r="G273" s="43">
        <f t="shared" si="48"/>
        <v>3</v>
      </c>
      <c r="H273" s="43">
        <f t="shared" si="49"/>
        <v>4</v>
      </c>
      <c r="I273" s="22">
        <f t="shared" si="50"/>
        <v>3</v>
      </c>
      <c r="J273" s="18"/>
      <c r="K273" s="109"/>
      <c r="S273" s="288"/>
      <c r="T273" s="288"/>
      <c r="U273" s="288"/>
      <c r="V273" s="288"/>
      <c r="W273" s="288"/>
      <c r="X273" s="288"/>
      <c r="Y273" s="288"/>
    </row>
    <row r="274" spans="1:25" x14ac:dyDescent="0.3">
      <c r="A274" s="24"/>
      <c r="B274" s="21" t="s">
        <v>17</v>
      </c>
      <c r="C274" s="17">
        <f>COUNTIF($S$12:$T$245,"Peru")</f>
        <v>3</v>
      </c>
      <c r="D274" s="43">
        <f t="shared" si="45"/>
        <v>1</v>
      </c>
      <c r="E274" s="43">
        <f t="shared" si="46"/>
        <v>0</v>
      </c>
      <c r="F274" s="43">
        <f t="shared" si="47"/>
        <v>2</v>
      </c>
      <c r="G274" s="43">
        <f t="shared" si="48"/>
        <v>2</v>
      </c>
      <c r="H274" s="43">
        <f t="shared" si="49"/>
        <v>2</v>
      </c>
      <c r="I274" s="22">
        <f t="shared" si="50"/>
        <v>3</v>
      </c>
      <c r="J274" s="18"/>
      <c r="K274" s="109"/>
      <c r="S274" s="288"/>
      <c r="T274" s="288"/>
      <c r="U274" s="288"/>
      <c r="V274" s="288"/>
      <c r="W274" s="288"/>
      <c r="X274" s="288"/>
      <c r="Y274" s="288"/>
    </row>
    <row r="275" spans="1:25" x14ac:dyDescent="0.3">
      <c r="A275" s="24"/>
      <c r="B275" s="21" t="s">
        <v>408</v>
      </c>
      <c r="C275" s="17">
        <f>COUNTIF($S$12:$T$245,"Serbien")</f>
        <v>3</v>
      </c>
      <c r="D275" s="43">
        <f t="shared" si="45"/>
        <v>1</v>
      </c>
      <c r="E275" s="43">
        <f t="shared" si="46"/>
        <v>0</v>
      </c>
      <c r="F275" s="43">
        <f t="shared" si="47"/>
        <v>2</v>
      </c>
      <c r="G275" s="43">
        <f t="shared" si="48"/>
        <v>2</v>
      </c>
      <c r="H275" s="43">
        <f t="shared" si="49"/>
        <v>4</v>
      </c>
      <c r="I275" s="22">
        <f t="shared" si="50"/>
        <v>3</v>
      </c>
      <c r="J275" s="18"/>
      <c r="K275" s="109"/>
      <c r="S275" s="288"/>
      <c r="T275" s="288"/>
      <c r="U275" s="288"/>
      <c r="V275" s="288"/>
      <c r="W275" s="288"/>
      <c r="X275" s="288"/>
      <c r="Y275" s="288"/>
    </row>
    <row r="276" spans="1:25" x14ac:dyDescent="0.3">
      <c r="A276" s="24"/>
      <c r="B276" s="21" t="s">
        <v>88</v>
      </c>
      <c r="C276" s="17">
        <f>COUNTIF($S$12:$T$245,"BRD")</f>
        <v>3</v>
      </c>
      <c r="D276" s="43">
        <f t="shared" si="45"/>
        <v>1</v>
      </c>
      <c r="E276" s="43">
        <f t="shared" si="46"/>
        <v>0</v>
      </c>
      <c r="F276" s="43">
        <f t="shared" si="47"/>
        <v>2</v>
      </c>
      <c r="G276" s="43">
        <f t="shared" si="48"/>
        <v>2</v>
      </c>
      <c r="H276" s="43">
        <f t="shared" si="49"/>
        <v>4</v>
      </c>
      <c r="I276" s="22">
        <f t="shared" si="50"/>
        <v>3</v>
      </c>
      <c r="J276" s="18"/>
      <c r="K276" s="109"/>
      <c r="S276" s="288"/>
      <c r="T276" s="288"/>
      <c r="U276" s="288"/>
      <c r="V276" s="288"/>
      <c r="W276" s="288"/>
      <c r="X276" s="288"/>
      <c r="Y276" s="288"/>
    </row>
    <row r="277" spans="1:25" x14ac:dyDescent="0.3">
      <c r="A277" s="24"/>
      <c r="B277" s="21" t="s">
        <v>61</v>
      </c>
      <c r="C277" s="17">
        <f>COUNTIF($S$12:$T$245,"Polen")</f>
        <v>3</v>
      </c>
      <c r="D277" s="43">
        <f t="shared" si="45"/>
        <v>1</v>
      </c>
      <c r="E277" s="43">
        <f t="shared" si="46"/>
        <v>0</v>
      </c>
      <c r="F277" s="43">
        <f t="shared" si="47"/>
        <v>2</v>
      </c>
      <c r="G277" s="43">
        <f t="shared" si="48"/>
        <v>2</v>
      </c>
      <c r="H277" s="43">
        <f t="shared" si="49"/>
        <v>5</v>
      </c>
      <c r="I277" s="22">
        <f t="shared" si="50"/>
        <v>3</v>
      </c>
      <c r="J277" s="5"/>
      <c r="K277" s="108"/>
      <c r="S277" s="288"/>
      <c r="T277" s="288"/>
      <c r="U277" s="288"/>
      <c r="V277" s="288"/>
      <c r="W277" s="288"/>
      <c r="X277" s="288"/>
      <c r="Y277" s="288"/>
    </row>
    <row r="278" spans="1:25" x14ac:dyDescent="0.3">
      <c r="A278" s="24"/>
      <c r="B278" s="21" t="s">
        <v>313</v>
      </c>
      <c r="C278" s="17">
        <f>COUNTIF($S$12:$T$245,"Saudi-Arabien")</f>
        <v>3</v>
      </c>
      <c r="D278" s="43">
        <f t="shared" si="45"/>
        <v>1</v>
      </c>
      <c r="E278" s="43">
        <f t="shared" si="46"/>
        <v>0</v>
      </c>
      <c r="F278" s="43">
        <f t="shared" si="47"/>
        <v>2</v>
      </c>
      <c r="G278" s="43">
        <f t="shared" si="48"/>
        <v>2</v>
      </c>
      <c r="H278" s="43">
        <f t="shared" si="49"/>
        <v>7</v>
      </c>
      <c r="I278" s="22">
        <f t="shared" si="50"/>
        <v>3</v>
      </c>
      <c r="J278" s="18"/>
      <c r="K278" s="109"/>
      <c r="S278" s="288"/>
      <c r="T278" s="288"/>
      <c r="U278" s="288"/>
      <c r="V278" s="288"/>
      <c r="W278" s="288"/>
      <c r="X278" s="288"/>
      <c r="Y278" s="288"/>
    </row>
    <row r="279" spans="1:25" x14ac:dyDescent="0.3">
      <c r="A279" s="24"/>
      <c r="B279" s="21" t="s">
        <v>147</v>
      </c>
      <c r="C279" s="17">
        <f>COUNTIF($S$12:$T$245,"Marokko")</f>
        <v>3</v>
      </c>
      <c r="D279" s="43">
        <f t="shared" si="45"/>
        <v>0</v>
      </c>
      <c r="E279" s="43">
        <f t="shared" si="46"/>
        <v>1</v>
      </c>
      <c r="F279" s="43">
        <f t="shared" si="47"/>
        <v>2</v>
      </c>
      <c r="G279" s="43">
        <f t="shared" si="48"/>
        <v>2</v>
      </c>
      <c r="H279" s="43">
        <f t="shared" si="49"/>
        <v>4</v>
      </c>
      <c r="I279" s="22">
        <f t="shared" si="50"/>
        <v>1</v>
      </c>
      <c r="J279" s="18"/>
      <c r="K279" s="109"/>
      <c r="S279" s="288"/>
      <c r="T279" s="288"/>
      <c r="U279" s="288"/>
      <c r="V279" s="288"/>
      <c r="W279" s="288"/>
      <c r="X279" s="288"/>
      <c r="Y279" s="288"/>
    </row>
    <row r="280" spans="1:25" x14ac:dyDescent="0.3">
      <c r="A280" s="24"/>
      <c r="B280" s="21" t="s">
        <v>152</v>
      </c>
      <c r="C280" s="17">
        <f>COUNTIF($S$12:$T$245,"Australien")</f>
        <v>3</v>
      </c>
      <c r="D280" s="43">
        <f t="shared" si="45"/>
        <v>0</v>
      </c>
      <c r="E280" s="43">
        <f t="shared" si="46"/>
        <v>1</v>
      </c>
      <c r="F280" s="43">
        <f t="shared" si="47"/>
        <v>2</v>
      </c>
      <c r="G280" s="43">
        <f t="shared" si="48"/>
        <v>2</v>
      </c>
      <c r="H280" s="43">
        <f t="shared" si="49"/>
        <v>5</v>
      </c>
      <c r="I280" s="22">
        <f t="shared" si="50"/>
        <v>1</v>
      </c>
      <c r="J280" s="18"/>
      <c r="K280" s="109"/>
      <c r="S280" s="288"/>
      <c r="T280" s="288"/>
      <c r="U280" s="288"/>
      <c r="V280" s="288"/>
      <c r="W280" s="288"/>
      <c r="X280" s="288"/>
      <c r="Y280" s="288"/>
    </row>
    <row r="281" spans="1:25" x14ac:dyDescent="0.3">
      <c r="A281" s="24"/>
      <c r="B281" s="21" t="s">
        <v>436</v>
      </c>
      <c r="C281" s="17">
        <f>COUNTIF($S$12:$T$245,"Island")</f>
        <v>3</v>
      </c>
      <c r="D281" s="43">
        <f t="shared" si="45"/>
        <v>0</v>
      </c>
      <c r="E281" s="43">
        <f t="shared" si="46"/>
        <v>1</v>
      </c>
      <c r="F281" s="43">
        <f t="shared" si="47"/>
        <v>2</v>
      </c>
      <c r="G281" s="43">
        <f t="shared" si="48"/>
        <v>2</v>
      </c>
      <c r="H281" s="43">
        <f t="shared" si="49"/>
        <v>5</v>
      </c>
      <c r="I281" s="22">
        <f t="shared" si="50"/>
        <v>1</v>
      </c>
      <c r="J281" s="18"/>
      <c r="K281" s="109"/>
      <c r="S281" s="288"/>
      <c r="T281" s="288"/>
      <c r="U281" s="288"/>
      <c r="V281" s="288"/>
      <c r="W281" s="288"/>
      <c r="X281" s="288"/>
      <c r="Y281" s="288"/>
    </row>
    <row r="282" spans="1:25" x14ac:dyDescent="0.3">
      <c r="A282" s="24"/>
      <c r="B282" s="21" t="s">
        <v>286</v>
      </c>
      <c r="C282" s="17">
        <f>COUNTIF($S$12:$T$245,"Costa Rica")</f>
        <v>3</v>
      </c>
      <c r="D282" s="43">
        <f t="shared" si="45"/>
        <v>0</v>
      </c>
      <c r="E282" s="43">
        <f t="shared" si="46"/>
        <v>1</v>
      </c>
      <c r="F282" s="43">
        <f t="shared" si="47"/>
        <v>2</v>
      </c>
      <c r="G282" s="43">
        <f t="shared" si="48"/>
        <v>2</v>
      </c>
      <c r="H282" s="43">
        <f t="shared" si="49"/>
        <v>5</v>
      </c>
      <c r="I282" s="22">
        <f t="shared" si="50"/>
        <v>1</v>
      </c>
      <c r="J282" s="18"/>
      <c r="K282" s="109"/>
      <c r="S282" s="288"/>
      <c r="T282" s="288"/>
      <c r="U282" s="288"/>
      <c r="V282" s="288"/>
      <c r="W282" s="288"/>
      <c r="X282" s="288"/>
      <c r="Y282" s="288"/>
    </row>
    <row r="283" spans="1:25" x14ac:dyDescent="0.3">
      <c r="A283" s="24"/>
      <c r="B283" s="21" t="s">
        <v>33</v>
      </c>
      <c r="C283" s="17">
        <f>COUNTIF($S$12:$T$245,"Ägypten")</f>
        <v>3</v>
      </c>
      <c r="D283" s="43">
        <f t="shared" si="45"/>
        <v>0</v>
      </c>
      <c r="E283" s="43">
        <f t="shared" si="46"/>
        <v>0</v>
      </c>
      <c r="F283" s="43">
        <f t="shared" si="47"/>
        <v>3</v>
      </c>
      <c r="G283" s="43">
        <f t="shared" si="48"/>
        <v>2</v>
      </c>
      <c r="H283" s="43">
        <f t="shared" si="49"/>
        <v>6</v>
      </c>
      <c r="I283" s="22">
        <f t="shared" si="50"/>
        <v>0</v>
      </c>
      <c r="J283" s="18"/>
      <c r="K283" s="109"/>
      <c r="S283" s="288"/>
      <c r="T283" s="288"/>
      <c r="U283" s="288"/>
      <c r="V283" s="288"/>
      <c r="W283" s="288"/>
      <c r="X283" s="288"/>
      <c r="Y283" s="288"/>
    </row>
    <row r="284" spans="1:25" ht="15" thickBot="1" x14ac:dyDescent="0.35">
      <c r="A284" s="24"/>
      <c r="B284" s="7" t="s">
        <v>439</v>
      </c>
      <c r="C284" s="30">
        <f>COUNTIF($S$12:$T$245,"Panama")</f>
        <v>3</v>
      </c>
      <c r="D284" s="80">
        <f t="shared" si="45"/>
        <v>0</v>
      </c>
      <c r="E284" s="80">
        <f t="shared" si="46"/>
        <v>0</v>
      </c>
      <c r="F284" s="80">
        <f t="shared" si="47"/>
        <v>3</v>
      </c>
      <c r="G284" s="80">
        <f t="shared" si="48"/>
        <v>2</v>
      </c>
      <c r="H284" s="80">
        <f t="shared" si="49"/>
        <v>11</v>
      </c>
      <c r="I284" s="32">
        <f t="shared" si="50"/>
        <v>0</v>
      </c>
      <c r="J284" s="5"/>
      <c r="K284" s="108"/>
      <c r="S284" s="288"/>
      <c r="T284" s="288"/>
      <c r="U284" s="288"/>
      <c r="V284" s="288"/>
      <c r="W284" s="288"/>
      <c r="X284" s="288"/>
      <c r="Y284" s="288"/>
    </row>
    <row r="285" spans="1:25" x14ac:dyDescent="0.3">
      <c r="A285" s="335"/>
      <c r="B285" s="334"/>
      <c r="C285" s="334"/>
      <c r="D285" s="334"/>
      <c r="E285" s="334"/>
      <c r="F285" s="334"/>
      <c r="G285" s="5"/>
      <c r="H285" s="5"/>
      <c r="I285" s="5"/>
      <c r="J285" s="5"/>
      <c r="K285" s="108"/>
      <c r="S285" s="288"/>
      <c r="T285" s="288"/>
      <c r="U285" s="288"/>
      <c r="V285" s="288"/>
      <c r="W285" s="288"/>
      <c r="X285" s="288"/>
      <c r="Y285" s="288"/>
    </row>
    <row r="286" spans="1:25" ht="15" thickBot="1" x14ac:dyDescent="0.35">
      <c r="A286" s="110"/>
      <c r="B286" s="36"/>
      <c r="C286" s="36"/>
      <c r="D286" s="36"/>
      <c r="E286" s="36"/>
      <c r="F286" s="36"/>
      <c r="G286" s="37"/>
      <c r="H286" s="37"/>
      <c r="I286" s="37"/>
      <c r="J286" s="37"/>
      <c r="K286" s="193"/>
    </row>
    <row r="287" spans="1:25" ht="15" thickTop="1" x14ac:dyDescent="0.3"/>
  </sheetData>
  <sortState ref="A251:AA282">
    <sortCondition descending="1" ref="I251:I282"/>
    <sortCondition descending="1" ref="G251:G282"/>
    <sortCondition ref="H251:H282"/>
  </sortState>
  <mergeCells count="5">
    <mergeCell ref="C234:I234"/>
    <mergeCell ref="C243:I243"/>
    <mergeCell ref="A2:J2"/>
    <mergeCell ref="A4:J4"/>
    <mergeCell ref="A5:J5"/>
  </mergeCells>
  <pageMargins left="0.7" right="0.7" top="0.78740157499999996" bottom="0.78740157499999996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A283"/>
  <sheetViews>
    <sheetView tabSelected="1" topLeftCell="A242" workbookViewId="0">
      <selection activeCell="M263" sqref="M263"/>
    </sheetView>
  </sheetViews>
  <sheetFormatPr baseColWidth="10" defaultRowHeight="14.4" x14ac:dyDescent="0.3"/>
  <cols>
    <col min="1" max="2" width="11.77734375" style="1" customWidth="1"/>
    <col min="3" max="3" width="12.77734375" style="1" customWidth="1"/>
    <col min="4" max="6" width="11.77734375" style="1" customWidth="1"/>
    <col min="7" max="10" width="11.77734375" style="2" customWidth="1"/>
    <col min="11" max="27" width="11.77734375" customWidth="1"/>
  </cols>
  <sheetData>
    <row r="1" spans="1:27" ht="15" thickTop="1" x14ac:dyDescent="0.3">
      <c r="A1" s="106"/>
      <c r="B1" s="25"/>
      <c r="C1" s="25"/>
      <c r="D1" s="25"/>
      <c r="E1" s="25"/>
      <c r="F1" s="25"/>
      <c r="G1" s="26"/>
      <c r="H1" s="26"/>
      <c r="I1" s="26"/>
      <c r="J1" s="26"/>
      <c r="K1" s="107"/>
      <c r="S1" s="289"/>
      <c r="T1" s="39"/>
      <c r="U1" s="39"/>
      <c r="V1" s="39"/>
      <c r="W1" s="39"/>
      <c r="X1" s="39"/>
      <c r="Y1" s="290"/>
    </row>
    <row r="2" spans="1:27" ht="46.2" x14ac:dyDescent="0.85">
      <c r="A2" s="425" t="s">
        <v>243</v>
      </c>
      <c r="B2" s="426"/>
      <c r="C2" s="426"/>
      <c r="D2" s="426"/>
      <c r="E2" s="426"/>
      <c r="F2" s="426"/>
      <c r="G2" s="426"/>
      <c r="H2" s="426"/>
      <c r="I2" s="426"/>
      <c r="J2" s="426"/>
      <c r="K2" s="108"/>
      <c r="S2" s="289"/>
      <c r="T2" s="39"/>
      <c r="U2" s="39"/>
      <c r="V2" s="39"/>
      <c r="W2" s="39"/>
      <c r="X2" s="39"/>
      <c r="Y2" s="290"/>
    </row>
    <row r="3" spans="1:27" x14ac:dyDescent="0.3">
      <c r="A3" s="398"/>
      <c r="B3" s="396"/>
      <c r="C3" s="396"/>
      <c r="D3" s="396"/>
      <c r="E3" s="396"/>
      <c r="F3" s="396"/>
      <c r="G3" s="5"/>
      <c r="H3" s="5"/>
      <c r="I3" s="5"/>
      <c r="J3" s="5"/>
      <c r="K3" s="108"/>
      <c r="S3" s="289"/>
      <c r="T3" s="39"/>
      <c r="U3" s="39"/>
      <c r="V3" s="39"/>
      <c r="W3" s="39"/>
      <c r="X3" s="39"/>
      <c r="Y3" s="290"/>
    </row>
    <row r="4" spans="1:27" ht="28.8" x14ac:dyDescent="0.55000000000000004">
      <c r="A4" s="428" t="s">
        <v>244</v>
      </c>
      <c r="B4" s="429"/>
      <c r="C4" s="429"/>
      <c r="D4" s="429"/>
      <c r="E4" s="429"/>
      <c r="F4" s="429"/>
      <c r="G4" s="429"/>
      <c r="H4" s="429"/>
      <c r="I4" s="429"/>
      <c r="J4" s="429"/>
      <c r="K4" s="108"/>
      <c r="S4" s="289"/>
      <c r="T4" s="39"/>
      <c r="U4" s="39"/>
      <c r="V4" s="39"/>
      <c r="W4" s="39"/>
      <c r="X4" s="39"/>
      <c r="Y4" s="290"/>
    </row>
    <row r="5" spans="1:27" ht="21" x14ac:dyDescent="0.4">
      <c r="A5" s="430" t="s">
        <v>245</v>
      </c>
      <c r="B5" s="431"/>
      <c r="C5" s="431"/>
      <c r="D5" s="431"/>
      <c r="E5" s="431"/>
      <c r="F5" s="431"/>
      <c r="G5" s="431"/>
      <c r="H5" s="431"/>
      <c r="I5" s="431"/>
      <c r="J5" s="431"/>
      <c r="K5" s="108"/>
      <c r="S5" s="289"/>
      <c r="T5" s="39"/>
      <c r="U5" s="39"/>
      <c r="V5" s="39"/>
      <c r="W5" s="39"/>
      <c r="X5" s="39"/>
      <c r="Y5" s="290"/>
    </row>
    <row r="6" spans="1:27" x14ac:dyDescent="0.3">
      <c r="A6" s="398"/>
      <c r="B6" s="396"/>
      <c r="C6" s="396"/>
      <c r="D6" s="396"/>
      <c r="E6" s="396"/>
      <c r="F6" s="396"/>
      <c r="G6" s="5"/>
      <c r="H6" s="5"/>
      <c r="I6" s="5"/>
      <c r="J6" s="5"/>
      <c r="K6" s="108"/>
      <c r="S6" s="289"/>
      <c r="T6" s="39"/>
      <c r="U6" s="39"/>
      <c r="V6" s="39"/>
      <c r="W6" s="39"/>
      <c r="X6" s="39"/>
      <c r="Y6" s="290"/>
    </row>
    <row r="7" spans="1:27" x14ac:dyDescent="0.3">
      <c r="A7" s="398"/>
      <c r="B7" s="396"/>
      <c r="C7" s="396"/>
      <c r="D7" s="396"/>
      <c r="E7" s="396"/>
      <c r="F7" s="396"/>
      <c r="G7" s="5"/>
      <c r="H7" s="5"/>
      <c r="I7" s="5"/>
      <c r="J7" s="5"/>
      <c r="K7" s="108"/>
      <c r="S7" s="289"/>
      <c r="T7" s="39"/>
      <c r="U7" s="39"/>
      <c r="V7" s="39"/>
      <c r="W7" s="39"/>
      <c r="X7" s="39"/>
      <c r="Y7" s="290"/>
    </row>
    <row r="8" spans="1:27" x14ac:dyDescent="0.3">
      <c r="A8" s="398"/>
      <c r="B8" s="33"/>
      <c r="C8" s="396"/>
      <c r="D8" s="396"/>
      <c r="E8" s="396"/>
      <c r="F8" s="396"/>
      <c r="G8" s="5"/>
      <c r="H8" s="5"/>
      <c r="I8" s="5"/>
      <c r="J8" s="5"/>
      <c r="K8" s="108"/>
      <c r="S8" s="289"/>
      <c r="T8" s="39"/>
      <c r="U8" s="39"/>
      <c r="V8" s="39"/>
      <c r="W8" s="39"/>
      <c r="X8" s="39"/>
      <c r="Y8" s="290"/>
    </row>
    <row r="9" spans="1:27" x14ac:dyDescent="0.3">
      <c r="A9" s="156"/>
      <c r="B9" s="396"/>
      <c r="C9" s="396"/>
      <c r="D9" s="396"/>
      <c r="E9" s="396"/>
      <c r="F9" s="396"/>
      <c r="G9" s="396"/>
      <c r="H9" s="5"/>
      <c r="I9" s="5"/>
      <c r="J9" s="5"/>
      <c r="K9" s="108"/>
      <c r="S9" s="117"/>
      <c r="T9" s="342"/>
      <c r="U9" s="342"/>
      <c r="V9" s="342"/>
      <c r="W9" s="342"/>
      <c r="X9" s="342"/>
      <c r="Y9" s="118"/>
    </row>
    <row r="10" spans="1:27" ht="21" x14ac:dyDescent="0.4">
      <c r="A10" s="398"/>
      <c r="B10" s="396"/>
      <c r="C10" s="396"/>
      <c r="D10" s="396"/>
      <c r="E10" s="396"/>
      <c r="F10" s="395" t="s">
        <v>119</v>
      </c>
      <c r="G10" s="5"/>
      <c r="H10" s="5"/>
      <c r="I10" s="5"/>
      <c r="J10" s="5"/>
      <c r="K10" s="108"/>
      <c r="S10" s="117"/>
      <c r="T10" s="342"/>
      <c r="U10" s="342"/>
      <c r="V10" s="342"/>
      <c r="W10" s="342"/>
      <c r="X10" s="342"/>
      <c r="Y10" s="118"/>
    </row>
    <row r="11" spans="1:27" x14ac:dyDescent="0.3">
      <c r="A11" s="398"/>
      <c r="B11" s="396"/>
      <c r="C11" s="396"/>
      <c r="D11" s="396"/>
      <c r="E11" s="396"/>
      <c r="F11" s="28"/>
      <c r="G11" s="5"/>
      <c r="H11" s="5"/>
      <c r="I11" s="5"/>
      <c r="J11" s="5"/>
      <c r="K11" s="108"/>
      <c r="S11" s="117"/>
      <c r="T11" s="287"/>
      <c r="U11" s="287"/>
      <c r="V11" s="287"/>
      <c r="W11" s="287"/>
      <c r="X11" s="287"/>
      <c r="Y11" s="118"/>
    </row>
    <row r="12" spans="1:27" x14ac:dyDescent="0.3">
      <c r="A12" s="398"/>
      <c r="B12" s="396"/>
      <c r="C12" s="411">
        <v>44885</v>
      </c>
      <c r="D12" s="49" t="s">
        <v>442</v>
      </c>
      <c r="E12" s="49" t="s">
        <v>377</v>
      </c>
      <c r="F12" s="49">
        <v>0</v>
      </c>
      <c r="G12" s="49">
        <v>2</v>
      </c>
      <c r="H12" s="396"/>
      <c r="I12" s="396" t="s">
        <v>443</v>
      </c>
      <c r="J12" s="5"/>
      <c r="K12" s="108"/>
      <c r="S12" s="117" t="s">
        <v>442</v>
      </c>
      <c r="T12" s="287" t="s">
        <v>377</v>
      </c>
      <c r="U12" s="287">
        <v>0</v>
      </c>
      <c r="V12" s="287">
        <v>2</v>
      </c>
      <c r="W12" s="287"/>
      <c r="X12" s="126">
        <f t="shared" ref="X12:X17" si="0">(IF(U12&gt;V12,3,IF(U12=V12,1,2)))</f>
        <v>2</v>
      </c>
      <c r="Y12" s="125">
        <f t="shared" ref="Y12:Y17" si="1">(IF(V12&gt;U12,3,IF(U12=V12,1,2)))</f>
        <v>3</v>
      </c>
      <c r="AA12" t="s">
        <v>442</v>
      </c>
    </row>
    <row r="13" spans="1:27" ht="15" thickBot="1" x14ac:dyDescent="0.35">
      <c r="A13" s="398"/>
      <c r="B13" s="396"/>
      <c r="C13" s="58"/>
      <c r="D13" s="79"/>
      <c r="E13" s="79"/>
      <c r="F13" s="79" t="s">
        <v>170</v>
      </c>
      <c r="G13" s="79" t="s">
        <v>173</v>
      </c>
      <c r="H13" s="401"/>
      <c r="I13" s="401"/>
      <c r="J13" s="5"/>
      <c r="K13" s="108"/>
      <c r="S13" s="117" t="s">
        <v>355</v>
      </c>
      <c r="T13" s="250" t="s">
        <v>63</v>
      </c>
      <c r="U13" s="340">
        <v>0</v>
      </c>
      <c r="V13" s="340">
        <v>2</v>
      </c>
      <c r="W13" s="287"/>
      <c r="X13" s="126">
        <f t="shared" si="0"/>
        <v>2</v>
      </c>
      <c r="Y13" s="125">
        <f t="shared" si="1"/>
        <v>3</v>
      </c>
      <c r="AA13" t="s">
        <v>377</v>
      </c>
    </row>
    <row r="14" spans="1:27" x14ac:dyDescent="0.3">
      <c r="A14" s="398"/>
      <c r="B14" s="396"/>
      <c r="C14" s="411">
        <v>44886</v>
      </c>
      <c r="D14" s="49" t="s">
        <v>355</v>
      </c>
      <c r="E14" s="49" t="s">
        <v>63</v>
      </c>
      <c r="F14" s="49">
        <v>0</v>
      </c>
      <c r="G14" s="49">
        <v>2</v>
      </c>
      <c r="H14" s="396"/>
      <c r="I14" s="5" t="s">
        <v>444</v>
      </c>
      <c r="J14" s="5"/>
      <c r="K14" s="108"/>
      <c r="S14" s="117" t="s">
        <v>442</v>
      </c>
      <c r="T14" s="250" t="s">
        <v>355</v>
      </c>
      <c r="U14" s="340">
        <v>1</v>
      </c>
      <c r="V14" s="340">
        <v>3</v>
      </c>
      <c r="W14" s="287"/>
      <c r="X14" s="126">
        <f t="shared" si="0"/>
        <v>2</v>
      </c>
      <c r="Y14" s="125">
        <f t="shared" si="1"/>
        <v>3</v>
      </c>
      <c r="AA14" t="s">
        <v>355</v>
      </c>
    </row>
    <row r="15" spans="1:27" ht="15" thickBot="1" x14ac:dyDescent="0.35">
      <c r="A15" s="398"/>
      <c r="B15" s="396"/>
      <c r="C15" s="58"/>
      <c r="D15" s="79"/>
      <c r="E15" s="79"/>
      <c r="F15" s="79" t="s">
        <v>170</v>
      </c>
      <c r="G15" s="79" t="s">
        <v>171</v>
      </c>
      <c r="H15" s="401"/>
      <c r="I15" s="8"/>
      <c r="J15" s="5"/>
      <c r="K15" s="108"/>
      <c r="S15" s="117" t="s">
        <v>63</v>
      </c>
      <c r="T15" s="340" t="s">
        <v>377</v>
      </c>
      <c r="U15" s="340">
        <v>1</v>
      </c>
      <c r="V15" s="340">
        <v>1</v>
      </c>
      <c r="W15" s="287"/>
      <c r="X15" s="126">
        <f t="shared" si="0"/>
        <v>1</v>
      </c>
      <c r="Y15" s="125">
        <f t="shared" si="1"/>
        <v>1</v>
      </c>
      <c r="AA15" t="s">
        <v>63</v>
      </c>
    </row>
    <row r="16" spans="1:27" x14ac:dyDescent="0.3">
      <c r="A16" s="398"/>
      <c r="B16" s="396"/>
      <c r="C16" s="411">
        <v>44890</v>
      </c>
      <c r="D16" s="49" t="s">
        <v>442</v>
      </c>
      <c r="E16" s="49" t="s">
        <v>355</v>
      </c>
      <c r="F16" s="49">
        <v>1</v>
      </c>
      <c r="G16" s="49">
        <v>3</v>
      </c>
      <c r="H16" s="396"/>
      <c r="I16" s="5" t="s">
        <v>444</v>
      </c>
      <c r="J16" s="5"/>
      <c r="K16" s="108"/>
      <c r="S16" s="117" t="s">
        <v>63</v>
      </c>
      <c r="T16" s="340" t="s">
        <v>442</v>
      </c>
      <c r="U16" s="340">
        <v>2</v>
      </c>
      <c r="V16" s="340">
        <v>0</v>
      </c>
      <c r="W16" s="287"/>
      <c r="X16" s="126">
        <f t="shared" si="0"/>
        <v>3</v>
      </c>
      <c r="Y16" s="125">
        <f t="shared" si="1"/>
        <v>2</v>
      </c>
      <c r="AA16" t="s">
        <v>74</v>
      </c>
    </row>
    <row r="17" spans="1:27" ht="15" thickBot="1" x14ac:dyDescent="0.35">
      <c r="A17" s="398"/>
      <c r="B17" s="396"/>
      <c r="C17" s="58"/>
      <c r="D17" s="79"/>
      <c r="E17" s="79"/>
      <c r="F17" s="79" t="s">
        <v>170</v>
      </c>
      <c r="G17" s="79" t="s">
        <v>183</v>
      </c>
      <c r="H17" s="401"/>
      <c r="I17" s="8"/>
      <c r="J17" s="5"/>
      <c r="K17" s="108"/>
      <c r="S17" s="117" t="s">
        <v>377</v>
      </c>
      <c r="T17" s="340" t="s">
        <v>355</v>
      </c>
      <c r="U17" s="340">
        <v>1</v>
      </c>
      <c r="V17" s="340">
        <v>2</v>
      </c>
      <c r="W17" s="287"/>
      <c r="X17" s="126">
        <f t="shared" si="0"/>
        <v>2</v>
      </c>
      <c r="Y17" s="125">
        <f t="shared" si="1"/>
        <v>3</v>
      </c>
      <c r="AA17" t="s">
        <v>177</v>
      </c>
    </row>
    <row r="18" spans="1:27" x14ac:dyDescent="0.3">
      <c r="A18" s="398"/>
      <c r="B18" s="396"/>
      <c r="C18" s="411">
        <v>44890</v>
      </c>
      <c r="D18" s="49" t="s">
        <v>63</v>
      </c>
      <c r="E18" s="49" t="s">
        <v>377</v>
      </c>
      <c r="F18" s="49">
        <v>1</v>
      </c>
      <c r="G18" s="49">
        <v>1</v>
      </c>
      <c r="H18" s="396"/>
      <c r="I18" s="5" t="s">
        <v>445</v>
      </c>
      <c r="J18" s="5"/>
      <c r="K18" s="108"/>
      <c r="S18" s="117"/>
      <c r="T18" s="340"/>
      <c r="U18" s="340"/>
      <c r="V18" s="340"/>
      <c r="W18" s="287"/>
      <c r="X18" s="126"/>
      <c r="Y18" s="125"/>
      <c r="AA18" t="s">
        <v>20</v>
      </c>
    </row>
    <row r="19" spans="1:27" ht="15" thickBot="1" x14ac:dyDescent="0.35">
      <c r="A19" s="398"/>
      <c r="B19" s="396"/>
      <c r="C19" s="58"/>
      <c r="D19" s="79"/>
      <c r="E19" s="79"/>
      <c r="F19" s="79" t="s">
        <v>172</v>
      </c>
      <c r="G19" s="79" t="s">
        <v>171</v>
      </c>
      <c r="H19" s="401"/>
      <c r="I19" s="8"/>
      <c r="J19" s="5"/>
      <c r="K19" s="108"/>
      <c r="S19" s="117"/>
      <c r="T19" s="340"/>
      <c r="U19" s="340"/>
      <c r="V19" s="340"/>
      <c r="W19" s="287"/>
      <c r="X19" s="126"/>
      <c r="Y19" s="125"/>
      <c r="AA19" t="s">
        <v>102</v>
      </c>
    </row>
    <row r="20" spans="1:27" x14ac:dyDescent="0.3">
      <c r="A20" s="398"/>
      <c r="B20" s="396"/>
      <c r="C20" s="411">
        <v>44894</v>
      </c>
      <c r="D20" s="49" t="s">
        <v>63</v>
      </c>
      <c r="E20" s="49" t="s">
        <v>442</v>
      </c>
      <c r="F20" s="49">
        <v>2</v>
      </c>
      <c r="G20" s="49">
        <v>0</v>
      </c>
      <c r="H20" s="396"/>
      <c r="I20" s="5" t="s">
        <v>443</v>
      </c>
      <c r="J20" s="5"/>
      <c r="K20" s="108"/>
      <c r="S20" s="117"/>
      <c r="T20" s="340"/>
      <c r="U20" s="340"/>
      <c r="V20" s="340"/>
      <c r="W20" s="287"/>
      <c r="X20" s="287"/>
      <c r="Y20" s="118"/>
      <c r="AA20" t="s">
        <v>5</v>
      </c>
    </row>
    <row r="21" spans="1:27" ht="15" thickBot="1" x14ac:dyDescent="0.35">
      <c r="A21" s="398"/>
      <c r="B21" s="396"/>
      <c r="C21" s="58"/>
      <c r="D21" s="79"/>
      <c r="E21" s="79"/>
      <c r="F21" s="79" t="s">
        <v>172</v>
      </c>
      <c r="G21" s="79" t="s">
        <v>171</v>
      </c>
      <c r="H21" s="401"/>
      <c r="I21" s="8"/>
      <c r="J21" s="5"/>
      <c r="K21" s="108"/>
      <c r="S21" s="117"/>
      <c r="T21" s="340"/>
      <c r="U21" s="340"/>
      <c r="V21" s="340"/>
      <c r="W21" s="287"/>
      <c r="X21" s="287"/>
      <c r="Y21" s="118"/>
      <c r="AA21" t="s">
        <v>313</v>
      </c>
    </row>
    <row r="22" spans="1:27" x14ac:dyDescent="0.3">
      <c r="A22" s="398"/>
      <c r="B22" s="396"/>
      <c r="C22" s="411">
        <v>44894</v>
      </c>
      <c r="D22" s="49" t="s">
        <v>377</v>
      </c>
      <c r="E22" s="49" t="s">
        <v>355</v>
      </c>
      <c r="F22" s="49">
        <v>1</v>
      </c>
      <c r="G22" s="49">
        <v>2</v>
      </c>
      <c r="H22" s="396"/>
      <c r="I22" s="5" t="s">
        <v>445</v>
      </c>
      <c r="J22" s="5"/>
      <c r="K22" s="108"/>
      <c r="S22" s="117"/>
      <c r="T22" s="287"/>
      <c r="U22" s="287"/>
      <c r="V22" s="287"/>
      <c r="W22" s="287"/>
      <c r="X22" s="287"/>
      <c r="Y22" s="118"/>
      <c r="AA22" t="s">
        <v>4</v>
      </c>
    </row>
    <row r="23" spans="1:27" x14ac:dyDescent="0.3">
      <c r="A23" s="398"/>
      <c r="B23" s="396"/>
      <c r="C23" s="40"/>
      <c r="D23" s="49"/>
      <c r="E23" s="49"/>
      <c r="F23" s="49" t="s">
        <v>170</v>
      </c>
      <c r="G23" s="49" t="s">
        <v>183</v>
      </c>
      <c r="H23" s="396"/>
      <c r="I23" s="5"/>
      <c r="J23" s="5"/>
      <c r="K23" s="108"/>
      <c r="S23" s="117"/>
      <c r="T23" s="287"/>
      <c r="U23" s="287"/>
      <c r="V23" s="287"/>
      <c r="W23" s="287"/>
      <c r="X23" s="287"/>
      <c r="Y23" s="118"/>
      <c r="AA23" t="s">
        <v>61</v>
      </c>
    </row>
    <row r="24" spans="1:27" x14ac:dyDescent="0.3">
      <c r="A24" s="398"/>
      <c r="B24" s="396"/>
      <c r="C24" s="40"/>
      <c r="D24" s="396"/>
      <c r="E24" s="396"/>
      <c r="F24" s="396"/>
      <c r="G24" s="396"/>
      <c r="H24" s="396"/>
      <c r="I24" s="5"/>
      <c r="J24" s="5"/>
      <c r="K24" s="108"/>
      <c r="S24" s="117"/>
      <c r="T24" s="287"/>
      <c r="U24" s="287"/>
      <c r="V24" s="287"/>
      <c r="W24" s="287"/>
      <c r="X24" s="287"/>
      <c r="Y24" s="118"/>
      <c r="AA24" t="s">
        <v>258</v>
      </c>
    </row>
    <row r="25" spans="1:27" ht="15" thickBot="1" x14ac:dyDescent="0.35">
      <c r="A25" s="398"/>
      <c r="B25" s="396" t="s">
        <v>298</v>
      </c>
      <c r="C25" s="396" t="s">
        <v>12</v>
      </c>
      <c r="D25" s="396" t="s">
        <v>13</v>
      </c>
      <c r="E25" s="396" t="s">
        <v>14</v>
      </c>
      <c r="F25" s="396" t="s">
        <v>15</v>
      </c>
      <c r="G25" s="5" t="s">
        <v>24</v>
      </c>
      <c r="H25" s="5" t="s">
        <v>25</v>
      </c>
      <c r="I25" s="5" t="s">
        <v>301</v>
      </c>
      <c r="J25" s="5"/>
      <c r="K25" s="108"/>
      <c r="S25" s="117"/>
      <c r="T25" s="287"/>
      <c r="U25" s="287"/>
      <c r="V25" s="287"/>
      <c r="W25" s="287"/>
      <c r="X25" s="126"/>
      <c r="Y25" s="125"/>
      <c r="AA25" t="s">
        <v>176</v>
      </c>
    </row>
    <row r="26" spans="1:27" x14ac:dyDescent="0.3">
      <c r="A26" s="398" t="s">
        <v>113</v>
      </c>
      <c r="B26" s="14" t="s">
        <v>442</v>
      </c>
      <c r="C26" s="399">
        <f>COUNTIF($S$12:$T$17,"Rumänien")</f>
        <v>0</v>
      </c>
      <c r="D26" s="124">
        <f t="shared" ref="D26" si="2">SUMPRODUCT(($S$12:$T$17=B26)*($X$12:$Y$17=3))</f>
        <v>0</v>
      </c>
      <c r="E26" s="124">
        <f t="shared" ref="E26" si="3">SUMPRODUCT(($S$12:$T$17=B26)*($X$12:$Y$17=1))</f>
        <v>0</v>
      </c>
      <c r="F26" s="124">
        <f t="shared" ref="F26" si="4">SUMPRODUCT(($S$12:$T$17=B26)*($X$12:$Y$17=2))</f>
        <v>3</v>
      </c>
      <c r="G26" s="124">
        <f t="shared" ref="G26" si="5">SUMPRODUCT(($S$12:$S$17=B26)*($U$12:$U$17))+SUMPRODUCT(($T$12:$T$17=B26)*($V$12:$V$17))</f>
        <v>1</v>
      </c>
      <c r="H26" s="124">
        <f t="shared" ref="H26" si="6">SUMPRODUCT(($S$12:$S$17=B26)*($V$12:$V$17))+SUMPRODUCT(($T$12:$T$17=B26)*($U$12:$U$17))</f>
        <v>7</v>
      </c>
      <c r="I26" s="16">
        <f>(D26*3)+E26</f>
        <v>0</v>
      </c>
      <c r="J26" s="18"/>
      <c r="K26" s="108"/>
      <c r="S26" s="117"/>
      <c r="T26" s="287"/>
      <c r="U26" s="287"/>
      <c r="V26" s="287"/>
      <c r="W26" s="287"/>
      <c r="X26" s="287"/>
      <c r="Y26" s="118"/>
      <c r="AA26" t="s">
        <v>3</v>
      </c>
    </row>
    <row r="27" spans="1:27" x14ac:dyDescent="0.3">
      <c r="A27" s="398"/>
      <c r="B27" s="21" t="s">
        <v>377</v>
      </c>
      <c r="C27" s="396"/>
      <c r="D27" s="43"/>
      <c r="E27" s="43"/>
      <c r="F27" s="43"/>
      <c r="G27" s="43"/>
      <c r="H27" s="43"/>
      <c r="I27" s="22"/>
      <c r="J27" s="18"/>
      <c r="K27" s="108"/>
      <c r="S27" s="117"/>
      <c r="T27" s="287"/>
      <c r="U27" s="287"/>
      <c r="V27" s="287"/>
      <c r="W27" s="287"/>
      <c r="X27" s="287"/>
      <c r="Y27" s="118"/>
      <c r="AA27" t="s">
        <v>152</v>
      </c>
    </row>
    <row r="28" spans="1:27" x14ac:dyDescent="0.3">
      <c r="A28" s="398"/>
      <c r="B28" s="3" t="s">
        <v>355</v>
      </c>
      <c r="C28" s="396"/>
      <c r="D28" s="43"/>
      <c r="E28" s="43"/>
      <c r="F28" s="43"/>
      <c r="G28" s="43"/>
      <c r="H28" s="43"/>
      <c r="I28" s="22"/>
      <c r="J28" s="5"/>
      <c r="K28" s="108"/>
      <c r="S28" s="117"/>
      <c r="T28" s="287"/>
      <c r="U28" s="287"/>
      <c r="V28" s="287"/>
      <c r="W28" s="287"/>
      <c r="X28" s="126"/>
      <c r="Y28" s="125"/>
      <c r="AA28" t="s">
        <v>88</v>
      </c>
    </row>
    <row r="29" spans="1:27" ht="15" thickBot="1" x14ac:dyDescent="0.35">
      <c r="A29" s="398"/>
      <c r="B29" s="7" t="s">
        <v>63</v>
      </c>
      <c r="C29" s="401"/>
      <c r="D29" s="80"/>
      <c r="E29" s="80"/>
      <c r="F29" s="80"/>
      <c r="G29" s="80"/>
      <c r="H29" s="80"/>
      <c r="I29" s="32"/>
      <c r="J29" s="5"/>
      <c r="K29" s="108"/>
      <c r="S29" s="117"/>
      <c r="T29" s="287"/>
      <c r="U29" s="287"/>
      <c r="V29" s="287"/>
      <c r="W29" s="287"/>
      <c r="X29" s="126"/>
      <c r="Y29" s="125"/>
      <c r="AA29" t="s">
        <v>351</v>
      </c>
    </row>
    <row r="30" spans="1:27" ht="15" thickBot="1" x14ac:dyDescent="0.35">
      <c r="A30" s="398"/>
      <c r="B30" s="396"/>
      <c r="C30" s="396"/>
      <c r="D30" s="396"/>
      <c r="E30" s="396"/>
      <c r="F30" s="396"/>
      <c r="G30" s="5"/>
      <c r="H30" s="5"/>
      <c r="I30" s="5"/>
      <c r="J30" s="5"/>
      <c r="K30" s="193"/>
      <c r="S30" s="117"/>
      <c r="T30" s="287"/>
      <c r="U30" s="287"/>
      <c r="V30" s="287"/>
      <c r="W30" s="287"/>
      <c r="X30" s="126"/>
      <c r="Y30" s="125"/>
      <c r="AA30" t="s">
        <v>35</v>
      </c>
    </row>
    <row r="31" spans="1:27" ht="15" thickTop="1" x14ac:dyDescent="0.3">
      <c r="A31" s="106"/>
      <c r="B31" s="25"/>
      <c r="C31" s="25"/>
      <c r="D31" s="25"/>
      <c r="E31" s="25"/>
      <c r="F31" s="25"/>
      <c r="G31" s="26"/>
      <c r="H31" s="26"/>
      <c r="I31" s="26"/>
      <c r="J31" s="26"/>
      <c r="K31" s="108"/>
      <c r="S31" s="122"/>
      <c r="T31" s="17"/>
      <c r="U31" s="17"/>
      <c r="V31" s="17"/>
      <c r="W31" s="288"/>
      <c r="X31" s="126"/>
      <c r="Y31" s="125"/>
      <c r="AA31" t="s">
        <v>286</v>
      </c>
    </row>
    <row r="32" spans="1:27" ht="21" x14ac:dyDescent="0.4">
      <c r="A32" s="398"/>
      <c r="B32" s="396"/>
      <c r="C32" s="396"/>
      <c r="D32" s="396"/>
      <c r="E32" s="396"/>
      <c r="F32" s="395" t="s">
        <v>120</v>
      </c>
      <c r="G32" s="5"/>
      <c r="H32" s="5"/>
      <c r="I32" s="5"/>
      <c r="J32" s="5"/>
      <c r="K32" s="108"/>
      <c r="S32" s="117"/>
      <c r="T32" s="287"/>
      <c r="U32" s="287"/>
      <c r="V32" s="287"/>
      <c r="W32" s="288"/>
      <c r="X32" s="126"/>
      <c r="Y32" s="125"/>
      <c r="AA32" t="s">
        <v>147</v>
      </c>
    </row>
    <row r="33" spans="1:27" x14ac:dyDescent="0.3">
      <c r="A33" s="398"/>
      <c r="B33" s="396"/>
      <c r="C33" s="396"/>
      <c r="D33" s="396"/>
      <c r="E33" s="396"/>
      <c r="F33" s="28"/>
      <c r="G33" s="5"/>
      <c r="H33" s="5"/>
      <c r="I33" s="5"/>
      <c r="J33" s="5"/>
      <c r="K33" s="108"/>
      <c r="S33" s="117"/>
      <c r="T33" s="287"/>
      <c r="U33" s="287"/>
      <c r="V33" s="287"/>
      <c r="W33" s="288"/>
      <c r="X33" s="126"/>
      <c r="Y33" s="125"/>
      <c r="AA33" t="s">
        <v>353</v>
      </c>
    </row>
    <row r="34" spans="1:27" x14ac:dyDescent="0.3">
      <c r="A34" s="398"/>
      <c r="B34" s="396"/>
      <c r="C34" s="411">
        <v>44886</v>
      </c>
      <c r="D34" s="49" t="s">
        <v>74</v>
      </c>
      <c r="E34" s="49" t="s">
        <v>177</v>
      </c>
      <c r="F34" s="49">
        <v>6</v>
      </c>
      <c r="G34" s="49">
        <v>2</v>
      </c>
      <c r="H34" s="396"/>
      <c r="I34" s="5" t="s">
        <v>445</v>
      </c>
      <c r="J34" s="5"/>
      <c r="K34" s="108"/>
      <c r="S34" s="117" t="s">
        <v>74</v>
      </c>
      <c r="T34" s="287" t="s">
        <v>177</v>
      </c>
      <c r="U34" s="287">
        <v>6</v>
      </c>
      <c r="V34" s="287">
        <v>2</v>
      </c>
      <c r="W34" s="288"/>
      <c r="X34" s="126">
        <f t="shared" ref="X34:X38" si="7">(IF(U34&gt;V34,3,IF(U34=V34,1,2)))</f>
        <v>3</v>
      </c>
      <c r="Y34" s="125">
        <f t="shared" ref="Y34:Y38" si="8">(IF(V34&gt;U34,3,IF(U34=V34,1,2)))</f>
        <v>2</v>
      </c>
      <c r="AA34" t="s">
        <v>21</v>
      </c>
    </row>
    <row r="35" spans="1:27" ht="15" thickBot="1" x14ac:dyDescent="0.35">
      <c r="A35" s="398"/>
      <c r="B35" s="396"/>
      <c r="C35" s="58"/>
      <c r="D35" s="79"/>
      <c r="E35" s="79"/>
      <c r="F35" s="79" t="s">
        <v>264</v>
      </c>
      <c r="G35" s="79" t="s">
        <v>171</v>
      </c>
      <c r="H35" s="401"/>
      <c r="I35" s="8"/>
      <c r="J35" s="5"/>
      <c r="K35" s="108"/>
      <c r="S35" s="117" t="s">
        <v>20</v>
      </c>
      <c r="T35" s="340" t="s">
        <v>102</v>
      </c>
      <c r="U35" s="340">
        <v>1</v>
      </c>
      <c r="V35" s="340">
        <v>1</v>
      </c>
      <c r="W35" s="288"/>
      <c r="X35" s="126">
        <f t="shared" si="7"/>
        <v>1</v>
      </c>
      <c r="Y35" s="125">
        <f t="shared" si="8"/>
        <v>1</v>
      </c>
      <c r="AA35" t="s">
        <v>251</v>
      </c>
    </row>
    <row r="36" spans="1:27" x14ac:dyDescent="0.3">
      <c r="A36" s="398"/>
      <c r="B36" s="396"/>
      <c r="C36" s="411">
        <v>44886</v>
      </c>
      <c r="D36" s="49" t="s">
        <v>20</v>
      </c>
      <c r="E36" s="49" t="s">
        <v>102</v>
      </c>
      <c r="F36" s="49">
        <v>1</v>
      </c>
      <c r="G36" s="49">
        <v>1</v>
      </c>
      <c r="H36" s="396"/>
      <c r="I36" s="5" t="s">
        <v>445</v>
      </c>
      <c r="J36" s="5"/>
      <c r="K36" s="108"/>
      <c r="S36" s="117" t="s">
        <v>102</v>
      </c>
      <c r="T36" s="340" t="s">
        <v>177</v>
      </c>
      <c r="U36" s="340">
        <v>0</v>
      </c>
      <c r="V36" s="340">
        <v>2</v>
      </c>
      <c r="W36" s="288"/>
      <c r="X36" s="126">
        <f t="shared" si="7"/>
        <v>2</v>
      </c>
      <c r="Y36" s="125">
        <f t="shared" si="8"/>
        <v>3</v>
      </c>
      <c r="AA36" t="s">
        <v>43</v>
      </c>
    </row>
    <row r="37" spans="1:27" ht="15" thickBot="1" x14ac:dyDescent="0.35">
      <c r="A37" s="398"/>
      <c r="B37" s="396"/>
      <c r="C37" s="58"/>
      <c r="D37" s="79"/>
      <c r="E37" s="79"/>
      <c r="F37" s="79" t="s">
        <v>172</v>
      </c>
      <c r="G37" s="79" t="s">
        <v>171</v>
      </c>
      <c r="H37" s="401"/>
      <c r="I37" s="8"/>
      <c r="J37" s="5"/>
      <c r="K37" s="108"/>
      <c r="S37" s="117" t="s">
        <v>74</v>
      </c>
      <c r="T37" s="340" t="s">
        <v>20</v>
      </c>
      <c r="U37" s="340">
        <v>0</v>
      </c>
      <c r="V37" s="340">
        <v>0</v>
      </c>
      <c r="W37" s="288"/>
      <c r="X37" s="126">
        <f t="shared" si="7"/>
        <v>1</v>
      </c>
      <c r="Y37" s="125">
        <f t="shared" si="8"/>
        <v>1</v>
      </c>
      <c r="AA37" t="s">
        <v>190</v>
      </c>
    </row>
    <row r="38" spans="1:27" x14ac:dyDescent="0.3">
      <c r="A38" s="398"/>
      <c r="B38" s="396"/>
      <c r="C38" s="411">
        <v>44890</v>
      </c>
      <c r="D38" s="49" t="s">
        <v>102</v>
      </c>
      <c r="E38" s="49" t="s">
        <v>177</v>
      </c>
      <c r="F38" s="49">
        <v>0</v>
      </c>
      <c r="G38" s="49">
        <v>2</v>
      </c>
      <c r="H38" s="396"/>
      <c r="I38" s="5" t="s">
        <v>445</v>
      </c>
      <c r="J38" s="5"/>
      <c r="K38" s="108"/>
      <c r="S38" s="117" t="s">
        <v>102</v>
      </c>
      <c r="T38" s="340" t="s">
        <v>74</v>
      </c>
      <c r="U38" s="340">
        <v>0</v>
      </c>
      <c r="V38" s="340">
        <v>3</v>
      </c>
      <c r="W38" s="288"/>
      <c r="X38" s="126">
        <f t="shared" si="7"/>
        <v>2</v>
      </c>
      <c r="Y38" s="125">
        <f t="shared" si="8"/>
        <v>3</v>
      </c>
      <c r="AA38" t="s">
        <v>9</v>
      </c>
    </row>
    <row r="39" spans="1:27" ht="15" thickBot="1" x14ac:dyDescent="0.35">
      <c r="A39" s="398"/>
      <c r="B39" s="396"/>
      <c r="C39" s="58"/>
      <c r="D39" s="79"/>
      <c r="E39" s="79"/>
      <c r="F39" s="79" t="s">
        <v>170</v>
      </c>
      <c r="G39" s="79" t="s">
        <v>171</v>
      </c>
      <c r="H39" s="401"/>
      <c r="I39" s="8"/>
      <c r="J39" s="5"/>
      <c r="K39" s="108"/>
      <c r="S39" s="117" t="s">
        <v>177</v>
      </c>
      <c r="T39" s="340" t="s">
        <v>20</v>
      </c>
      <c r="U39" s="340">
        <v>0</v>
      </c>
      <c r="V39" s="340">
        <v>1</v>
      </c>
      <c r="W39" s="288"/>
      <c r="X39" s="126">
        <f t="shared" ref="X39" si="9">(IF(U39&gt;V39,3,IF(U39=V39,1,2)))</f>
        <v>2</v>
      </c>
      <c r="Y39" s="125">
        <f t="shared" ref="Y39" si="10">(IF(V39&gt;U39,3,IF(U39=V39,1,2)))</f>
        <v>3</v>
      </c>
      <c r="AA39" t="s">
        <v>408</v>
      </c>
    </row>
    <row r="40" spans="1:27" ht="15" thickBot="1" x14ac:dyDescent="0.35">
      <c r="A40" s="398"/>
      <c r="B40" s="396"/>
      <c r="C40" s="408">
        <v>44890</v>
      </c>
      <c r="D40" s="89" t="s">
        <v>74</v>
      </c>
      <c r="E40" s="89" t="s">
        <v>20</v>
      </c>
      <c r="F40" s="89">
        <v>0</v>
      </c>
      <c r="G40" s="89">
        <v>0</v>
      </c>
      <c r="H40" s="286"/>
      <c r="I40" s="91" t="s">
        <v>443</v>
      </c>
      <c r="J40" s="5"/>
      <c r="K40" s="108"/>
      <c r="S40" s="117"/>
      <c r="T40" s="340"/>
      <c r="U40" s="340"/>
      <c r="V40" s="340"/>
      <c r="W40" s="288"/>
      <c r="X40" s="126"/>
      <c r="Y40" s="125"/>
      <c r="AA40" t="s">
        <v>18</v>
      </c>
    </row>
    <row r="41" spans="1:27" x14ac:dyDescent="0.3">
      <c r="A41" s="398"/>
      <c r="B41" s="396"/>
      <c r="C41" s="411">
        <v>44894</v>
      </c>
      <c r="D41" s="43" t="s">
        <v>102</v>
      </c>
      <c r="E41" s="43" t="s">
        <v>74</v>
      </c>
      <c r="F41" s="43">
        <v>0</v>
      </c>
      <c r="G41" s="43">
        <v>3</v>
      </c>
      <c r="H41" s="17"/>
      <c r="I41" s="5" t="s">
        <v>445</v>
      </c>
      <c r="J41" s="5"/>
      <c r="K41" s="108"/>
      <c r="S41" s="117"/>
      <c r="T41" s="340"/>
      <c r="U41" s="340"/>
      <c r="V41" s="340"/>
      <c r="W41" s="287"/>
      <c r="X41" s="126"/>
      <c r="Y41" s="125"/>
      <c r="AA41" t="s">
        <v>90</v>
      </c>
    </row>
    <row r="42" spans="1:27" ht="15" thickBot="1" x14ac:dyDescent="0.35">
      <c r="A42" s="398"/>
      <c r="B42" s="396"/>
      <c r="C42" s="58"/>
      <c r="D42" s="80"/>
      <c r="E42" s="80"/>
      <c r="F42" s="80" t="s">
        <v>170</v>
      </c>
      <c r="G42" s="80" t="s">
        <v>171</v>
      </c>
      <c r="H42" s="30"/>
      <c r="I42" s="8"/>
      <c r="J42" s="5"/>
      <c r="K42" s="108"/>
      <c r="S42" s="117"/>
      <c r="T42" s="340"/>
      <c r="U42" s="340"/>
      <c r="V42" s="340"/>
      <c r="W42" s="287"/>
      <c r="X42" s="126"/>
      <c r="Y42" s="125"/>
      <c r="AA42" t="s">
        <v>133</v>
      </c>
    </row>
    <row r="43" spans="1:27" x14ac:dyDescent="0.3">
      <c r="A43" s="398"/>
      <c r="B43" s="396"/>
      <c r="C43" s="411">
        <v>44894</v>
      </c>
      <c r="D43" s="43" t="s">
        <v>177</v>
      </c>
      <c r="E43" s="43" t="s">
        <v>20</v>
      </c>
      <c r="F43" s="43">
        <v>0</v>
      </c>
      <c r="G43" s="43">
        <v>1</v>
      </c>
      <c r="H43" s="17"/>
      <c r="I43" s="5" t="s">
        <v>444</v>
      </c>
      <c r="J43" s="5"/>
      <c r="K43" s="108"/>
      <c r="S43" s="117"/>
      <c r="T43" s="287"/>
      <c r="U43" s="287"/>
      <c r="V43" s="287"/>
      <c r="W43" s="287"/>
      <c r="X43" s="126"/>
      <c r="Y43" s="125"/>
      <c r="AA43" t="s">
        <v>390</v>
      </c>
    </row>
    <row r="44" spans="1:27" x14ac:dyDescent="0.3">
      <c r="A44" s="398"/>
      <c r="B44" s="396"/>
      <c r="C44" s="40"/>
      <c r="D44" s="43"/>
      <c r="E44" s="43"/>
      <c r="F44" s="43" t="s">
        <v>170</v>
      </c>
      <c r="G44" s="43" t="s">
        <v>183</v>
      </c>
      <c r="H44" s="17"/>
      <c r="I44" s="5"/>
      <c r="J44" s="5"/>
      <c r="K44" s="108"/>
      <c r="S44" s="117"/>
      <c r="T44" s="287"/>
      <c r="U44" s="287"/>
      <c r="V44" s="287"/>
      <c r="W44" s="287"/>
      <c r="X44" s="126"/>
      <c r="Y44" s="125"/>
    </row>
    <row r="45" spans="1:27" x14ac:dyDescent="0.3">
      <c r="A45" s="156"/>
      <c r="B45" s="17"/>
      <c r="C45" s="17"/>
      <c r="D45" s="17"/>
      <c r="E45" s="17"/>
      <c r="F45" s="17"/>
      <c r="G45" s="18"/>
      <c r="H45" s="5"/>
      <c r="I45" s="5"/>
      <c r="J45" s="5"/>
      <c r="K45" s="108"/>
      <c r="S45" s="117"/>
      <c r="T45" s="287"/>
      <c r="U45" s="287"/>
      <c r="V45" s="287"/>
      <c r="W45" s="287"/>
      <c r="X45" s="126"/>
      <c r="Y45" s="125"/>
    </row>
    <row r="46" spans="1:27" ht="15" thickBot="1" x14ac:dyDescent="0.35">
      <c r="A46" s="398"/>
      <c r="B46" s="396" t="s">
        <v>298</v>
      </c>
      <c r="C46" s="396" t="s">
        <v>12</v>
      </c>
      <c r="D46" s="396" t="s">
        <v>13</v>
      </c>
      <c r="E46" s="396" t="s">
        <v>14</v>
      </c>
      <c r="F46" s="396" t="s">
        <v>15</v>
      </c>
      <c r="G46" s="5" t="s">
        <v>24</v>
      </c>
      <c r="H46" s="5" t="s">
        <v>25</v>
      </c>
      <c r="I46" s="5" t="s">
        <v>301</v>
      </c>
      <c r="J46" s="5"/>
      <c r="K46" s="108"/>
      <c r="S46" s="117"/>
      <c r="T46" s="287"/>
      <c r="U46" s="287"/>
      <c r="V46" s="287"/>
      <c r="W46" s="287"/>
      <c r="X46" s="126"/>
      <c r="Y46" s="125"/>
    </row>
    <row r="47" spans="1:27" x14ac:dyDescent="0.3">
      <c r="A47" s="398" t="s">
        <v>113</v>
      </c>
      <c r="B47" s="14" t="s">
        <v>74</v>
      </c>
      <c r="C47" s="402">
        <v>3</v>
      </c>
      <c r="D47" s="402">
        <v>2</v>
      </c>
      <c r="E47" s="402">
        <v>1</v>
      </c>
      <c r="F47" s="402">
        <v>0</v>
      </c>
      <c r="G47" s="15">
        <v>6</v>
      </c>
      <c r="H47" s="15">
        <v>1</v>
      </c>
      <c r="I47" s="15">
        <v>7</v>
      </c>
      <c r="J47" s="86"/>
      <c r="K47" s="108"/>
      <c r="S47" s="117"/>
      <c r="T47" s="287"/>
      <c r="U47" s="287"/>
      <c r="V47" s="287"/>
      <c r="W47" s="287"/>
      <c r="X47" s="126"/>
      <c r="Y47" s="125"/>
    </row>
    <row r="48" spans="1:27" x14ac:dyDescent="0.3">
      <c r="A48" s="398"/>
      <c r="B48" s="21" t="s">
        <v>177</v>
      </c>
      <c r="C48" s="17"/>
      <c r="D48" s="17"/>
      <c r="E48" s="17"/>
      <c r="F48" s="17"/>
      <c r="G48" s="18"/>
      <c r="H48" s="18"/>
      <c r="I48" s="18"/>
      <c r="J48" s="86"/>
      <c r="K48" s="108"/>
      <c r="S48" s="117"/>
      <c r="T48" s="287"/>
      <c r="U48" s="287"/>
      <c r="V48" s="287"/>
      <c r="W48" s="287"/>
      <c r="X48" s="126"/>
      <c r="Y48" s="125"/>
    </row>
    <row r="49" spans="1:25" x14ac:dyDescent="0.3">
      <c r="A49" s="398"/>
      <c r="B49" s="3" t="s">
        <v>20</v>
      </c>
      <c r="C49" s="396"/>
      <c r="D49" s="396"/>
      <c r="E49" s="396"/>
      <c r="F49" s="396"/>
      <c r="G49" s="5"/>
      <c r="H49" s="5"/>
      <c r="I49" s="5"/>
      <c r="J49" s="87"/>
      <c r="K49" s="108"/>
      <c r="S49" s="117"/>
      <c r="T49" s="287"/>
      <c r="U49" s="287"/>
      <c r="V49" s="287"/>
      <c r="W49" s="287"/>
      <c r="X49" s="126"/>
      <c r="Y49" s="125"/>
    </row>
    <row r="50" spans="1:25" ht="15" thickBot="1" x14ac:dyDescent="0.35">
      <c r="A50" s="398"/>
      <c r="B50" s="7" t="s">
        <v>102</v>
      </c>
      <c r="C50" s="401"/>
      <c r="D50" s="401"/>
      <c r="E50" s="401"/>
      <c r="F50" s="401"/>
      <c r="G50" s="8"/>
      <c r="H50" s="8"/>
      <c r="I50" s="8"/>
      <c r="J50" s="87"/>
      <c r="K50" s="108"/>
      <c r="S50" s="117"/>
      <c r="T50" s="287"/>
      <c r="U50" s="287"/>
      <c r="V50" s="287"/>
      <c r="W50" s="287"/>
      <c r="X50" s="126"/>
      <c r="Y50" s="125"/>
    </row>
    <row r="51" spans="1:25" ht="15" thickBot="1" x14ac:dyDescent="0.35">
      <c r="A51" s="398"/>
      <c r="B51" s="396"/>
      <c r="C51" s="396"/>
      <c r="D51" s="396"/>
      <c r="E51" s="396"/>
      <c r="F51" s="396"/>
      <c r="G51" s="5"/>
      <c r="H51" s="5"/>
      <c r="I51" s="5"/>
      <c r="J51" s="5"/>
      <c r="K51" s="193"/>
      <c r="S51" s="117"/>
      <c r="T51" s="287"/>
      <c r="U51" s="287"/>
      <c r="V51" s="287"/>
      <c r="W51" s="287"/>
      <c r="X51" s="126"/>
      <c r="Y51" s="125"/>
    </row>
    <row r="52" spans="1:25" ht="15" thickTop="1" x14ac:dyDescent="0.3">
      <c r="A52" s="106"/>
      <c r="B52" s="25"/>
      <c r="C52" s="25"/>
      <c r="D52" s="25"/>
      <c r="E52" s="25"/>
      <c r="F52" s="25"/>
      <c r="G52" s="26"/>
      <c r="H52" s="26"/>
      <c r="I52" s="26"/>
      <c r="J52" s="26"/>
      <c r="K52" s="108"/>
      <c r="S52" s="117"/>
      <c r="T52" s="287"/>
      <c r="U52" s="287"/>
      <c r="V52" s="287"/>
      <c r="W52" s="287"/>
      <c r="X52" s="126"/>
      <c r="Y52" s="125"/>
    </row>
    <row r="53" spans="1:25" ht="21" x14ac:dyDescent="0.4">
      <c r="A53" s="398"/>
      <c r="B53" s="396"/>
      <c r="C53" s="396"/>
      <c r="D53" s="396"/>
      <c r="E53" s="396"/>
      <c r="F53" s="395" t="s">
        <v>121</v>
      </c>
      <c r="G53" s="5"/>
      <c r="H53" s="5"/>
      <c r="I53" s="5"/>
      <c r="J53" s="5"/>
      <c r="K53" s="108"/>
      <c r="S53" s="122"/>
      <c r="T53" s="17"/>
      <c r="U53" s="17"/>
      <c r="V53" s="17"/>
      <c r="W53" s="17"/>
      <c r="X53" s="126"/>
      <c r="Y53" s="125"/>
    </row>
    <row r="54" spans="1:25" x14ac:dyDescent="0.3">
      <c r="A54" s="398"/>
      <c r="B54" s="396"/>
      <c r="C54" s="396"/>
      <c r="D54" s="396"/>
      <c r="E54" s="396"/>
      <c r="F54" s="28"/>
      <c r="G54" s="5"/>
      <c r="H54" s="5"/>
      <c r="I54" s="5"/>
      <c r="J54" s="5"/>
      <c r="K54" s="108"/>
      <c r="S54" s="122"/>
      <c r="T54" s="17"/>
      <c r="U54" s="17"/>
      <c r="V54" s="17"/>
      <c r="W54" s="17"/>
      <c r="X54" s="126"/>
      <c r="Y54" s="125"/>
    </row>
    <row r="55" spans="1:25" x14ac:dyDescent="0.3">
      <c r="A55" s="398"/>
      <c r="B55" s="396"/>
      <c r="C55" s="411">
        <v>44887</v>
      </c>
      <c r="D55" s="49" t="s">
        <v>5</v>
      </c>
      <c r="E55" s="49" t="s">
        <v>313</v>
      </c>
      <c r="F55" s="49">
        <v>1</v>
      </c>
      <c r="G55" s="51">
        <v>2</v>
      </c>
      <c r="H55" s="5"/>
      <c r="I55" s="5" t="s">
        <v>446</v>
      </c>
      <c r="J55" s="5"/>
      <c r="K55" s="108"/>
      <c r="S55" s="122" t="s">
        <v>5</v>
      </c>
      <c r="T55" s="17" t="s">
        <v>313</v>
      </c>
      <c r="U55" s="17">
        <v>1</v>
      </c>
      <c r="V55" s="17">
        <v>2</v>
      </c>
      <c r="W55" s="17"/>
      <c r="X55" s="126">
        <f t="shared" ref="X55:X58" si="11">(IF(U55&gt;V55,3,IF(U55=V55,1,2)))</f>
        <v>2</v>
      </c>
      <c r="Y55" s="125">
        <f t="shared" ref="Y55:Y58" si="12">(IF(V55&gt;U55,3,IF(U55=V55,1,2)))</f>
        <v>3</v>
      </c>
    </row>
    <row r="56" spans="1:25" ht="15" thickBot="1" x14ac:dyDescent="0.35">
      <c r="A56" s="398"/>
      <c r="B56" s="396"/>
      <c r="C56" s="58"/>
      <c r="D56" s="79"/>
      <c r="E56" s="79"/>
      <c r="F56" s="79" t="s">
        <v>172</v>
      </c>
      <c r="G56" s="81" t="s">
        <v>171</v>
      </c>
      <c r="H56" s="8"/>
      <c r="I56" s="8"/>
      <c r="J56" s="5"/>
      <c r="K56" s="108"/>
      <c r="S56" s="122" t="s">
        <v>4</v>
      </c>
      <c r="T56" s="17" t="s">
        <v>61</v>
      </c>
      <c r="U56" s="17">
        <v>0</v>
      </c>
      <c r="V56" s="17">
        <v>0</v>
      </c>
      <c r="W56" s="17"/>
      <c r="X56" s="126">
        <f t="shared" si="11"/>
        <v>1</v>
      </c>
      <c r="Y56" s="125">
        <f t="shared" si="12"/>
        <v>1</v>
      </c>
    </row>
    <row r="57" spans="1:25" ht="15" thickBot="1" x14ac:dyDescent="0.35">
      <c r="A57" s="398"/>
      <c r="B57" s="396"/>
      <c r="C57" s="408">
        <v>44887</v>
      </c>
      <c r="D57" s="89" t="s">
        <v>4</v>
      </c>
      <c r="E57" s="89" t="s">
        <v>61</v>
      </c>
      <c r="F57" s="89">
        <v>0</v>
      </c>
      <c r="G57" s="90">
        <v>0</v>
      </c>
      <c r="H57" s="91"/>
      <c r="I57" s="91" t="s">
        <v>444</v>
      </c>
      <c r="J57" s="5"/>
      <c r="K57" s="108"/>
      <c r="S57" s="122" t="s">
        <v>61</v>
      </c>
      <c r="T57" s="17" t="s">
        <v>313</v>
      </c>
      <c r="U57" s="17">
        <v>2</v>
      </c>
      <c r="V57" s="17">
        <v>0</v>
      </c>
      <c r="W57" s="17"/>
      <c r="X57" s="126">
        <f t="shared" si="11"/>
        <v>3</v>
      </c>
      <c r="Y57" s="125">
        <f t="shared" si="12"/>
        <v>2</v>
      </c>
    </row>
    <row r="58" spans="1:25" x14ac:dyDescent="0.3">
      <c r="A58" s="398"/>
      <c r="B58" s="396"/>
      <c r="C58" s="411">
        <v>44891</v>
      </c>
      <c r="D58" s="49" t="s">
        <v>61</v>
      </c>
      <c r="E58" s="49" t="s">
        <v>313</v>
      </c>
      <c r="F58" s="49">
        <v>2</v>
      </c>
      <c r="G58" s="51">
        <v>0</v>
      </c>
      <c r="H58" s="5"/>
      <c r="I58" s="5" t="s">
        <v>445</v>
      </c>
      <c r="J58" s="5"/>
      <c r="K58" s="108"/>
      <c r="S58" s="122" t="s">
        <v>5</v>
      </c>
      <c r="T58" s="17" t="s">
        <v>4</v>
      </c>
      <c r="U58" s="17">
        <v>2</v>
      </c>
      <c r="V58" s="17">
        <v>0</v>
      </c>
      <c r="W58" s="17"/>
      <c r="X58" s="126">
        <f t="shared" si="11"/>
        <v>3</v>
      </c>
      <c r="Y58" s="125">
        <f t="shared" si="12"/>
        <v>2</v>
      </c>
    </row>
    <row r="59" spans="1:25" ht="15" thickBot="1" x14ac:dyDescent="0.35">
      <c r="A59" s="398"/>
      <c r="B59" s="396"/>
      <c r="C59" s="58"/>
      <c r="D59" s="79"/>
      <c r="E59" s="79"/>
      <c r="F59" s="79" t="s">
        <v>172</v>
      </c>
      <c r="G59" s="81" t="s">
        <v>171</v>
      </c>
      <c r="H59" s="8"/>
      <c r="I59" s="8"/>
      <c r="J59" s="5"/>
      <c r="K59" s="108"/>
      <c r="S59" s="122" t="s">
        <v>61</v>
      </c>
      <c r="T59" s="17" t="s">
        <v>5</v>
      </c>
      <c r="U59" s="17">
        <v>0</v>
      </c>
      <c r="V59" s="17">
        <v>2</v>
      </c>
      <c r="W59" s="17"/>
      <c r="X59" s="126">
        <f t="shared" ref="X59:X60" si="13">(IF(U59&gt;V59,3,IF(U59=V59,1,2)))</f>
        <v>2</v>
      </c>
      <c r="Y59" s="125">
        <f t="shared" ref="Y59:Y60" si="14">(IF(V59&gt;U59,3,IF(U59=V59,1,2)))</f>
        <v>3</v>
      </c>
    </row>
    <row r="60" spans="1:25" x14ac:dyDescent="0.3">
      <c r="A60" s="398"/>
      <c r="B60" s="396"/>
      <c r="C60" s="409">
        <v>44891</v>
      </c>
      <c r="D60" s="270" t="s">
        <v>5</v>
      </c>
      <c r="E60" s="270" t="s">
        <v>4</v>
      </c>
      <c r="F60" s="270">
        <v>2</v>
      </c>
      <c r="G60" s="271">
        <v>0</v>
      </c>
      <c r="H60" s="20"/>
      <c r="I60" s="20" t="s">
        <v>446</v>
      </c>
      <c r="J60" s="5"/>
      <c r="K60" s="108"/>
      <c r="S60" s="117" t="s">
        <v>313</v>
      </c>
      <c r="T60" s="340" t="s">
        <v>4</v>
      </c>
      <c r="U60" s="340">
        <v>1</v>
      </c>
      <c r="V60" s="340">
        <v>2</v>
      </c>
      <c r="W60" s="17"/>
      <c r="X60" s="126">
        <f t="shared" si="13"/>
        <v>2</v>
      </c>
      <c r="Y60" s="125">
        <f t="shared" si="14"/>
        <v>3</v>
      </c>
    </row>
    <row r="61" spans="1:25" ht="15" thickBot="1" x14ac:dyDescent="0.35">
      <c r="A61" s="398"/>
      <c r="B61" s="396"/>
      <c r="C61" s="58"/>
      <c r="D61" s="79"/>
      <c r="E61" s="79"/>
      <c r="F61" s="79" t="s">
        <v>170</v>
      </c>
      <c r="G61" s="81" t="s">
        <v>171</v>
      </c>
      <c r="H61" s="8"/>
      <c r="I61" s="8"/>
      <c r="J61" s="5"/>
      <c r="K61" s="108"/>
      <c r="S61" s="117"/>
      <c r="T61" s="340"/>
      <c r="U61" s="340"/>
      <c r="V61" s="340"/>
      <c r="W61" s="17"/>
      <c r="X61" s="126"/>
      <c r="Y61" s="125"/>
    </row>
    <row r="62" spans="1:25" x14ac:dyDescent="0.3">
      <c r="A62" s="398"/>
      <c r="B62" s="396"/>
      <c r="C62" s="411">
        <v>44895</v>
      </c>
      <c r="D62" s="49" t="s">
        <v>61</v>
      </c>
      <c r="E62" s="49" t="s">
        <v>5</v>
      </c>
      <c r="F62" s="49">
        <v>0</v>
      </c>
      <c r="G62" s="51">
        <v>2</v>
      </c>
      <c r="H62" s="5"/>
      <c r="I62" s="5" t="s">
        <v>444</v>
      </c>
      <c r="J62" s="5"/>
      <c r="K62" s="108"/>
      <c r="S62" s="117"/>
      <c r="T62" s="340"/>
      <c r="U62" s="340"/>
      <c r="V62" s="340"/>
      <c r="W62" s="17"/>
      <c r="X62" s="126"/>
      <c r="Y62" s="125"/>
    </row>
    <row r="63" spans="1:25" ht="15" thickBot="1" x14ac:dyDescent="0.35">
      <c r="A63" s="398"/>
      <c r="B63" s="396"/>
      <c r="C63" s="58"/>
      <c r="D63" s="79"/>
      <c r="E63" s="79"/>
      <c r="F63" s="79" t="s">
        <v>170</v>
      </c>
      <c r="G63" s="81" t="s">
        <v>171</v>
      </c>
      <c r="H63" s="8"/>
      <c r="I63" s="8"/>
      <c r="J63" s="5"/>
      <c r="K63" s="108"/>
      <c r="S63" s="117"/>
      <c r="T63" s="340"/>
      <c r="U63" s="340"/>
      <c r="V63" s="340"/>
      <c r="W63" s="17"/>
      <c r="X63" s="126"/>
      <c r="Y63" s="125"/>
    </row>
    <row r="64" spans="1:25" x14ac:dyDescent="0.3">
      <c r="A64" s="398"/>
      <c r="B64" s="396"/>
      <c r="C64" s="411">
        <v>44895</v>
      </c>
      <c r="D64" s="49" t="s">
        <v>313</v>
      </c>
      <c r="E64" s="49" t="s">
        <v>4</v>
      </c>
      <c r="F64" s="49">
        <v>1</v>
      </c>
      <c r="G64" s="51">
        <v>2</v>
      </c>
      <c r="H64" s="5"/>
      <c r="I64" s="5" t="s">
        <v>446</v>
      </c>
      <c r="J64" s="5"/>
      <c r="K64" s="108"/>
      <c r="S64" s="117"/>
      <c r="T64" s="287"/>
      <c r="U64" s="287"/>
      <c r="V64" s="287"/>
      <c r="W64" s="287"/>
      <c r="X64" s="126"/>
      <c r="Y64" s="125"/>
    </row>
    <row r="65" spans="1:25" x14ac:dyDescent="0.3">
      <c r="A65" s="156"/>
      <c r="B65" s="396"/>
      <c r="C65" s="396"/>
      <c r="D65" s="49"/>
      <c r="E65" s="49"/>
      <c r="F65" s="49" t="s">
        <v>170</v>
      </c>
      <c r="G65" s="51" t="s">
        <v>171</v>
      </c>
      <c r="H65" s="5"/>
      <c r="I65" s="5"/>
      <c r="J65" s="5"/>
      <c r="K65" s="108"/>
      <c r="S65" s="117"/>
      <c r="T65" s="287"/>
      <c r="U65" s="287"/>
      <c r="V65" s="287"/>
      <c r="W65" s="287"/>
      <c r="X65" s="126"/>
      <c r="Y65" s="125"/>
    </row>
    <row r="66" spans="1:25" x14ac:dyDescent="0.3">
      <c r="A66" s="156"/>
      <c r="B66" s="396"/>
      <c r="C66" s="396"/>
      <c r="D66" s="396"/>
      <c r="E66" s="396"/>
      <c r="F66" s="396"/>
      <c r="G66" s="5"/>
      <c r="H66" s="5"/>
      <c r="I66" s="5"/>
      <c r="J66" s="5"/>
      <c r="K66" s="108"/>
      <c r="S66" s="117"/>
      <c r="T66" s="287"/>
      <c r="U66" s="287"/>
      <c r="V66" s="287"/>
      <c r="W66" s="287"/>
      <c r="X66" s="126"/>
      <c r="Y66" s="125"/>
    </row>
    <row r="67" spans="1:25" ht="15" thickBot="1" x14ac:dyDescent="0.35">
      <c r="A67" s="398"/>
      <c r="B67" s="396" t="s">
        <v>298</v>
      </c>
      <c r="C67" s="396" t="s">
        <v>12</v>
      </c>
      <c r="D67" s="396" t="s">
        <v>13</v>
      </c>
      <c r="E67" s="396" t="s">
        <v>14</v>
      </c>
      <c r="F67" s="396" t="s">
        <v>15</v>
      </c>
      <c r="G67" s="5" t="s">
        <v>24</v>
      </c>
      <c r="H67" s="5" t="s">
        <v>25</v>
      </c>
      <c r="I67" s="5" t="s">
        <v>301</v>
      </c>
      <c r="J67" s="5"/>
      <c r="K67" s="108"/>
      <c r="S67" s="117"/>
      <c r="T67" s="287"/>
      <c r="U67" s="287"/>
      <c r="V67" s="287"/>
      <c r="W67" s="287"/>
      <c r="X67" s="126"/>
      <c r="Y67" s="125"/>
    </row>
    <row r="68" spans="1:25" x14ac:dyDescent="0.3">
      <c r="A68" s="398" t="s">
        <v>113</v>
      </c>
      <c r="B68" s="14" t="s">
        <v>5</v>
      </c>
      <c r="C68" s="402">
        <v>3</v>
      </c>
      <c r="D68" s="402">
        <v>2</v>
      </c>
      <c r="E68" s="402">
        <v>1</v>
      </c>
      <c r="F68" s="402">
        <v>0</v>
      </c>
      <c r="G68" s="15">
        <v>5</v>
      </c>
      <c r="H68" s="15">
        <v>3</v>
      </c>
      <c r="I68" s="15">
        <v>7</v>
      </c>
      <c r="J68" s="86"/>
      <c r="K68" s="108"/>
      <c r="S68" s="117"/>
      <c r="T68" s="287"/>
      <c r="U68" s="287"/>
      <c r="V68" s="287"/>
      <c r="W68" s="287"/>
      <c r="X68" s="126"/>
      <c r="Y68" s="125"/>
    </row>
    <row r="69" spans="1:25" x14ac:dyDescent="0.3">
      <c r="A69" s="398"/>
      <c r="B69" s="21" t="s">
        <v>313</v>
      </c>
      <c r="C69" s="17"/>
      <c r="D69" s="17"/>
      <c r="E69" s="17"/>
      <c r="F69" s="17"/>
      <c r="G69" s="18"/>
      <c r="H69" s="18"/>
      <c r="I69" s="18"/>
      <c r="J69" s="86"/>
      <c r="K69" s="108"/>
      <c r="S69" s="117"/>
      <c r="T69" s="287"/>
      <c r="U69" s="287"/>
      <c r="V69" s="287"/>
      <c r="W69" s="287"/>
      <c r="X69" s="126"/>
      <c r="Y69" s="125"/>
    </row>
    <row r="70" spans="1:25" x14ac:dyDescent="0.3">
      <c r="A70" s="398"/>
      <c r="B70" s="3" t="s">
        <v>4</v>
      </c>
      <c r="C70" s="396"/>
      <c r="D70" s="396"/>
      <c r="E70" s="396"/>
      <c r="F70" s="396"/>
      <c r="G70" s="5"/>
      <c r="H70" s="5"/>
      <c r="I70" s="5"/>
      <c r="J70" s="87"/>
      <c r="K70" s="108"/>
      <c r="S70" s="117"/>
      <c r="T70" s="287"/>
      <c r="U70" s="287"/>
      <c r="V70" s="287"/>
      <c r="W70" s="287"/>
      <c r="X70" s="126"/>
      <c r="Y70" s="125"/>
    </row>
    <row r="71" spans="1:25" ht="15" thickBot="1" x14ac:dyDescent="0.35">
      <c r="A71" s="398"/>
      <c r="B71" s="7" t="s">
        <v>61</v>
      </c>
      <c r="C71" s="401"/>
      <c r="D71" s="401"/>
      <c r="E71" s="401"/>
      <c r="F71" s="401"/>
      <c r="G71" s="8"/>
      <c r="H71" s="8"/>
      <c r="I71" s="8"/>
      <c r="J71" s="87"/>
      <c r="K71" s="108"/>
      <c r="S71" s="117"/>
      <c r="T71" s="287"/>
      <c r="U71" s="287"/>
      <c r="V71" s="287"/>
      <c r="W71" s="287"/>
      <c r="X71" s="126"/>
      <c r="Y71" s="125"/>
    </row>
    <row r="72" spans="1:25" ht="15" thickBot="1" x14ac:dyDescent="0.35">
      <c r="A72" s="398"/>
      <c r="B72" s="396"/>
      <c r="C72" s="396"/>
      <c r="D72" s="396"/>
      <c r="E72" s="396"/>
      <c r="F72" s="396"/>
      <c r="G72" s="5"/>
      <c r="H72" s="5"/>
      <c r="I72" s="5"/>
      <c r="J72" s="5"/>
      <c r="K72" s="193"/>
      <c r="S72" s="117"/>
      <c r="T72" s="287"/>
      <c r="U72" s="287"/>
      <c r="V72" s="287"/>
      <c r="W72" s="287"/>
      <c r="X72" s="126"/>
      <c r="Y72" s="125"/>
    </row>
    <row r="73" spans="1:25" ht="15" thickTop="1" x14ac:dyDescent="0.3">
      <c r="A73" s="106"/>
      <c r="B73" s="25"/>
      <c r="C73" s="25"/>
      <c r="D73" s="25"/>
      <c r="E73" s="25"/>
      <c r="F73" s="25"/>
      <c r="G73" s="26"/>
      <c r="H73" s="26"/>
      <c r="I73" s="26"/>
      <c r="J73" s="26"/>
      <c r="K73" s="108"/>
      <c r="S73" s="117"/>
      <c r="T73" s="287"/>
      <c r="U73" s="287"/>
      <c r="V73" s="287"/>
      <c r="W73" s="287"/>
      <c r="X73" s="126"/>
      <c r="Y73" s="125"/>
    </row>
    <row r="74" spans="1:25" ht="21" x14ac:dyDescent="0.4">
      <c r="A74" s="398"/>
      <c r="B74" s="396"/>
      <c r="C74" s="396"/>
      <c r="D74" s="396"/>
      <c r="E74" s="396"/>
      <c r="F74" s="395" t="s">
        <v>122</v>
      </c>
      <c r="G74" s="5"/>
      <c r="H74" s="5"/>
      <c r="I74" s="5"/>
      <c r="J74" s="5"/>
      <c r="K74" s="108"/>
      <c r="S74" s="117"/>
      <c r="T74" s="287"/>
      <c r="U74" s="287"/>
      <c r="V74" s="287"/>
      <c r="W74" s="287"/>
      <c r="X74" s="126"/>
      <c r="Y74" s="125"/>
    </row>
    <row r="75" spans="1:25" x14ac:dyDescent="0.3">
      <c r="A75" s="398"/>
      <c r="B75" s="396"/>
      <c r="C75" s="396"/>
      <c r="D75" s="396"/>
      <c r="E75" s="396"/>
      <c r="F75" s="28"/>
      <c r="G75" s="5"/>
      <c r="H75" s="5"/>
      <c r="I75" s="5"/>
      <c r="J75" s="5"/>
      <c r="K75" s="108"/>
      <c r="S75" s="117"/>
      <c r="T75" s="287"/>
      <c r="U75" s="287"/>
      <c r="V75" s="287"/>
      <c r="W75" s="287"/>
      <c r="X75" s="126"/>
      <c r="Y75" s="125"/>
    </row>
    <row r="76" spans="1:25" ht="15" thickBot="1" x14ac:dyDescent="0.35">
      <c r="A76" s="398"/>
      <c r="B76" s="396"/>
      <c r="C76" s="410">
        <v>44887</v>
      </c>
      <c r="D76" s="79" t="s">
        <v>258</v>
      </c>
      <c r="E76" s="79" t="s">
        <v>176</v>
      </c>
      <c r="F76" s="79">
        <v>0</v>
      </c>
      <c r="G76" s="81">
        <v>0</v>
      </c>
      <c r="H76" s="8"/>
      <c r="I76" s="8" t="s">
        <v>445</v>
      </c>
      <c r="J76" s="5"/>
      <c r="K76" s="108"/>
      <c r="S76" s="117" t="s">
        <v>258</v>
      </c>
      <c r="T76" s="287" t="s">
        <v>176</v>
      </c>
      <c r="U76" s="287">
        <v>0</v>
      </c>
      <c r="V76" s="287">
        <v>0</v>
      </c>
      <c r="W76" s="287"/>
      <c r="X76" s="126">
        <f t="shared" ref="X76:X80" si="15">(IF(U76&gt;V76,3,IF(U76=V76,1,2)))</f>
        <v>1</v>
      </c>
      <c r="Y76" s="125">
        <f t="shared" ref="Y76:Y80" si="16">(IF(V76&gt;U76,3,IF(U76=V76,1,2)))</f>
        <v>1</v>
      </c>
    </row>
    <row r="77" spans="1:25" x14ac:dyDescent="0.3">
      <c r="A77" s="398"/>
      <c r="B77" s="396"/>
      <c r="C77" s="411">
        <v>44887</v>
      </c>
      <c r="D77" s="49" t="s">
        <v>3</v>
      </c>
      <c r="E77" s="49" t="s">
        <v>152</v>
      </c>
      <c r="F77" s="49">
        <v>4</v>
      </c>
      <c r="G77" s="51">
        <v>1</v>
      </c>
      <c r="H77" s="5"/>
      <c r="I77" s="5" t="s">
        <v>447</v>
      </c>
      <c r="J77" s="5"/>
      <c r="K77" s="108"/>
      <c r="S77" s="117" t="s">
        <v>3</v>
      </c>
      <c r="T77" s="287" t="s">
        <v>152</v>
      </c>
      <c r="U77" s="287">
        <v>4</v>
      </c>
      <c r="V77" s="287">
        <v>1</v>
      </c>
      <c r="W77" s="287"/>
      <c r="X77" s="126">
        <f t="shared" si="15"/>
        <v>3</v>
      </c>
      <c r="Y77" s="125">
        <f t="shared" si="16"/>
        <v>2</v>
      </c>
    </row>
    <row r="78" spans="1:25" ht="15" thickBot="1" x14ac:dyDescent="0.35">
      <c r="A78" s="398"/>
      <c r="B78" s="396"/>
      <c r="C78" s="58"/>
      <c r="D78" s="79"/>
      <c r="E78" s="79"/>
      <c r="F78" s="79" t="s">
        <v>215</v>
      </c>
      <c r="G78" s="81" t="s">
        <v>183</v>
      </c>
      <c r="H78" s="8"/>
      <c r="I78" s="8"/>
      <c r="J78" s="5"/>
      <c r="K78" s="108"/>
      <c r="S78" s="117" t="s">
        <v>176</v>
      </c>
      <c r="T78" s="341" t="s">
        <v>152</v>
      </c>
      <c r="U78" s="341">
        <v>0</v>
      </c>
      <c r="V78" s="341">
        <v>1</v>
      </c>
      <c r="W78" s="287"/>
      <c r="X78" s="126">
        <f t="shared" si="15"/>
        <v>2</v>
      </c>
      <c r="Y78" s="125">
        <f t="shared" si="16"/>
        <v>3</v>
      </c>
    </row>
    <row r="79" spans="1:25" x14ac:dyDescent="0.3">
      <c r="A79" s="398"/>
      <c r="B79" s="396"/>
      <c r="C79" s="411">
        <v>44891</v>
      </c>
      <c r="D79" s="49" t="s">
        <v>176</v>
      </c>
      <c r="E79" s="49" t="s">
        <v>152</v>
      </c>
      <c r="F79" s="49">
        <v>0</v>
      </c>
      <c r="G79" s="51">
        <v>1</v>
      </c>
      <c r="H79" s="5"/>
      <c r="I79" s="5" t="s">
        <v>447</v>
      </c>
      <c r="J79" s="5"/>
      <c r="K79" s="108"/>
      <c r="S79" s="117" t="s">
        <v>3</v>
      </c>
      <c r="T79" s="341" t="s">
        <v>258</v>
      </c>
      <c r="U79" s="341">
        <v>2</v>
      </c>
      <c r="V79" s="341">
        <v>1</v>
      </c>
      <c r="W79" s="287"/>
      <c r="X79" s="126">
        <f t="shared" si="15"/>
        <v>3</v>
      </c>
      <c r="Y79" s="125">
        <f t="shared" si="16"/>
        <v>2</v>
      </c>
    </row>
    <row r="80" spans="1:25" ht="15" thickBot="1" x14ac:dyDescent="0.35">
      <c r="A80" s="398"/>
      <c r="B80" s="396"/>
      <c r="C80" s="58"/>
      <c r="D80" s="79"/>
      <c r="E80" s="79"/>
      <c r="F80" s="79" t="s">
        <v>170</v>
      </c>
      <c r="G80" s="81" t="s">
        <v>183</v>
      </c>
      <c r="H80" s="8"/>
      <c r="I80" s="8"/>
      <c r="J80" s="5"/>
      <c r="K80" s="108"/>
      <c r="S80" s="117" t="s">
        <v>176</v>
      </c>
      <c r="T80" s="341" t="s">
        <v>3</v>
      </c>
      <c r="U80" s="341">
        <v>1</v>
      </c>
      <c r="V80" s="341">
        <v>0</v>
      </c>
      <c r="W80" s="287"/>
      <c r="X80" s="126">
        <f t="shared" si="15"/>
        <v>3</v>
      </c>
      <c r="Y80" s="125">
        <f t="shared" si="16"/>
        <v>2</v>
      </c>
    </row>
    <row r="81" spans="1:25" x14ac:dyDescent="0.3">
      <c r="A81" s="398"/>
      <c r="B81" s="396"/>
      <c r="C81" s="411">
        <v>44891</v>
      </c>
      <c r="D81" s="49" t="s">
        <v>3</v>
      </c>
      <c r="E81" s="49" t="s">
        <v>258</v>
      </c>
      <c r="F81" s="49">
        <v>2</v>
      </c>
      <c r="G81" s="51">
        <v>1</v>
      </c>
      <c r="H81" s="5"/>
      <c r="I81" s="5" t="s">
        <v>444</v>
      </c>
      <c r="J81" s="5"/>
      <c r="K81" s="108"/>
      <c r="S81" s="117" t="s">
        <v>152</v>
      </c>
      <c r="T81" s="341" t="s">
        <v>258</v>
      </c>
      <c r="U81" s="341">
        <v>1</v>
      </c>
      <c r="V81" s="341">
        <v>0</v>
      </c>
      <c r="W81" s="287"/>
      <c r="X81" s="126">
        <f t="shared" ref="X81" si="17">(IF(U81&gt;V81,3,IF(U81=V81,1,2)))</f>
        <v>3</v>
      </c>
      <c r="Y81" s="125">
        <f t="shared" ref="Y81" si="18">(IF(V81&gt;U81,3,IF(U81=V81,1,2)))</f>
        <v>2</v>
      </c>
    </row>
    <row r="82" spans="1:25" ht="15" thickBot="1" x14ac:dyDescent="0.35">
      <c r="A82" s="398"/>
      <c r="B82" s="396"/>
      <c r="C82" s="58"/>
      <c r="D82" s="79"/>
      <c r="E82" s="79"/>
      <c r="F82" s="79" t="s">
        <v>170</v>
      </c>
      <c r="G82" s="81" t="s">
        <v>171</v>
      </c>
      <c r="H82" s="8"/>
      <c r="I82" s="8"/>
      <c r="J82" s="5"/>
      <c r="K82" s="108"/>
      <c r="S82" s="117"/>
      <c r="T82" s="341"/>
      <c r="U82" s="341"/>
      <c r="V82" s="341"/>
      <c r="W82" s="287"/>
      <c r="X82" s="126"/>
      <c r="Y82" s="125"/>
    </row>
    <row r="83" spans="1:25" x14ac:dyDescent="0.3">
      <c r="A83" s="398"/>
      <c r="B83" s="396"/>
      <c r="C83" s="411">
        <v>44895</v>
      </c>
      <c r="D83" s="49" t="s">
        <v>176</v>
      </c>
      <c r="E83" s="49" t="s">
        <v>3</v>
      </c>
      <c r="F83" s="49">
        <v>1</v>
      </c>
      <c r="G83" s="51">
        <v>0</v>
      </c>
      <c r="H83" s="5"/>
      <c r="I83" s="5" t="s">
        <v>445</v>
      </c>
      <c r="J83" s="5"/>
      <c r="K83" s="108"/>
      <c r="S83" s="117"/>
      <c r="T83" s="341"/>
      <c r="U83" s="341"/>
      <c r="V83" s="341"/>
      <c r="W83" s="287"/>
      <c r="X83" s="126"/>
      <c r="Y83" s="125"/>
    </row>
    <row r="84" spans="1:25" ht="15" thickBot="1" x14ac:dyDescent="0.35">
      <c r="A84" s="398"/>
      <c r="B84" s="396"/>
      <c r="C84" s="58"/>
      <c r="D84" s="79"/>
      <c r="E84" s="79"/>
      <c r="F84" s="79" t="s">
        <v>170</v>
      </c>
      <c r="G84" s="81" t="s">
        <v>171</v>
      </c>
      <c r="H84" s="8"/>
      <c r="I84" s="8"/>
      <c r="J84" s="5"/>
      <c r="K84" s="108"/>
      <c r="S84" s="117"/>
      <c r="T84" s="341"/>
      <c r="U84" s="341"/>
      <c r="V84" s="341"/>
      <c r="W84" s="287"/>
      <c r="X84" s="126"/>
      <c r="Y84" s="125"/>
    </row>
    <row r="85" spans="1:25" x14ac:dyDescent="0.3">
      <c r="A85" s="398"/>
      <c r="B85" s="17"/>
      <c r="C85" s="411">
        <v>44895</v>
      </c>
      <c r="D85" s="43" t="s">
        <v>152</v>
      </c>
      <c r="E85" s="43" t="s">
        <v>258</v>
      </c>
      <c r="F85" s="49">
        <v>1</v>
      </c>
      <c r="G85" s="51">
        <v>0</v>
      </c>
      <c r="H85" s="5"/>
      <c r="I85" s="5" t="s">
        <v>447</v>
      </c>
      <c r="J85" s="5"/>
      <c r="K85" s="108"/>
      <c r="S85" s="117"/>
      <c r="T85" s="287"/>
      <c r="U85" s="287"/>
      <c r="V85" s="287"/>
      <c r="W85" s="287"/>
      <c r="X85" s="287"/>
      <c r="Y85" s="118"/>
    </row>
    <row r="86" spans="1:25" x14ac:dyDescent="0.3">
      <c r="A86" s="156"/>
      <c r="B86" s="17"/>
      <c r="C86" s="17"/>
      <c r="D86" s="43"/>
      <c r="E86" s="43"/>
      <c r="F86" s="49" t="s">
        <v>170</v>
      </c>
      <c r="G86" s="51" t="s">
        <v>171</v>
      </c>
      <c r="H86" s="5"/>
      <c r="I86" s="5"/>
      <c r="J86" s="5"/>
      <c r="K86" s="108"/>
      <c r="S86" s="117"/>
      <c r="T86" s="287"/>
      <c r="U86" s="287"/>
      <c r="V86" s="287"/>
      <c r="W86" s="287"/>
      <c r="X86" s="126"/>
      <c r="Y86" s="125"/>
    </row>
    <row r="87" spans="1:25" x14ac:dyDescent="0.3">
      <c r="A87" s="156"/>
      <c r="B87" s="17"/>
      <c r="C87" s="17"/>
      <c r="D87" s="17"/>
      <c r="E87" s="17"/>
      <c r="F87" s="396"/>
      <c r="G87" s="5"/>
      <c r="H87" s="5"/>
      <c r="I87" s="5"/>
      <c r="J87" s="5"/>
      <c r="K87" s="108"/>
      <c r="S87" s="117"/>
      <c r="T87" s="287"/>
      <c r="U87" s="287"/>
      <c r="V87" s="287"/>
      <c r="W87" s="287"/>
      <c r="X87" s="126"/>
      <c r="Y87" s="125"/>
    </row>
    <row r="88" spans="1:25" ht="15" thickBot="1" x14ac:dyDescent="0.35">
      <c r="A88" s="398"/>
      <c r="B88" s="396" t="s">
        <v>298</v>
      </c>
      <c r="C88" s="396" t="s">
        <v>12</v>
      </c>
      <c r="D88" s="396" t="s">
        <v>13</v>
      </c>
      <c r="E88" s="396" t="s">
        <v>14</v>
      </c>
      <c r="F88" s="396" t="s">
        <v>15</v>
      </c>
      <c r="G88" s="5" t="s">
        <v>24</v>
      </c>
      <c r="H88" s="5" t="s">
        <v>25</v>
      </c>
      <c r="I88" s="5" t="s">
        <v>301</v>
      </c>
      <c r="J88" s="5"/>
      <c r="K88" s="108"/>
      <c r="S88" s="117"/>
      <c r="T88" s="287"/>
      <c r="U88" s="287"/>
      <c r="V88" s="287"/>
      <c r="W88" s="287"/>
      <c r="X88" s="126"/>
      <c r="Y88" s="125"/>
    </row>
    <row r="89" spans="1:25" x14ac:dyDescent="0.3">
      <c r="A89" s="398" t="s">
        <v>113</v>
      </c>
      <c r="B89" s="14" t="s">
        <v>258</v>
      </c>
      <c r="C89" s="402">
        <v>3</v>
      </c>
      <c r="D89" s="402">
        <v>2</v>
      </c>
      <c r="E89" s="402">
        <v>0</v>
      </c>
      <c r="F89" s="402">
        <v>1</v>
      </c>
      <c r="G89" s="15">
        <v>6</v>
      </c>
      <c r="H89" s="15">
        <v>2</v>
      </c>
      <c r="I89" s="15">
        <v>6</v>
      </c>
      <c r="J89" s="86"/>
      <c r="K89" s="108"/>
      <c r="S89" s="117"/>
      <c r="T89" s="287"/>
      <c r="U89" s="287"/>
      <c r="V89" s="287"/>
      <c r="W89" s="287"/>
      <c r="X89" s="126"/>
      <c r="Y89" s="125"/>
    </row>
    <row r="90" spans="1:25" x14ac:dyDescent="0.3">
      <c r="A90" s="398"/>
      <c r="B90" s="21" t="s">
        <v>176</v>
      </c>
      <c r="C90" s="17"/>
      <c r="D90" s="17"/>
      <c r="E90" s="17"/>
      <c r="F90" s="17"/>
      <c r="G90" s="18"/>
      <c r="H90" s="18"/>
      <c r="I90" s="18"/>
      <c r="J90" s="86"/>
      <c r="K90" s="108"/>
      <c r="S90" s="117"/>
      <c r="T90" s="287"/>
      <c r="U90" s="287"/>
      <c r="V90" s="287"/>
      <c r="W90" s="287"/>
      <c r="X90" s="287"/>
      <c r="Y90" s="118"/>
    </row>
    <row r="91" spans="1:25" x14ac:dyDescent="0.3">
      <c r="A91" s="398"/>
      <c r="B91" s="3" t="s">
        <v>3</v>
      </c>
      <c r="C91" s="396"/>
      <c r="D91" s="396"/>
      <c r="E91" s="396"/>
      <c r="F91" s="396"/>
      <c r="G91" s="5"/>
      <c r="H91" s="5"/>
      <c r="I91" s="5"/>
      <c r="J91" s="87"/>
      <c r="K91" s="108"/>
      <c r="S91" s="117"/>
      <c r="T91" s="287"/>
      <c r="U91" s="287"/>
      <c r="V91" s="287"/>
      <c r="W91" s="287"/>
      <c r="X91" s="287"/>
      <c r="Y91" s="118"/>
    </row>
    <row r="92" spans="1:25" ht="15" thickBot="1" x14ac:dyDescent="0.35">
      <c r="A92" s="398"/>
      <c r="B92" s="7" t="s">
        <v>152</v>
      </c>
      <c r="C92" s="401"/>
      <c r="D92" s="401"/>
      <c r="E92" s="401"/>
      <c r="F92" s="401"/>
      <c r="G92" s="8"/>
      <c r="H92" s="8"/>
      <c r="I92" s="8"/>
      <c r="J92" s="87"/>
      <c r="K92" s="108"/>
      <c r="S92" s="117"/>
      <c r="T92" s="287"/>
      <c r="U92" s="287"/>
      <c r="V92" s="287"/>
      <c r="W92" s="287"/>
      <c r="X92" s="287"/>
      <c r="Y92" s="118"/>
    </row>
    <row r="93" spans="1:25" ht="15" thickBot="1" x14ac:dyDescent="0.35">
      <c r="A93" s="398"/>
      <c r="B93" s="396"/>
      <c r="C93" s="396"/>
      <c r="D93" s="396"/>
      <c r="E93" s="396"/>
      <c r="F93" s="396"/>
      <c r="G93" s="5"/>
      <c r="H93" s="5"/>
      <c r="I93" s="5"/>
      <c r="J93" s="5"/>
      <c r="K93" s="193"/>
      <c r="S93" s="117"/>
      <c r="T93" s="287"/>
      <c r="U93" s="287"/>
      <c r="V93" s="287"/>
      <c r="W93" s="287"/>
      <c r="X93" s="126"/>
      <c r="Y93" s="125"/>
    </row>
    <row r="94" spans="1:25" ht="15" thickTop="1" x14ac:dyDescent="0.3">
      <c r="A94" s="106"/>
      <c r="B94" s="25"/>
      <c r="C94" s="25"/>
      <c r="D94" s="25"/>
      <c r="E94" s="25"/>
      <c r="F94" s="25"/>
      <c r="G94" s="26"/>
      <c r="H94" s="26"/>
      <c r="I94" s="26"/>
      <c r="J94" s="26"/>
      <c r="K94" s="108"/>
      <c r="S94" s="117"/>
      <c r="T94" s="287"/>
      <c r="U94" s="287"/>
      <c r="V94" s="287"/>
      <c r="W94" s="287"/>
      <c r="X94" s="126"/>
      <c r="Y94" s="125"/>
    </row>
    <row r="95" spans="1:25" ht="21" x14ac:dyDescent="0.4">
      <c r="A95" s="398"/>
      <c r="B95" s="396"/>
      <c r="C95" s="396"/>
      <c r="D95" s="396"/>
      <c r="E95" s="396"/>
      <c r="F95" s="395" t="s">
        <v>246</v>
      </c>
      <c r="G95" s="5"/>
      <c r="H95" s="5"/>
      <c r="I95" s="5"/>
      <c r="J95" s="5"/>
      <c r="K95" s="108"/>
      <c r="S95" s="117"/>
      <c r="T95" s="287"/>
      <c r="U95" s="287"/>
      <c r="V95" s="287"/>
      <c r="W95" s="287"/>
      <c r="X95" s="126"/>
      <c r="Y95" s="125"/>
    </row>
    <row r="96" spans="1:25" x14ac:dyDescent="0.3">
      <c r="A96" s="398"/>
      <c r="B96" s="396"/>
      <c r="C96" s="396"/>
      <c r="D96" s="396"/>
      <c r="E96" s="396"/>
      <c r="F96" s="28"/>
      <c r="G96" s="5"/>
      <c r="H96" s="5"/>
      <c r="I96" s="5"/>
      <c r="J96" s="5"/>
      <c r="K96" s="108"/>
      <c r="S96" s="117"/>
      <c r="T96" s="287"/>
      <c r="U96" s="287"/>
      <c r="V96" s="287"/>
      <c r="W96" s="287"/>
      <c r="X96" s="126"/>
      <c r="Y96" s="125"/>
    </row>
    <row r="97" spans="1:25" x14ac:dyDescent="0.3">
      <c r="A97" s="398"/>
      <c r="B97" s="396"/>
      <c r="C97" s="411">
        <v>44888</v>
      </c>
      <c r="D97" s="49" t="s">
        <v>88</v>
      </c>
      <c r="E97" s="49" t="s">
        <v>351</v>
      </c>
      <c r="F97" s="49">
        <v>1</v>
      </c>
      <c r="G97" s="51">
        <v>2</v>
      </c>
      <c r="H97" s="5"/>
      <c r="I97" s="5" t="s">
        <v>445</v>
      </c>
      <c r="J97" s="5"/>
      <c r="K97" s="108"/>
      <c r="S97" s="117" t="s">
        <v>88</v>
      </c>
      <c r="T97" s="287" t="s">
        <v>351</v>
      </c>
      <c r="U97" s="287">
        <v>1</v>
      </c>
      <c r="V97" s="287">
        <v>2</v>
      </c>
      <c r="W97" s="287"/>
      <c r="X97" s="126">
        <f t="shared" ref="X97:X100" si="19">(IF(U97&gt;V97,3,IF(U97=V97,1,2)))</f>
        <v>2</v>
      </c>
      <c r="Y97" s="125">
        <f t="shared" ref="Y97:Y100" si="20">(IF(V97&gt;U97,3,IF(U97=V97,1,2)))</f>
        <v>3</v>
      </c>
    </row>
    <row r="98" spans="1:25" ht="15" thickBot="1" x14ac:dyDescent="0.35">
      <c r="A98" s="398"/>
      <c r="B98" s="396"/>
      <c r="C98" s="58"/>
      <c r="D98" s="79"/>
      <c r="E98" s="79"/>
      <c r="F98" s="79" t="s">
        <v>172</v>
      </c>
      <c r="G98" s="81" t="s">
        <v>171</v>
      </c>
      <c r="H98" s="8"/>
      <c r="I98" s="8"/>
      <c r="J98" s="5"/>
      <c r="K98" s="108"/>
      <c r="S98" s="117" t="s">
        <v>35</v>
      </c>
      <c r="T98" s="341" t="s">
        <v>286</v>
      </c>
      <c r="U98" s="341">
        <v>7</v>
      </c>
      <c r="V98" s="341">
        <v>0</v>
      </c>
      <c r="W98" s="287"/>
      <c r="X98" s="126">
        <f t="shared" si="19"/>
        <v>3</v>
      </c>
      <c r="Y98" s="125">
        <f t="shared" si="20"/>
        <v>2</v>
      </c>
    </row>
    <row r="99" spans="1:25" x14ac:dyDescent="0.3">
      <c r="A99" s="398"/>
      <c r="B99" s="396"/>
      <c r="C99" s="411">
        <v>44888</v>
      </c>
      <c r="D99" s="49" t="s">
        <v>35</v>
      </c>
      <c r="E99" s="49" t="s">
        <v>286</v>
      </c>
      <c r="F99" s="49">
        <v>7</v>
      </c>
      <c r="G99" s="51">
        <v>0</v>
      </c>
      <c r="H99" s="5"/>
      <c r="I99" s="5" t="s">
        <v>444</v>
      </c>
      <c r="J99" s="5"/>
      <c r="K99" s="108"/>
      <c r="S99" s="117" t="s">
        <v>351</v>
      </c>
      <c r="T99" s="341" t="s">
        <v>286</v>
      </c>
      <c r="U99" s="341">
        <v>0</v>
      </c>
      <c r="V99" s="341">
        <v>1</v>
      </c>
      <c r="W99" s="287"/>
      <c r="X99" s="126">
        <f t="shared" si="19"/>
        <v>2</v>
      </c>
      <c r="Y99" s="125">
        <f t="shared" si="20"/>
        <v>3</v>
      </c>
    </row>
    <row r="100" spans="1:25" s="13" customFormat="1" ht="15" thickBot="1" x14ac:dyDescent="0.35">
      <c r="A100" s="398"/>
      <c r="B100" s="396"/>
      <c r="C100" s="58"/>
      <c r="D100" s="79"/>
      <c r="E100" s="79"/>
      <c r="F100" s="79" t="s">
        <v>264</v>
      </c>
      <c r="G100" s="81" t="s">
        <v>171</v>
      </c>
      <c r="H100" s="8"/>
      <c r="I100" s="8"/>
      <c r="J100" s="5"/>
      <c r="K100" s="108"/>
      <c r="S100" s="117" t="s">
        <v>35</v>
      </c>
      <c r="T100" s="341" t="s">
        <v>88</v>
      </c>
      <c r="U100" s="341">
        <v>1</v>
      </c>
      <c r="V100" s="341">
        <v>1</v>
      </c>
      <c r="W100" s="287"/>
      <c r="X100" s="126">
        <f t="shared" si="19"/>
        <v>1</v>
      </c>
      <c r="Y100" s="125">
        <f t="shared" si="20"/>
        <v>1</v>
      </c>
    </row>
    <row r="101" spans="1:25" s="13" customFormat="1" x14ac:dyDescent="0.3">
      <c r="A101" s="398"/>
      <c r="B101" s="396"/>
      <c r="C101" s="411">
        <v>44892</v>
      </c>
      <c r="D101" s="49" t="s">
        <v>351</v>
      </c>
      <c r="E101" s="49" t="s">
        <v>286</v>
      </c>
      <c r="F101" s="49">
        <v>0</v>
      </c>
      <c r="G101" s="51">
        <v>1</v>
      </c>
      <c r="H101" s="5"/>
      <c r="I101" s="5" t="s">
        <v>445</v>
      </c>
      <c r="J101" s="5"/>
      <c r="K101" s="108"/>
      <c r="S101" s="117" t="s">
        <v>351</v>
      </c>
      <c r="T101" s="341" t="s">
        <v>35</v>
      </c>
      <c r="U101" s="341">
        <v>2</v>
      </c>
      <c r="V101" s="341">
        <v>1</v>
      </c>
      <c r="W101" s="287"/>
      <c r="X101" s="126">
        <f t="shared" ref="X101:X102" si="21">(IF(U101&gt;V101,3,IF(U101=V101,1,2)))</f>
        <v>3</v>
      </c>
      <c r="Y101" s="125">
        <f t="shared" ref="Y101:Y102" si="22">(IF(V101&gt;U101,3,IF(U101=V101,1,2)))</f>
        <v>2</v>
      </c>
    </row>
    <row r="102" spans="1:25" s="13" customFormat="1" ht="15" thickBot="1" x14ac:dyDescent="0.35">
      <c r="A102" s="398"/>
      <c r="B102" s="396"/>
      <c r="C102" s="58"/>
      <c r="D102" s="79"/>
      <c r="E102" s="79"/>
      <c r="F102" s="79" t="s">
        <v>170</v>
      </c>
      <c r="G102" s="81" t="s">
        <v>171</v>
      </c>
      <c r="H102" s="8"/>
      <c r="I102" s="8"/>
      <c r="J102" s="5"/>
      <c r="K102" s="108"/>
      <c r="S102" s="117" t="s">
        <v>286</v>
      </c>
      <c r="T102" s="341" t="s">
        <v>88</v>
      </c>
      <c r="U102" s="341">
        <v>2</v>
      </c>
      <c r="V102" s="341">
        <v>4</v>
      </c>
      <c r="W102" s="287"/>
      <c r="X102" s="126">
        <f t="shared" si="21"/>
        <v>2</v>
      </c>
      <c r="Y102" s="125">
        <f t="shared" si="22"/>
        <v>3</v>
      </c>
    </row>
    <row r="103" spans="1:25" x14ac:dyDescent="0.3">
      <c r="A103" s="398"/>
      <c r="B103" s="396"/>
      <c r="C103" s="411">
        <v>44892</v>
      </c>
      <c r="D103" s="49" t="s">
        <v>35</v>
      </c>
      <c r="E103" s="49" t="s">
        <v>88</v>
      </c>
      <c r="F103" s="49">
        <v>1</v>
      </c>
      <c r="G103" s="51">
        <v>1</v>
      </c>
      <c r="H103" s="5"/>
      <c r="I103" s="5" t="s">
        <v>443</v>
      </c>
      <c r="J103" s="5"/>
      <c r="K103" s="108"/>
      <c r="S103" s="117"/>
      <c r="T103" s="341"/>
      <c r="U103" s="341"/>
      <c r="V103" s="341"/>
      <c r="W103" s="287"/>
      <c r="X103" s="126"/>
      <c r="Y103" s="125"/>
    </row>
    <row r="104" spans="1:25" ht="15" thickBot="1" x14ac:dyDescent="0.35">
      <c r="A104" s="398"/>
      <c r="B104" s="396"/>
      <c r="C104" s="58"/>
      <c r="D104" s="79"/>
      <c r="E104" s="79"/>
      <c r="F104" s="79" t="s">
        <v>170</v>
      </c>
      <c r="G104" s="81" t="s">
        <v>171</v>
      </c>
      <c r="H104" s="8"/>
      <c r="I104" s="8"/>
      <c r="J104" s="5"/>
      <c r="K104" s="108"/>
      <c r="S104" s="117"/>
      <c r="T104" s="341"/>
      <c r="U104" s="341"/>
      <c r="V104" s="341"/>
      <c r="W104" s="287"/>
      <c r="X104" s="126"/>
      <c r="Y104" s="125"/>
    </row>
    <row r="105" spans="1:25" x14ac:dyDescent="0.3">
      <c r="A105" s="398"/>
      <c r="B105" s="396"/>
      <c r="C105" s="409">
        <v>44896</v>
      </c>
      <c r="D105" s="270" t="s">
        <v>351</v>
      </c>
      <c r="E105" s="270" t="s">
        <v>35</v>
      </c>
      <c r="F105" s="270">
        <v>2</v>
      </c>
      <c r="G105" s="271">
        <v>1</v>
      </c>
      <c r="H105" s="20"/>
      <c r="I105" s="20" t="s">
        <v>445</v>
      </c>
      <c r="J105" s="5"/>
      <c r="K105" s="108"/>
      <c r="S105" s="117"/>
      <c r="T105" s="341"/>
      <c r="U105" s="341"/>
      <c r="V105" s="341"/>
      <c r="W105" s="287"/>
      <c r="X105" s="126"/>
      <c r="Y105" s="125"/>
    </row>
    <row r="106" spans="1:25" ht="15" thickBot="1" x14ac:dyDescent="0.35">
      <c r="A106" s="398"/>
      <c r="B106" s="396"/>
      <c r="C106" s="58"/>
      <c r="D106" s="79"/>
      <c r="E106" s="79"/>
      <c r="F106" s="79" t="s">
        <v>170</v>
      </c>
      <c r="G106" s="81" t="s">
        <v>183</v>
      </c>
      <c r="H106" s="8"/>
      <c r="I106" s="8"/>
      <c r="J106" s="5"/>
      <c r="K106" s="108"/>
      <c r="S106" s="117"/>
      <c r="T106" s="341"/>
      <c r="U106" s="341"/>
      <c r="V106" s="341"/>
      <c r="W106" s="341"/>
      <c r="X106" s="126"/>
      <c r="Y106" s="125"/>
    </row>
    <row r="107" spans="1:25" x14ac:dyDescent="0.3">
      <c r="A107" s="398"/>
      <c r="B107" s="17"/>
      <c r="C107" s="411">
        <v>44896</v>
      </c>
      <c r="D107" s="43" t="s">
        <v>286</v>
      </c>
      <c r="E107" s="43" t="s">
        <v>88</v>
      </c>
      <c r="F107" s="49">
        <v>2</v>
      </c>
      <c r="G107" s="51">
        <v>4</v>
      </c>
      <c r="H107" s="5"/>
      <c r="I107" s="5" t="s">
        <v>443</v>
      </c>
      <c r="J107" s="5"/>
      <c r="K107" s="108"/>
      <c r="S107" s="117"/>
      <c r="T107" s="287"/>
      <c r="U107" s="287"/>
      <c r="V107" s="287"/>
      <c r="W107" s="287"/>
      <c r="X107" s="126"/>
      <c r="Y107" s="125"/>
    </row>
    <row r="108" spans="1:25" x14ac:dyDescent="0.3">
      <c r="A108" s="156"/>
      <c r="B108" s="17"/>
      <c r="C108" s="17"/>
      <c r="D108" s="43"/>
      <c r="E108" s="43"/>
      <c r="F108" s="49" t="s">
        <v>170</v>
      </c>
      <c r="G108" s="51" t="s">
        <v>183</v>
      </c>
      <c r="H108" s="5"/>
      <c r="I108" s="5"/>
      <c r="J108" s="5"/>
      <c r="K108" s="108"/>
      <c r="S108" s="117"/>
      <c r="T108" s="287"/>
      <c r="U108" s="287"/>
      <c r="V108" s="287"/>
      <c r="W108" s="287"/>
      <c r="X108" s="126"/>
      <c r="Y108" s="125"/>
    </row>
    <row r="109" spans="1:25" x14ac:dyDescent="0.3">
      <c r="A109" s="156"/>
      <c r="B109" s="17"/>
      <c r="C109" s="17"/>
      <c r="D109" s="17"/>
      <c r="E109" s="17"/>
      <c r="F109" s="396"/>
      <c r="G109" s="5"/>
      <c r="H109" s="5"/>
      <c r="I109" s="5"/>
      <c r="J109" s="5"/>
      <c r="K109" s="108"/>
      <c r="S109" s="117"/>
      <c r="T109" s="287"/>
      <c r="U109" s="287"/>
      <c r="V109" s="287"/>
      <c r="W109" s="287"/>
      <c r="X109" s="287"/>
      <c r="Y109" s="118"/>
    </row>
    <row r="110" spans="1:25" ht="15" thickBot="1" x14ac:dyDescent="0.35">
      <c r="A110" s="398"/>
      <c r="B110" s="396" t="s">
        <v>298</v>
      </c>
      <c r="C110" s="396" t="s">
        <v>12</v>
      </c>
      <c r="D110" s="396" t="s">
        <v>13</v>
      </c>
      <c r="E110" s="396" t="s">
        <v>14</v>
      </c>
      <c r="F110" s="396" t="s">
        <v>15</v>
      </c>
      <c r="G110" s="5" t="s">
        <v>24</v>
      </c>
      <c r="H110" s="5" t="s">
        <v>25</v>
      </c>
      <c r="I110" s="5" t="s">
        <v>301</v>
      </c>
      <c r="J110" s="5"/>
      <c r="K110" s="108"/>
      <c r="S110" s="117"/>
      <c r="T110" s="287"/>
      <c r="U110" s="287"/>
      <c r="V110" s="287"/>
      <c r="W110" s="287"/>
      <c r="X110" s="287"/>
      <c r="Y110" s="118"/>
    </row>
    <row r="111" spans="1:25" x14ac:dyDescent="0.3">
      <c r="A111" s="398" t="s">
        <v>113</v>
      </c>
      <c r="B111" s="14" t="s">
        <v>88</v>
      </c>
      <c r="C111" s="402">
        <v>3</v>
      </c>
      <c r="D111" s="402">
        <v>1</v>
      </c>
      <c r="E111" s="402">
        <v>1</v>
      </c>
      <c r="F111" s="402">
        <v>1</v>
      </c>
      <c r="G111" s="15">
        <v>3</v>
      </c>
      <c r="H111" s="15">
        <v>3</v>
      </c>
      <c r="I111" s="15">
        <v>4</v>
      </c>
      <c r="J111" s="86"/>
      <c r="K111" s="108"/>
      <c r="S111" s="117"/>
      <c r="T111" s="287"/>
      <c r="U111" s="287"/>
      <c r="V111" s="287"/>
      <c r="W111" s="287"/>
      <c r="X111" s="126"/>
      <c r="Y111" s="125"/>
    </row>
    <row r="112" spans="1:25" s="13" customFormat="1" x14ac:dyDescent="0.3">
      <c r="A112" s="398"/>
      <c r="B112" s="21" t="s">
        <v>351</v>
      </c>
      <c r="C112" s="17"/>
      <c r="D112" s="17"/>
      <c r="E112" s="17"/>
      <c r="F112" s="17"/>
      <c r="G112" s="18"/>
      <c r="H112" s="18"/>
      <c r="I112" s="18"/>
      <c r="J112" s="86"/>
      <c r="K112" s="108"/>
      <c r="S112" s="117"/>
      <c r="T112" s="287"/>
      <c r="U112" s="287"/>
      <c r="V112" s="287"/>
      <c r="W112" s="287"/>
      <c r="X112" s="126"/>
      <c r="Y112" s="125"/>
    </row>
    <row r="113" spans="1:25" s="13" customFormat="1" x14ac:dyDescent="0.3">
      <c r="A113" s="398"/>
      <c r="B113" s="3" t="s">
        <v>35</v>
      </c>
      <c r="C113" s="396"/>
      <c r="D113" s="396"/>
      <c r="E113" s="396"/>
      <c r="F113" s="396"/>
      <c r="G113" s="5"/>
      <c r="H113" s="5"/>
      <c r="I113" s="5"/>
      <c r="J113" s="87"/>
      <c r="K113" s="108"/>
      <c r="S113" s="117"/>
      <c r="T113" s="287"/>
      <c r="U113" s="287"/>
      <c r="V113" s="287"/>
      <c r="W113" s="287"/>
      <c r="X113" s="126"/>
      <c r="Y113" s="125"/>
    </row>
    <row r="114" spans="1:25" s="13" customFormat="1" ht="15" thickBot="1" x14ac:dyDescent="0.35">
      <c r="A114" s="398"/>
      <c r="B114" s="7" t="s">
        <v>286</v>
      </c>
      <c r="C114" s="401"/>
      <c r="D114" s="401"/>
      <c r="E114" s="401"/>
      <c r="F114" s="401"/>
      <c r="G114" s="8"/>
      <c r="H114" s="8"/>
      <c r="I114" s="8"/>
      <c r="J114" s="87"/>
      <c r="K114" s="108"/>
      <c r="S114" s="117"/>
      <c r="T114" s="287"/>
      <c r="U114" s="287"/>
      <c r="V114" s="287"/>
      <c r="W114" s="287"/>
      <c r="X114" s="126"/>
      <c r="Y114" s="125"/>
    </row>
    <row r="115" spans="1:25" ht="15" thickBot="1" x14ac:dyDescent="0.35">
      <c r="A115" s="110"/>
      <c r="B115" s="36"/>
      <c r="C115" s="36"/>
      <c r="D115" s="36"/>
      <c r="E115" s="36"/>
      <c r="F115" s="36"/>
      <c r="G115" s="37"/>
      <c r="H115" s="37"/>
      <c r="I115" s="37"/>
      <c r="J115" s="37"/>
      <c r="K115" s="193"/>
      <c r="S115" s="117"/>
      <c r="T115" s="287"/>
      <c r="U115" s="287"/>
      <c r="V115" s="287"/>
      <c r="W115" s="287"/>
      <c r="X115" s="126"/>
      <c r="Y115" s="125"/>
    </row>
    <row r="116" spans="1:25" ht="15" thickTop="1" x14ac:dyDescent="0.3">
      <c r="A116" s="106"/>
      <c r="B116" s="25"/>
      <c r="C116" s="25"/>
      <c r="D116" s="25"/>
      <c r="E116" s="25"/>
      <c r="F116" s="25"/>
      <c r="G116" s="26"/>
      <c r="H116" s="26"/>
      <c r="I116" s="26"/>
      <c r="J116" s="26"/>
      <c r="K116" s="108"/>
      <c r="S116" s="117"/>
      <c r="T116" s="287"/>
      <c r="U116" s="287"/>
      <c r="V116" s="287"/>
      <c r="W116" s="287"/>
      <c r="X116" s="126"/>
      <c r="Y116" s="125"/>
    </row>
    <row r="117" spans="1:25" ht="21" x14ac:dyDescent="0.4">
      <c r="A117" s="398"/>
      <c r="B117" s="396"/>
      <c r="C117" s="396"/>
      <c r="D117" s="396"/>
      <c r="E117" s="396"/>
      <c r="F117" s="395" t="s">
        <v>247</v>
      </c>
      <c r="G117" s="5"/>
      <c r="H117" s="5"/>
      <c r="I117" s="5"/>
      <c r="J117" s="5"/>
      <c r="K117" s="108"/>
      <c r="S117" s="117"/>
      <c r="T117" s="287"/>
      <c r="U117" s="287"/>
      <c r="V117" s="287"/>
      <c r="W117" s="287"/>
      <c r="X117" s="126"/>
      <c r="Y117" s="125"/>
    </row>
    <row r="118" spans="1:25" x14ac:dyDescent="0.3">
      <c r="A118" s="398"/>
      <c r="B118" s="396"/>
      <c r="C118" s="396"/>
      <c r="D118" s="396"/>
      <c r="E118" s="396"/>
      <c r="F118" s="28"/>
      <c r="G118" s="5"/>
      <c r="H118" s="5"/>
      <c r="I118" s="5"/>
      <c r="J118" s="5"/>
      <c r="K118" s="108"/>
      <c r="S118" s="117"/>
      <c r="T118" s="287"/>
      <c r="U118" s="287"/>
      <c r="V118" s="287"/>
      <c r="W118" s="287"/>
      <c r="X118" s="126"/>
      <c r="Y118" s="125"/>
    </row>
    <row r="119" spans="1:25" ht="15" thickBot="1" x14ac:dyDescent="0.35">
      <c r="A119" s="398"/>
      <c r="B119" s="396"/>
      <c r="C119" s="410">
        <v>44888</v>
      </c>
      <c r="D119" s="79" t="s">
        <v>147</v>
      </c>
      <c r="E119" s="79" t="s">
        <v>353</v>
      </c>
      <c r="F119" s="79">
        <v>0</v>
      </c>
      <c r="G119" s="81">
        <v>0</v>
      </c>
      <c r="H119" s="8"/>
      <c r="I119" s="8" t="s">
        <v>443</v>
      </c>
      <c r="J119" s="5"/>
      <c r="K119" s="108"/>
      <c r="S119" s="117" t="s">
        <v>147</v>
      </c>
      <c r="T119" s="287" t="s">
        <v>353</v>
      </c>
      <c r="U119" s="287">
        <v>0</v>
      </c>
      <c r="V119" s="287">
        <v>0</v>
      </c>
      <c r="W119" s="287"/>
      <c r="X119" s="126">
        <f t="shared" ref="X119:X120" si="23">(IF(U119&gt;V119,3,IF(U119=V119,1,2)))</f>
        <v>1</v>
      </c>
      <c r="Y119" s="125">
        <f t="shared" ref="Y119:Y120" si="24">(IF(V119&gt;U119,3,IF(U119=V119,1,2)))</f>
        <v>1</v>
      </c>
    </row>
    <row r="120" spans="1:25" s="13" customFormat="1" x14ac:dyDescent="0.3">
      <c r="A120" s="398"/>
      <c r="B120" s="396"/>
      <c r="C120" s="411">
        <v>44888</v>
      </c>
      <c r="D120" s="49" t="s">
        <v>21</v>
      </c>
      <c r="E120" s="49" t="s">
        <v>251</v>
      </c>
      <c r="F120" s="49">
        <v>1</v>
      </c>
      <c r="G120" s="51">
        <v>0</v>
      </c>
      <c r="H120" s="5"/>
      <c r="I120" s="5" t="s">
        <v>445</v>
      </c>
      <c r="J120" s="5"/>
      <c r="K120" s="108"/>
      <c r="S120" s="117" t="s">
        <v>21</v>
      </c>
      <c r="T120" s="287" t="s">
        <v>251</v>
      </c>
      <c r="U120" s="287">
        <v>1</v>
      </c>
      <c r="V120" s="287">
        <v>0</v>
      </c>
      <c r="W120" s="287"/>
      <c r="X120" s="126">
        <f t="shared" si="23"/>
        <v>3</v>
      </c>
      <c r="Y120" s="125">
        <f t="shared" si="24"/>
        <v>2</v>
      </c>
    </row>
    <row r="121" spans="1:25" s="13" customFormat="1" ht="15" thickBot="1" x14ac:dyDescent="0.35">
      <c r="A121" s="398"/>
      <c r="B121" s="396"/>
      <c r="C121" s="58"/>
      <c r="D121" s="79"/>
      <c r="E121" s="79"/>
      <c r="F121" s="79" t="s">
        <v>172</v>
      </c>
      <c r="G121" s="81" t="s">
        <v>171</v>
      </c>
      <c r="H121" s="8"/>
      <c r="I121" s="8"/>
      <c r="J121" s="5"/>
      <c r="K121" s="108"/>
      <c r="S121" s="117" t="s">
        <v>21</v>
      </c>
      <c r="T121" s="342" t="s">
        <v>147</v>
      </c>
      <c r="U121" s="342">
        <v>0</v>
      </c>
      <c r="V121" s="342">
        <v>2</v>
      </c>
      <c r="W121" s="342"/>
      <c r="X121" s="126">
        <f t="shared" ref="X121:X124" si="25">(IF(U121&gt;V121,3,IF(U121=V121,1,2)))</f>
        <v>2</v>
      </c>
      <c r="Y121" s="125">
        <f t="shared" ref="Y121:Y124" si="26">(IF(V121&gt;U121,3,IF(U121=V121,1,2)))</f>
        <v>3</v>
      </c>
    </row>
    <row r="122" spans="1:25" s="13" customFormat="1" x14ac:dyDescent="0.3">
      <c r="A122" s="398"/>
      <c r="B122" s="396"/>
      <c r="C122" s="411">
        <v>44892</v>
      </c>
      <c r="D122" s="49" t="s">
        <v>21</v>
      </c>
      <c r="E122" s="49" t="s">
        <v>147</v>
      </c>
      <c r="F122" s="49">
        <v>0</v>
      </c>
      <c r="G122" s="51">
        <v>2</v>
      </c>
      <c r="H122" s="5"/>
      <c r="I122" s="5" t="s">
        <v>444</v>
      </c>
      <c r="J122" s="5"/>
      <c r="K122" s="108"/>
      <c r="S122" s="117" t="s">
        <v>353</v>
      </c>
      <c r="T122" s="342" t="s">
        <v>251</v>
      </c>
      <c r="U122" s="342">
        <v>4</v>
      </c>
      <c r="V122" s="342">
        <v>1</v>
      </c>
      <c r="W122" s="342"/>
      <c r="X122" s="126">
        <f t="shared" si="25"/>
        <v>3</v>
      </c>
      <c r="Y122" s="125">
        <f t="shared" si="26"/>
        <v>2</v>
      </c>
    </row>
    <row r="123" spans="1:25" ht="15" thickBot="1" x14ac:dyDescent="0.35">
      <c r="A123" s="398"/>
      <c r="B123" s="396"/>
      <c r="C123" s="58"/>
      <c r="D123" s="79"/>
      <c r="E123" s="79"/>
      <c r="F123" s="79" t="s">
        <v>170</v>
      </c>
      <c r="G123" s="81" t="s">
        <v>171</v>
      </c>
      <c r="H123" s="8"/>
      <c r="I123" s="8"/>
      <c r="J123" s="5"/>
      <c r="K123" s="108"/>
      <c r="S123" s="122" t="s">
        <v>353</v>
      </c>
      <c r="T123" s="17" t="s">
        <v>21</v>
      </c>
      <c r="U123" s="17">
        <v>0</v>
      </c>
      <c r="V123" s="17">
        <v>0</v>
      </c>
      <c r="W123" s="342"/>
      <c r="X123" s="126">
        <f t="shared" si="25"/>
        <v>1</v>
      </c>
      <c r="Y123" s="125">
        <f t="shared" si="26"/>
        <v>1</v>
      </c>
    </row>
    <row r="124" spans="1:25" x14ac:dyDescent="0.3">
      <c r="A124" s="398"/>
      <c r="B124" s="396"/>
      <c r="C124" s="411">
        <v>44892</v>
      </c>
      <c r="D124" s="49" t="s">
        <v>353</v>
      </c>
      <c r="E124" s="49" t="s">
        <v>251</v>
      </c>
      <c r="F124" s="49">
        <v>4</v>
      </c>
      <c r="G124" s="51">
        <v>1</v>
      </c>
      <c r="H124" s="5"/>
      <c r="I124" s="5" t="s">
        <v>445</v>
      </c>
      <c r="J124" s="5"/>
      <c r="K124" s="108"/>
      <c r="S124" s="117" t="s">
        <v>251</v>
      </c>
      <c r="T124" s="342" t="s">
        <v>147</v>
      </c>
      <c r="U124" s="342">
        <v>1</v>
      </c>
      <c r="V124" s="342">
        <v>2</v>
      </c>
      <c r="W124" s="342"/>
      <c r="X124" s="126">
        <f t="shared" si="25"/>
        <v>2</v>
      </c>
      <c r="Y124" s="125">
        <f t="shared" si="26"/>
        <v>3</v>
      </c>
    </row>
    <row r="125" spans="1:25" ht="15" thickBot="1" x14ac:dyDescent="0.35">
      <c r="A125" s="398"/>
      <c r="B125" s="396"/>
      <c r="C125" s="58"/>
      <c r="D125" s="79"/>
      <c r="E125" s="79"/>
      <c r="F125" s="79" t="s">
        <v>215</v>
      </c>
      <c r="G125" s="81" t="s">
        <v>183</v>
      </c>
      <c r="H125" s="8"/>
      <c r="I125" s="8"/>
      <c r="J125" s="5"/>
      <c r="K125" s="108"/>
      <c r="S125" s="117"/>
      <c r="T125" s="342"/>
      <c r="U125" s="342"/>
      <c r="V125" s="342"/>
      <c r="W125" s="287"/>
      <c r="X125" s="126"/>
      <c r="Y125" s="125"/>
    </row>
    <row r="126" spans="1:25" ht="15" thickBot="1" x14ac:dyDescent="0.35">
      <c r="A126" s="398"/>
      <c r="B126" s="396"/>
      <c r="C126" s="408">
        <v>44896</v>
      </c>
      <c r="D126" s="89" t="s">
        <v>353</v>
      </c>
      <c r="E126" s="89" t="s">
        <v>21</v>
      </c>
      <c r="F126" s="89">
        <v>0</v>
      </c>
      <c r="G126" s="90">
        <v>0</v>
      </c>
      <c r="H126" s="91"/>
      <c r="I126" s="91" t="s">
        <v>445</v>
      </c>
      <c r="J126" s="5"/>
      <c r="K126" s="108"/>
      <c r="S126" s="117"/>
      <c r="T126" s="342"/>
      <c r="U126" s="342"/>
      <c r="V126" s="342"/>
      <c r="W126" s="95"/>
      <c r="X126" s="95"/>
      <c r="Y126" s="169"/>
    </row>
    <row r="127" spans="1:25" x14ac:dyDescent="0.3">
      <c r="A127" s="398"/>
      <c r="B127" s="17"/>
      <c r="C127" s="411">
        <v>44896</v>
      </c>
      <c r="D127" s="43" t="s">
        <v>251</v>
      </c>
      <c r="E127" s="43" t="s">
        <v>147</v>
      </c>
      <c r="F127" s="49">
        <v>1</v>
      </c>
      <c r="G127" s="51">
        <v>2</v>
      </c>
      <c r="H127" s="5"/>
      <c r="I127" s="5" t="s">
        <v>444</v>
      </c>
      <c r="J127" s="5"/>
      <c r="K127" s="108"/>
      <c r="S127" s="117"/>
      <c r="T127" s="287"/>
      <c r="U127" s="287"/>
      <c r="V127" s="287"/>
      <c r="W127" s="287"/>
      <c r="X127" s="126"/>
      <c r="Y127" s="125"/>
    </row>
    <row r="128" spans="1:25" x14ac:dyDescent="0.3">
      <c r="A128" s="156"/>
      <c r="B128" s="17"/>
      <c r="C128" s="17"/>
      <c r="D128" s="43"/>
      <c r="E128" s="43"/>
      <c r="F128" s="49" t="s">
        <v>172</v>
      </c>
      <c r="G128" s="51" t="s">
        <v>173</v>
      </c>
      <c r="H128" s="5"/>
      <c r="I128" s="5"/>
      <c r="J128" s="5"/>
      <c r="K128" s="108"/>
      <c r="S128" s="117"/>
      <c r="T128" s="287"/>
      <c r="U128" s="287"/>
      <c r="V128" s="287"/>
      <c r="W128" s="287"/>
      <c r="X128" s="126"/>
      <c r="Y128" s="125"/>
    </row>
    <row r="129" spans="1:25" x14ac:dyDescent="0.3">
      <c r="A129" s="156"/>
      <c r="B129" s="17"/>
      <c r="C129" s="17"/>
      <c r="D129" s="17"/>
      <c r="E129" s="17"/>
      <c r="F129" s="396"/>
      <c r="G129" s="5"/>
      <c r="H129" s="5"/>
      <c r="I129" s="5"/>
      <c r="J129" s="5"/>
      <c r="K129" s="108"/>
      <c r="S129" s="117"/>
      <c r="T129" s="287"/>
      <c r="U129" s="287"/>
      <c r="V129" s="287"/>
      <c r="W129" s="287"/>
      <c r="X129" s="126"/>
      <c r="Y129" s="125"/>
    </row>
    <row r="130" spans="1:25" s="13" customFormat="1" ht="15" thickBot="1" x14ac:dyDescent="0.35">
      <c r="A130" s="398"/>
      <c r="B130" s="396" t="s">
        <v>298</v>
      </c>
      <c r="C130" s="396" t="s">
        <v>12</v>
      </c>
      <c r="D130" s="396" t="s">
        <v>13</v>
      </c>
      <c r="E130" s="396" t="s">
        <v>14</v>
      </c>
      <c r="F130" s="396" t="s">
        <v>15</v>
      </c>
      <c r="G130" s="5" t="s">
        <v>24</v>
      </c>
      <c r="H130" s="5" t="s">
        <v>25</v>
      </c>
      <c r="I130" s="5" t="s">
        <v>301</v>
      </c>
      <c r="J130" s="5"/>
      <c r="K130" s="108"/>
      <c r="S130" s="117"/>
      <c r="T130" s="287"/>
      <c r="U130" s="287"/>
      <c r="V130" s="287"/>
      <c r="W130" s="287"/>
      <c r="X130" s="126"/>
      <c r="Y130" s="125"/>
    </row>
    <row r="131" spans="1:25" s="13" customFormat="1" x14ac:dyDescent="0.3">
      <c r="A131" s="398" t="s">
        <v>113</v>
      </c>
      <c r="B131" s="14" t="s">
        <v>147</v>
      </c>
      <c r="C131" s="402">
        <v>3</v>
      </c>
      <c r="D131" s="402">
        <v>2</v>
      </c>
      <c r="E131" s="402">
        <v>0</v>
      </c>
      <c r="F131" s="402">
        <v>1</v>
      </c>
      <c r="G131" s="15">
        <v>4</v>
      </c>
      <c r="H131" s="15">
        <v>3</v>
      </c>
      <c r="I131" s="15">
        <v>6</v>
      </c>
      <c r="J131" s="86"/>
      <c r="K131" s="108"/>
      <c r="S131" s="168"/>
      <c r="T131" s="95"/>
      <c r="U131" s="95"/>
      <c r="V131" s="95"/>
      <c r="W131" s="95"/>
      <c r="X131" s="95"/>
      <c r="Y131" s="169"/>
    </row>
    <row r="132" spans="1:25" s="13" customFormat="1" x14ac:dyDescent="0.3">
      <c r="A132" s="398"/>
      <c r="B132" s="21" t="s">
        <v>353</v>
      </c>
      <c r="C132" s="17"/>
      <c r="D132" s="17"/>
      <c r="E132" s="17"/>
      <c r="F132" s="17"/>
      <c r="G132" s="18"/>
      <c r="H132" s="18"/>
      <c r="I132" s="18"/>
      <c r="J132" s="86"/>
      <c r="K132" s="108"/>
      <c r="S132" s="168"/>
      <c r="T132" s="95"/>
      <c r="U132" s="95"/>
      <c r="V132" s="95"/>
      <c r="W132" s="95"/>
      <c r="X132" s="95"/>
      <c r="Y132" s="169"/>
    </row>
    <row r="133" spans="1:25" x14ac:dyDescent="0.3">
      <c r="A133" s="398"/>
      <c r="B133" s="3" t="s">
        <v>21</v>
      </c>
      <c r="C133" s="396"/>
      <c r="D133" s="396"/>
      <c r="E133" s="396"/>
      <c r="F133" s="396"/>
      <c r="G133" s="5"/>
      <c r="H133" s="5"/>
      <c r="I133" s="5"/>
      <c r="J133" s="87"/>
      <c r="K133" s="108"/>
      <c r="S133" s="117"/>
      <c r="T133" s="287"/>
      <c r="U133" s="287"/>
      <c r="V133" s="287"/>
      <c r="W133" s="287"/>
      <c r="X133" s="126"/>
      <c r="Y133" s="125"/>
    </row>
    <row r="134" spans="1:25" ht="15" thickBot="1" x14ac:dyDescent="0.35">
      <c r="A134" s="398"/>
      <c r="B134" s="7" t="s">
        <v>251</v>
      </c>
      <c r="C134" s="401"/>
      <c r="D134" s="401"/>
      <c r="E134" s="401"/>
      <c r="F134" s="401"/>
      <c r="G134" s="8"/>
      <c r="H134" s="8"/>
      <c r="I134" s="8"/>
      <c r="J134" s="87"/>
      <c r="K134" s="108"/>
      <c r="S134" s="117"/>
      <c r="T134" s="287"/>
      <c r="U134" s="287"/>
      <c r="V134" s="287"/>
      <c r="W134" s="287"/>
      <c r="X134" s="126"/>
      <c r="Y134" s="125"/>
    </row>
    <row r="135" spans="1:25" s="13" customFormat="1" ht="15" thickBot="1" x14ac:dyDescent="0.35">
      <c r="A135" s="110"/>
      <c r="B135" s="36"/>
      <c r="C135" s="36"/>
      <c r="D135" s="36"/>
      <c r="E135" s="36"/>
      <c r="F135" s="36"/>
      <c r="G135" s="37"/>
      <c r="H135" s="37"/>
      <c r="I135" s="37"/>
      <c r="J135" s="37"/>
      <c r="K135" s="193"/>
      <c r="S135" s="117"/>
      <c r="T135" s="287"/>
      <c r="U135" s="287"/>
      <c r="V135" s="287"/>
      <c r="W135" s="287"/>
      <c r="X135" s="126"/>
      <c r="Y135" s="125"/>
    </row>
    <row r="136" spans="1:25" ht="15" thickTop="1" x14ac:dyDescent="0.3">
      <c r="A136" s="106"/>
      <c r="B136" s="25"/>
      <c r="C136" s="25"/>
      <c r="D136" s="25"/>
      <c r="E136" s="25"/>
      <c r="F136" s="25"/>
      <c r="G136" s="26"/>
      <c r="H136" s="26"/>
      <c r="I136" s="26"/>
      <c r="J136" s="26"/>
      <c r="K136" s="108"/>
      <c r="S136" s="117"/>
      <c r="T136" s="287"/>
      <c r="U136" s="287"/>
      <c r="V136" s="287"/>
      <c r="W136" s="287"/>
      <c r="X136" s="126"/>
      <c r="Y136" s="125"/>
    </row>
    <row r="137" spans="1:25" ht="21" x14ac:dyDescent="0.4">
      <c r="A137" s="398"/>
      <c r="B137" s="396"/>
      <c r="C137" s="396"/>
      <c r="D137" s="396"/>
      <c r="E137" s="396"/>
      <c r="F137" s="395" t="s">
        <v>349</v>
      </c>
      <c r="G137" s="5"/>
      <c r="H137" s="5"/>
      <c r="I137" s="5"/>
      <c r="J137" s="5"/>
      <c r="K137" s="108"/>
      <c r="S137" s="117"/>
      <c r="T137" s="287"/>
      <c r="U137" s="287"/>
      <c r="V137" s="287"/>
      <c r="W137" s="287"/>
      <c r="X137" s="126"/>
      <c r="Y137" s="125"/>
    </row>
    <row r="138" spans="1:25" x14ac:dyDescent="0.3">
      <c r="A138" s="398"/>
      <c r="B138" s="396"/>
      <c r="C138" s="396"/>
      <c r="D138" s="396"/>
      <c r="E138" s="396"/>
      <c r="F138" s="28"/>
      <c r="G138" s="5"/>
      <c r="H138" s="5"/>
      <c r="I138" s="5"/>
      <c r="J138" s="5"/>
      <c r="K138" s="108"/>
      <c r="S138" s="117"/>
      <c r="T138" s="287"/>
      <c r="U138" s="287"/>
      <c r="V138" s="287"/>
      <c r="W138" s="287"/>
      <c r="X138" s="126"/>
      <c r="Y138" s="125"/>
    </row>
    <row r="139" spans="1:25" x14ac:dyDescent="0.3">
      <c r="A139" s="398"/>
      <c r="B139" s="396"/>
      <c r="C139" s="411">
        <v>44889</v>
      </c>
      <c r="D139" s="49" t="s">
        <v>43</v>
      </c>
      <c r="E139" s="49" t="s">
        <v>190</v>
      </c>
      <c r="F139" s="49">
        <v>1</v>
      </c>
      <c r="G139" s="51">
        <v>0</v>
      </c>
      <c r="H139" s="5"/>
      <c r="I139" s="5" t="s">
        <v>447</v>
      </c>
      <c r="J139" s="5"/>
      <c r="K139" s="108"/>
      <c r="S139" s="117" t="s">
        <v>43</v>
      </c>
      <c r="T139" s="287" t="s">
        <v>190</v>
      </c>
      <c r="U139" s="287">
        <v>1</v>
      </c>
      <c r="V139" s="287">
        <v>0</v>
      </c>
      <c r="W139" s="287"/>
      <c r="X139" s="126">
        <f t="shared" ref="X139:X140" si="27">(IF(U139&gt;V139,3,IF(U139=V139,1,2)))</f>
        <v>3</v>
      </c>
      <c r="Y139" s="125">
        <f t="shared" ref="Y139:Y140" si="28">(IF(V139&gt;U139,3,IF(U139=V139,1,2)))</f>
        <v>2</v>
      </c>
    </row>
    <row r="140" spans="1:25" ht="15" thickBot="1" x14ac:dyDescent="0.35">
      <c r="A140" s="398"/>
      <c r="B140" s="396"/>
      <c r="C140" s="58"/>
      <c r="D140" s="79"/>
      <c r="E140" s="79"/>
      <c r="F140" s="79" t="s">
        <v>170</v>
      </c>
      <c r="G140" s="81" t="s">
        <v>171</v>
      </c>
      <c r="H140" s="8"/>
      <c r="I140" s="8"/>
      <c r="J140" s="5"/>
      <c r="K140" s="108"/>
      <c r="S140" s="117" t="s">
        <v>9</v>
      </c>
      <c r="T140" s="342" t="s">
        <v>408</v>
      </c>
      <c r="U140" s="342">
        <v>2</v>
      </c>
      <c r="V140" s="342">
        <v>0</v>
      </c>
      <c r="W140" s="287"/>
      <c r="X140" s="126">
        <f t="shared" si="27"/>
        <v>3</v>
      </c>
      <c r="Y140" s="125">
        <f t="shared" si="28"/>
        <v>2</v>
      </c>
    </row>
    <row r="141" spans="1:25" s="13" customFormat="1" x14ac:dyDescent="0.3">
      <c r="A141" s="398"/>
      <c r="B141" s="396"/>
      <c r="C141" s="411">
        <v>44889</v>
      </c>
      <c r="D141" s="49" t="s">
        <v>9</v>
      </c>
      <c r="E141" s="49" t="s">
        <v>408</v>
      </c>
      <c r="F141" s="49">
        <v>2</v>
      </c>
      <c r="G141" s="51">
        <v>0</v>
      </c>
      <c r="H141" s="5"/>
      <c r="I141" s="5" t="s">
        <v>446</v>
      </c>
      <c r="J141" s="5"/>
      <c r="K141" s="108"/>
      <c r="S141" s="117" t="s">
        <v>190</v>
      </c>
      <c r="T141" s="342" t="s">
        <v>408</v>
      </c>
      <c r="U141" s="342">
        <v>3</v>
      </c>
      <c r="V141" s="342">
        <v>3</v>
      </c>
      <c r="W141" s="287"/>
      <c r="X141" s="126">
        <f t="shared" ref="X141:X144" si="29">(IF(U141&gt;V141,3,IF(U141=V141,1,2)))</f>
        <v>1</v>
      </c>
      <c r="Y141" s="125">
        <f t="shared" ref="Y141:Y144" si="30">(IF(V141&gt;U141,3,IF(U141=V141,1,2)))</f>
        <v>1</v>
      </c>
    </row>
    <row r="142" spans="1:25" s="13" customFormat="1" ht="15" thickBot="1" x14ac:dyDescent="0.35">
      <c r="A142" s="398"/>
      <c r="B142" s="396"/>
      <c r="C142" s="58"/>
      <c r="D142" s="79"/>
      <c r="E142" s="79"/>
      <c r="F142" s="79" t="s">
        <v>170</v>
      </c>
      <c r="G142" s="81" t="s">
        <v>171</v>
      </c>
      <c r="H142" s="8"/>
      <c r="I142" s="8"/>
      <c r="J142" s="5"/>
      <c r="K142" s="108"/>
      <c r="S142" s="117" t="s">
        <v>9</v>
      </c>
      <c r="T142" s="342" t="s">
        <v>43</v>
      </c>
      <c r="U142" s="342">
        <v>1</v>
      </c>
      <c r="V142" s="342">
        <v>0</v>
      </c>
      <c r="W142" s="287"/>
      <c r="X142" s="126">
        <f t="shared" si="29"/>
        <v>3</v>
      </c>
      <c r="Y142" s="125">
        <f t="shared" si="30"/>
        <v>2</v>
      </c>
    </row>
    <row r="143" spans="1:25" s="13" customFormat="1" x14ac:dyDescent="0.3">
      <c r="A143" s="398"/>
      <c r="B143" s="396"/>
      <c r="C143" s="411">
        <v>44893</v>
      </c>
      <c r="D143" s="49" t="s">
        <v>190</v>
      </c>
      <c r="E143" s="49" t="s">
        <v>408</v>
      </c>
      <c r="F143" s="49">
        <v>3</v>
      </c>
      <c r="G143" s="51">
        <v>3</v>
      </c>
      <c r="H143" s="5"/>
      <c r="I143" s="5" t="s">
        <v>447</v>
      </c>
      <c r="J143" s="5"/>
      <c r="K143" s="108"/>
      <c r="S143" s="122" t="s">
        <v>190</v>
      </c>
      <c r="T143" s="17" t="s">
        <v>9</v>
      </c>
      <c r="U143" s="17">
        <v>1</v>
      </c>
      <c r="V143" s="17">
        <v>0</v>
      </c>
      <c r="W143" s="287"/>
      <c r="X143" s="126">
        <f t="shared" si="29"/>
        <v>3</v>
      </c>
      <c r="Y143" s="125">
        <f t="shared" si="30"/>
        <v>2</v>
      </c>
    </row>
    <row r="144" spans="1:25" ht="15" thickBot="1" x14ac:dyDescent="0.35">
      <c r="A144" s="398"/>
      <c r="B144" s="396"/>
      <c r="C144" s="58"/>
      <c r="D144" s="79"/>
      <c r="E144" s="79"/>
      <c r="F144" s="79" t="s">
        <v>172</v>
      </c>
      <c r="G144" s="81" t="s">
        <v>173</v>
      </c>
      <c r="H144" s="8"/>
      <c r="I144" s="8"/>
      <c r="J144" s="5"/>
      <c r="K144" s="108"/>
      <c r="S144" s="117" t="s">
        <v>408</v>
      </c>
      <c r="T144" s="342" t="s">
        <v>43</v>
      </c>
      <c r="U144" s="342">
        <v>2</v>
      </c>
      <c r="V144" s="342">
        <v>3</v>
      </c>
      <c r="W144" s="287"/>
      <c r="X144" s="126">
        <f t="shared" si="29"/>
        <v>2</v>
      </c>
      <c r="Y144" s="125">
        <f t="shared" si="30"/>
        <v>3</v>
      </c>
    </row>
    <row r="145" spans="1:25" x14ac:dyDescent="0.3">
      <c r="A145" s="398"/>
      <c r="B145" s="396"/>
      <c r="C145" s="411">
        <v>44893</v>
      </c>
      <c r="D145" s="49" t="s">
        <v>9</v>
      </c>
      <c r="E145" s="49" t="s">
        <v>43</v>
      </c>
      <c r="F145" s="49">
        <v>1</v>
      </c>
      <c r="G145" s="51">
        <v>0</v>
      </c>
      <c r="H145" s="5"/>
      <c r="I145" s="5" t="s">
        <v>444</v>
      </c>
      <c r="J145" s="5"/>
      <c r="K145" s="108"/>
      <c r="S145" s="117"/>
      <c r="T145" s="342"/>
      <c r="U145" s="342"/>
      <c r="V145" s="342"/>
      <c r="W145" s="287"/>
      <c r="X145" s="126"/>
      <c r="Y145" s="125"/>
    </row>
    <row r="146" spans="1:25" ht="15" thickBot="1" x14ac:dyDescent="0.35">
      <c r="A146" s="398"/>
      <c r="B146" s="396"/>
      <c r="C146" s="58"/>
      <c r="D146" s="79"/>
      <c r="E146" s="79"/>
      <c r="F146" s="79" t="s">
        <v>170</v>
      </c>
      <c r="G146" s="81" t="s">
        <v>171</v>
      </c>
      <c r="H146" s="8"/>
      <c r="I146" s="8"/>
      <c r="J146" s="5"/>
      <c r="K146" s="108"/>
      <c r="S146" s="117"/>
      <c r="T146" s="342"/>
      <c r="U146" s="342"/>
      <c r="V146" s="342"/>
      <c r="W146" s="287"/>
      <c r="X146" s="126"/>
      <c r="Y146" s="125"/>
    </row>
    <row r="147" spans="1:25" x14ac:dyDescent="0.3">
      <c r="A147" s="398"/>
      <c r="B147" s="396"/>
      <c r="C147" s="411">
        <v>44897</v>
      </c>
      <c r="D147" s="49" t="s">
        <v>190</v>
      </c>
      <c r="E147" s="49" t="s">
        <v>9</v>
      </c>
      <c r="F147" s="49">
        <v>1</v>
      </c>
      <c r="G147" s="51">
        <v>0</v>
      </c>
      <c r="H147" s="5"/>
      <c r="I147" s="5" t="s">
        <v>446</v>
      </c>
      <c r="J147" s="5"/>
      <c r="K147" s="108"/>
      <c r="S147" s="117"/>
      <c r="T147" s="342"/>
      <c r="U147" s="342"/>
      <c r="V147" s="342"/>
      <c r="W147" s="95"/>
      <c r="X147" s="95"/>
      <c r="Y147" s="169"/>
    </row>
    <row r="148" spans="1:25" ht="15" thickBot="1" x14ac:dyDescent="0.35">
      <c r="A148" s="398"/>
      <c r="B148" s="396"/>
      <c r="C148" s="58"/>
      <c r="D148" s="79"/>
      <c r="E148" s="79"/>
      <c r="F148" s="79" t="s">
        <v>170</v>
      </c>
      <c r="G148" s="81" t="s">
        <v>171</v>
      </c>
      <c r="H148" s="8"/>
      <c r="I148" s="8"/>
      <c r="J148" s="5"/>
      <c r="K148" s="108"/>
      <c r="S148" s="117"/>
      <c r="T148" s="342"/>
      <c r="U148" s="342"/>
      <c r="V148" s="342"/>
      <c r="W148" s="287"/>
      <c r="X148" s="126"/>
      <c r="Y148" s="125"/>
    </row>
    <row r="149" spans="1:25" x14ac:dyDescent="0.3">
      <c r="A149" s="398"/>
      <c r="B149" s="17"/>
      <c r="C149" s="411">
        <v>44897</v>
      </c>
      <c r="D149" s="43" t="s">
        <v>408</v>
      </c>
      <c r="E149" s="43" t="s">
        <v>43</v>
      </c>
      <c r="F149" s="49">
        <v>2</v>
      </c>
      <c r="G149" s="51">
        <v>3</v>
      </c>
      <c r="H149" s="5"/>
      <c r="I149" s="5" t="s">
        <v>444</v>
      </c>
      <c r="J149" s="5"/>
      <c r="K149" s="108"/>
      <c r="S149" s="117"/>
      <c r="T149" s="287"/>
      <c r="U149" s="287"/>
      <c r="V149" s="287"/>
      <c r="W149" s="287"/>
      <c r="X149" s="126"/>
      <c r="Y149" s="125"/>
    </row>
    <row r="150" spans="1:25" x14ac:dyDescent="0.3">
      <c r="A150" s="156"/>
      <c r="B150" s="17"/>
      <c r="C150" s="17"/>
      <c r="D150" s="43"/>
      <c r="E150" s="43"/>
      <c r="F150" s="49" t="s">
        <v>215</v>
      </c>
      <c r="G150" s="51" t="s">
        <v>173</v>
      </c>
      <c r="H150" s="5"/>
      <c r="I150" s="5"/>
      <c r="J150" s="5"/>
      <c r="K150" s="108"/>
      <c r="S150" s="117"/>
      <c r="T150" s="287"/>
      <c r="U150" s="287"/>
      <c r="V150" s="287"/>
      <c r="W150" s="287"/>
      <c r="X150" s="126"/>
      <c r="Y150" s="125"/>
    </row>
    <row r="151" spans="1:25" x14ac:dyDescent="0.3">
      <c r="A151" s="156"/>
      <c r="B151" s="17"/>
      <c r="C151" s="17"/>
      <c r="D151" s="17"/>
      <c r="E151" s="17"/>
      <c r="F151" s="396"/>
      <c r="G151" s="5"/>
      <c r="H151" s="5"/>
      <c r="I151" s="5"/>
      <c r="J151" s="5"/>
      <c r="K151" s="108"/>
      <c r="S151" s="117"/>
      <c r="T151" s="287"/>
      <c r="U151" s="287"/>
      <c r="V151" s="287"/>
      <c r="W151" s="287"/>
      <c r="X151" s="126"/>
      <c r="Y151" s="125"/>
    </row>
    <row r="152" spans="1:25" s="13" customFormat="1" ht="15" thickBot="1" x14ac:dyDescent="0.35">
      <c r="A152" s="398"/>
      <c r="B152" s="396" t="s">
        <v>298</v>
      </c>
      <c r="C152" s="396" t="s">
        <v>12</v>
      </c>
      <c r="D152" s="396" t="s">
        <v>13</v>
      </c>
      <c r="E152" s="396" t="s">
        <v>14</v>
      </c>
      <c r="F152" s="396" t="s">
        <v>15</v>
      </c>
      <c r="G152" s="5" t="s">
        <v>24</v>
      </c>
      <c r="H152" s="5" t="s">
        <v>25</v>
      </c>
      <c r="I152" s="5" t="s">
        <v>301</v>
      </c>
      <c r="J152" s="5"/>
      <c r="K152" s="108"/>
      <c r="S152" s="117"/>
      <c r="T152" s="287"/>
      <c r="U152" s="287"/>
      <c r="V152" s="287"/>
      <c r="W152" s="287"/>
      <c r="X152" s="126"/>
      <c r="Y152" s="125"/>
    </row>
    <row r="153" spans="1:25" s="13" customFormat="1" x14ac:dyDescent="0.3">
      <c r="A153" s="398" t="s">
        <v>113</v>
      </c>
      <c r="B153" s="14" t="s">
        <v>43</v>
      </c>
      <c r="C153" s="402">
        <v>3</v>
      </c>
      <c r="D153" s="402">
        <v>2</v>
      </c>
      <c r="E153" s="402">
        <v>0</v>
      </c>
      <c r="F153" s="402">
        <v>1</v>
      </c>
      <c r="G153" s="15">
        <v>4</v>
      </c>
      <c r="H153" s="15">
        <v>3</v>
      </c>
      <c r="I153" s="15">
        <v>6</v>
      </c>
      <c r="J153" s="86"/>
      <c r="K153" s="108"/>
      <c r="S153" s="168"/>
      <c r="T153" s="95"/>
      <c r="U153" s="95"/>
      <c r="V153" s="95"/>
      <c r="W153" s="95"/>
      <c r="X153" s="95"/>
      <c r="Y153" s="169"/>
    </row>
    <row r="154" spans="1:25" s="13" customFormat="1" x14ac:dyDescent="0.3">
      <c r="A154" s="398"/>
      <c r="B154" s="21" t="s">
        <v>190</v>
      </c>
      <c r="C154" s="17"/>
      <c r="D154" s="17"/>
      <c r="E154" s="17"/>
      <c r="F154" s="17"/>
      <c r="G154" s="18"/>
      <c r="H154" s="18"/>
      <c r="I154" s="18"/>
      <c r="J154" s="86"/>
      <c r="K154" s="108"/>
      <c r="S154" s="168"/>
      <c r="T154" s="95"/>
      <c r="U154" s="95"/>
      <c r="V154" s="95"/>
      <c r="W154" s="95"/>
      <c r="X154" s="95"/>
      <c r="Y154" s="169"/>
    </row>
    <row r="155" spans="1:25" x14ac:dyDescent="0.3">
      <c r="A155" s="398"/>
      <c r="B155" s="3" t="s">
        <v>9</v>
      </c>
      <c r="C155" s="396"/>
      <c r="D155" s="396"/>
      <c r="E155" s="396"/>
      <c r="F155" s="396"/>
      <c r="G155" s="5"/>
      <c r="H155" s="5"/>
      <c r="I155" s="5"/>
      <c r="J155" s="87"/>
      <c r="K155" s="108"/>
      <c r="S155" s="117"/>
      <c r="T155" s="287"/>
      <c r="U155" s="287"/>
      <c r="V155" s="287"/>
      <c r="W155" s="287"/>
      <c r="X155" s="126"/>
      <c r="Y155" s="125"/>
    </row>
    <row r="156" spans="1:25" ht="15" thickBot="1" x14ac:dyDescent="0.35">
      <c r="A156" s="398"/>
      <c r="B156" s="7" t="s">
        <v>408</v>
      </c>
      <c r="C156" s="401"/>
      <c r="D156" s="401"/>
      <c r="E156" s="401"/>
      <c r="F156" s="401"/>
      <c r="G156" s="8"/>
      <c r="H156" s="8"/>
      <c r="I156" s="8"/>
      <c r="J156" s="87"/>
      <c r="K156" s="108"/>
      <c r="S156" s="117"/>
      <c r="T156" s="287"/>
      <c r="U156" s="287"/>
      <c r="V156" s="287"/>
      <c r="W156" s="287"/>
      <c r="X156" s="126"/>
      <c r="Y156" s="125"/>
    </row>
    <row r="157" spans="1:25" s="13" customFormat="1" ht="15" thickBot="1" x14ac:dyDescent="0.35">
      <c r="A157" s="398"/>
      <c r="B157" s="396"/>
      <c r="C157" s="396"/>
      <c r="D157" s="396"/>
      <c r="E157" s="396"/>
      <c r="F157" s="396"/>
      <c r="G157" s="5"/>
      <c r="H157" s="5"/>
      <c r="I157" s="5"/>
      <c r="J157" s="5"/>
      <c r="K157" s="108"/>
      <c r="S157" s="117"/>
      <c r="T157" s="287"/>
      <c r="U157" s="287"/>
      <c r="V157" s="287"/>
      <c r="W157" s="287"/>
      <c r="X157" s="126"/>
      <c r="Y157" s="125"/>
    </row>
    <row r="158" spans="1:25" ht="15" thickTop="1" x14ac:dyDescent="0.3">
      <c r="A158" s="106"/>
      <c r="B158" s="25"/>
      <c r="C158" s="25"/>
      <c r="D158" s="25"/>
      <c r="E158" s="25"/>
      <c r="F158" s="25"/>
      <c r="G158" s="26"/>
      <c r="H158" s="26"/>
      <c r="I158" s="26"/>
      <c r="J158" s="26"/>
      <c r="K158" s="108"/>
      <c r="S158" s="117"/>
      <c r="T158" s="287"/>
      <c r="U158" s="287"/>
      <c r="V158" s="287"/>
      <c r="W158" s="287"/>
      <c r="X158" s="126"/>
      <c r="Y158" s="125"/>
    </row>
    <row r="159" spans="1:25" ht="21" x14ac:dyDescent="0.4">
      <c r="A159" s="398"/>
      <c r="B159" s="396"/>
      <c r="C159" s="396"/>
      <c r="D159" s="396"/>
      <c r="E159" s="396"/>
      <c r="F159" s="395" t="s">
        <v>350</v>
      </c>
      <c r="G159" s="5"/>
      <c r="H159" s="5"/>
      <c r="I159" s="5"/>
      <c r="J159" s="5"/>
      <c r="K159" s="108"/>
      <c r="S159" s="117"/>
      <c r="T159" s="287"/>
      <c r="U159" s="287"/>
      <c r="V159" s="287"/>
      <c r="W159" s="287"/>
      <c r="X159" s="126"/>
      <c r="Y159" s="125"/>
    </row>
    <row r="160" spans="1:25" x14ac:dyDescent="0.3">
      <c r="A160" s="398"/>
      <c r="B160" s="396"/>
      <c r="C160" s="396"/>
      <c r="D160" s="396"/>
      <c r="E160" s="396"/>
      <c r="F160" s="28"/>
      <c r="G160" s="5"/>
      <c r="H160" s="5"/>
      <c r="I160" s="5"/>
      <c r="J160" s="5"/>
      <c r="K160" s="108"/>
      <c r="S160" s="117"/>
      <c r="T160" s="287"/>
      <c r="U160" s="287"/>
      <c r="V160" s="287"/>
      <c r="W160" s="287"/>
      <c r="X160" s="126"/>
      <c r="Y160" s="125"/>
    </row>
    <row r="161" spans="1:25" ht="15" thickBot="1" x14ac:dyDescent="0.35">
      <c r="A161" s="398"/>
      <c r="B161" s="396"/>
      <c r="C161" s="410">
        <v>44889</v>
      </c>
      <c r="D161" s="79" t="s">
        <v>18</v>
      </c>
      <c r="E161" s="79" t="s">
        <v>90</v>
      </c>
      <c r="F161" s="79">
        <v>0</v>
      </c>
      <c r="G161" s="81">
        <v>0</v>
      </c>
      <c r="H161" s="8"/>
      <c r="I161" s="8" t="s">
        <v>445</v>
      </c>
      <c r="J161" s="5"/>
      <c r="K161" s="108"/>
      <c r="S161" s="117" t="s">
        <v>18</v>
      </c>
      <c r="T161" s="287" t="s">
        <v>90</v>
      </c>
      <c r="U161" s="287">
        <v>0</v>
      </c>
      <c r="V161" s="287">
        <v>0</v>
      </c>
      <c r="W161" s="287"/>
      <c r="X161" s="126">
        <f t="shared" ref="X161" si="31">(IF(U161&gt;V161,3,IF(U161=V161,1,2)))</f>
        <v>1</v>
      </c>
      <c r="Y161" s="125">
        <f t="shared" ref="Y161" si="32">(IF(V161&gt;U161,3,IF(U161=V161,1,2)))</f>
        <v>1</v>
      </c>
    </row>
    <row r="162" spans="1:25" s="13" customFormat="1" x14ac:dyDescent="0.3">
      <c r="A162" s="398"/>
      <c r="B162" s="396"/>
      <c r="C162" s="411">
        <v>44889</v>
      </c>
      <c r="D162" s="49" t="s">
        <v>133</v>
      </c>
      <c r="E162" s="49" t="s">
        <v>390</v>
      </c>
      <c r="F162" s="49">
        <v>3</v>
      </c>
      <c r="G162" s="51">
        <v>2</v>
      </c>
      <c r="H162" s="5"/>
      <c r="I162" s="5" t="s">
        <v>444</v>
      </c>
      <c r="J162" s="5"/>
      <c r="K162" s="108"/>
      <c r="S162" s="117" t="s">
        <v>133</v>
      </c>
      <c r="T162" s="287" t="s">
        <v>390</v>
      </c>
      <c r="U162" s="287">
        <v>3</v>
      </c>
      <c r="V162" s="287">
        <v>2</v>
      </c>
      <c r="W162" s="287"/>
      <c r="X162" s="126">
        <f t="shared" ref="X162:X166" si="33">(IF(U162&gt;V162,3,IF(U162=V162,1,2)))</f>
        <v>3</v>
      </c>
      <c r="Y162" s="125">
        <f t="shared" ref="Y162:Y166" si="34">(IF(V162&gt;U162,3,IF(U162=V162,1,2)))</f>
        <v>2</v>
      </c>
    </row>
    <row r="163" spans="1:25" s="13" customFormat="1" ht="15" thickBot="1" x14ac:dyDescent="0.35">
      <c r="A163" s="398"/>
      <c r="B163" s="396"/>
      <c r="C163" s="58"/>
      <c r="D163" s="79"/>
      <c r="E163" s="79"/>
      <c r="F163" s="79" t="s">
        <v>170</v>
      </c>
      <c r="G163" s="81" t="s">
        <v>171</v>
      </c>
      <c r="H163" s="8"/>
      <c r="I163" s="8"/>
      <c r="J163" s="5"/>
      <c r="K163" s="108"/>
      <c r="S163" s="117" t="s">
        <v>90</v>
      </c>
      <c r="T163" s="342" t="s">
        <v>390</v>
      </c>
      <c r="U163" s="342">
        <v>2</v>
      </c>
      <c r="V163" s="342">
        <v>3</v>
      </c>
      <c r="W163" s="287"/>
      <c r="X163" s="126">
        <f t="shared" si="33"/>
        <v>2</v>
      </c>
      <c r="Y163" s="125">
        <f t="shared" si="34"/>
        <v>3</v>
      </c>
    </row>
    <row r="164" spans="1:25" s="13" customFormat="1" x14ac:dyDescent="0.3">
      <c r="A164" s="398"/>
      <c r="B164" s="396"/>
      <c r="C164" s="411">
        <v>44893</v>
      </c>
      <c r="D164" s="49" t="s">
        <v>90</v>
      </c>
      <c r="E164" s="49" t="s">
        <v>390</v>
      </c>
      <c r="F164" s="49">
        <v>2</v>
      </c>
      <c r="G164" s="51">
        <v>3</v>
      </c>
      <c r="H164" s="5"/>
      <c r="I164" s="5" t="s">
        <v>445</v>
      </c>
      <c r="J164" s="5"/>
      <c r="K164" s="108"/>
      <c r="S164" s="117" t="s">
        <v>133</v>
      </c>
      <c r="T164" s="342" t="s">
        <v>18</v>
      </c>
      <c r="U164" s="342">
        <v>2</v>
      </c>
      <c r="V164" s="342">
        <v>0</v>
      </c>
      <c r="W164" s="287"/>
      <c r="X164" s="126">
        <f t="shared" si="33"/>
        <v>3</v>
      </c>
      <c r="Y164" s="125">
        <f t="shared" si="34"/>
        <v>2</v>
      </c>
    </row>
    <row r="165" spans="1:25" ht="15" thickBot="1" x14ac:dyDescent="0.35">
      <c r="A165" s="398"/>
      <c r="B165" s="396"/>
      <c r="C165" s="58"/>
      <c r="D165" s="79"/>
      <c r="E165" s="79"/>
      <c r="F165" s="79" t="s">
        <v>170</v>
      </c>
      <c r="G165" s="81" t="s">
        <v>173</v>
      </c>
      <c r="H165" s="8"/>
      <c r="I165" s="8"/>
      <c r="J165" s="5"/>
      <c r="K165" s="108"/>
      <c r="S165" s="117" t="s">
        <v>90</v>
      </c>
      <c r="T165" s="342" t="s">
        <v>133</v>
      </c>
      <c r="U165" s="342">
        <v>2</v>
      </c>
      <c r="V165" s="342">
        <v>1</v>
      </c>
      <c r="W165" s="287"/>
      <c r="X165" s="126">
        <f t="shared" si="33"/>
        <v>3</v>
      </c>
      <c r="Y165" s="125">
        <f t="shared" si="34"/>
        <v>2</v>
      </c>
    </row>
    <row r="166" spans="1:25" x14ac:dyDescent="0.3">
      <c r="A166" s="398"/>
      <c r="B166" s="396"/>
      <c r="C166" s="411">
        <v>44893</v>
      </c>
      <c r="D166" s="49" t="s">
        <v>133</v>
      </c>
      <c r="E166" s="49" t="s">
        <v>18</v>
      </c>
      <c r="F166" s="49">
        <v>2</v>
      </c>
      <c r="G166" s="51">
        <v>0</v>
      </c>
      <c r="H166" s="5"/>
      <c r="I166" s="5" t="s">
        <v>446</v>
      </c>
      <c r="J166" s="5"/>
      <c r="K166" s="108"/>
      <c r="S166" s="117" t="s">
        <v>390</v>
      </c>
      <c r="T166" s="342" t="s">
        <v>18</v>
      </c>
      <c r="U166" s="342">
        <v>0</v>
      </c>
      <c r="V166" s="342">
        <v>2</v>
      </c>
      <c r="W166" s="287"/>
      <c r="X166" s="126">
        <f t="shared" si="33"/>
        <v>2</v>
      </c>
      <c r="Y166" s="125">
        <f t="shared" si="34"/>
        <v>3</v>
      </c>
    </row>
    <row r="167" spans="1:25" ht="15" thickBot="1" x14ac:dyDescent="0.35">
      <c r="A167" s="398"/>
      <c r="B167" s="396"/>
      <c r="C167" s="58"/>
      <c r="D167" s="79"/>
      <c r="E167" s="79"/>
      <c r="F167" s="79" t="s">
        <v>170</v>
      </c>
      <c r="G167" s="81" t="s">
        <v>171</v>
      </c>
      <c r="H167" s="8"/>
      <c r="I167" s="8"/>
      <c r="J167" s="5"/>
      <c r="K167" s="108"/>
      <c r="S167" s="117"/>
      <c r="T167" s="342"/>
      <c r="U167" s="342"/>
      <c r="V167" s="342"/>
      <c r="W167" s="95"/>
      <c r="X167" s="95"/>
      <c r="Y167" s="169"/>
    </row>
    <row r="168" spans="1:25" x14ac:dyDescent="0.3">
      <c r="A168" s="398"/>
      <c r="B168" s="396"/>
      <c r="C168" s="411">
        <v>44897</v>
      </c>
      <c r="D168" s="49" t="s">
        <v>90</v>
      </c>
      <c r="E168" s="49" t="s">
        <v>133</v>
      </c>
      <c r="F168" s="49">
        <v>2</v>
      </c>
      <c r="G168" s="51">
        <v>1</v>
      </c>
      <c r="H168" s="5"/>
      <c r="I168" s="5" t="s">
        <v>445</v>
      </c>
      <c r="J168" s="5"/>
      <c r="K168" s="108"/>
      <c r="S168" s="117"/>
      <c r="T168" s="342"/>
      <c r="U168" s="342"/>
      <c r="V168" s="342"/>
      <c r="W168" s="287"/>
      <c r="X168" s="126"/>
      <c r="Y168" s="125"/>
    </row>
    <row r="169" spans="1:25" ht="15" thickBot="1" x14ac:dyDescent="0.35">
      <c r="A169" s="398"/>
      <c r="B169" s="396"/>
      <c r="C169" s="58"/>
      <c r="D169" s="79"/>
      <c r="E169" s="79"/>
      <c r="F169" s="79" t="s">
        <v>172</v>
      </c>
      <c r="G169" s="81" t="s">
        <v>183</v>
      </c>
      <c r="H169" s="8"/>
      <c r="I169" s="8"/>
      <c r="J169" s="5"/>
      <c r="K169" s="108"/>
      <c r="S169" s="117"/>
      <c r="T169" s="342"/>
      <c r="U169" s="342"/>
      <c r="V169" s="342"/>
      <c r="W169" s="287"/>
      <c r="X169" s="126"/>
      <c r="Y169" s="125"/>
    </row>
    <row r="170" spans="1:25" x14ac:dyDescent="0.3">
      <c r="A170" s="398"/>
      <c r="B170" s="17"/>
      <c r="C170" s="411">
        <v>44897</v>
      </c>
      <c r="D170" s="43" t="s">
        <v>390</v>
      </c>
      <c r="E170" s="43" t="s">
        <v>18</v>
      </c>
      <c r="F170" s="49">
        <v>0</v>
      </c>
      <c r="G170" s="51">
        <v>2</v>
      </c>
      <c r="H170" s="5"/>
      <c r="I170" s="5" t="s">
        <v>447</v>
      </c>
      <c r="J170" s="5"/>
      <c r="K170" s="108"/>
      <c r="S170" s="117"/>
      <c r="T170" s="287"/>
      <c r="U170" s="287"/>
      <c r="V170" s="287"/>
      <c r="W170" s="287"/>
      <c r="X170" s="126"/>
      <c r="Y170" s="125"/>
    </row>
    <row r="171" spans="1:25" x14ac:dyDescent="0.3">
      <c r="A171" s="156"/>
      <c r="B171" s="17"/>
      <c r="C171" s="17"/>
      <c r="D171" s="43"/>
      <c r="E171" s="43"/>
      <c r="F171" s="49" t="s">
        <v>170</v>
      </c>
      <c r="G171" s="51" t="s">
        <v>173</v>
      </c>
      <c r="H171" s="5"/>
      <c r="I171" s="5"/>
      <c r="J171" s="5"/>
      <c r="K171" s="108"/>
      <c r="S171" s="117"/>
      <c r="T171" s="287"/>
      <c r="U171" s="287"/>
      <c r="V171" s="287"/>
      <c r="W171" s="287"/>
      <c r="X171" s="126"/>
      <c r="Y171" s="125"/>
    </row>
    <row r="172" spans="1:25" x14ac:dyDescent="0.3">
      <c r="A172" s="156"/>
      <c r="B172" s="17"/>
      <c r="C172" s="17"/>
      <c r="D172" s="17"/>
      <c r="E172" s="17"/>
      <c r="F172" s="396"/>
      <c r="G172" s="5"/>
      <c r="H172" s="5"/>
      <c r="I172" s="5"/>
      <c r="J172" s="5"/>
      <c r="K172" s="108"/>
      <c r="S172" s="117"/>
      <c r="T172" s="287"/>
      <c r="U172" s="287"/>
      <c r="V172" s="287"/>
      <c r="W172" s="287"/>
      <c r="X172" s="126"/>
      <c r="Y172" s="125"/>
    </row>
    <row r="173" spans="1:25" s="13" customFormat="1" ht="15" thickBot="1" x14ac:dyDescent="0.35">
      <c r="A173" s="398"/>
      <c r="B173" s="396" t="s">
        <v>298</v>
      </c>
      <c r="C173" s="396" t="s">
        <v>12</v>
      </c>
      <c r="D173" s="396" t="s">
        <v>13</v>
      </c>
      <c r="E173" s="396" t="s">
        <v>14</v>
      </c>
      <c r="F173" s="396" t="s">
        <v>15</v>
      </c>
      <c r="G173" s="5" t="s">
        <v>24</v>
      </c>
      <c r="H173" s="5" t="s">
        <v>25</v>
      </c>
      <c r="I173" s="5" t="s">
        <v>301</v>
      </c>
      <c r="J173" s="5"/>
      <c r="K173" s="108"/>
      <c r="S173" s="168"/>
      <c r="T173" s="95"/>
      <c r="U173" s="95"/>
      <c r="V173" s="95"/>
      <c r="W173" s="95"/>
      <c r="X173" s="95"/>
      <c r="Y173" s="169"/>
    </row>
    <row r="174" spans="1:25" s="13" customFormat="1" x14ac:dyDescent="0.3">
      <c r="A174" s="398" t="s">
        <v>113</v>
      </c>
      <c r="B174" s="14" t="s">
        <v>18</v>
      </c>
      <c r="C174" s="402">
        <v>3</v>
      </c>
      <c r="D174" s="402">
        <v>2</v>
      </c>
      <c r="E174" s="402">
        <v>0</v>
      </c>
      <c r="F174" s="402">
        <v>1</v>
      </c>
      <c r="G174" s="15">
        <v>4</v>
      </c>
      <c r="H174" s="15">
        <v>3</v>
      </c>
      <c r="I174" s="15">
        <v>6</v>
      </c>
      <c r="J174" s="86"/>
      <c r="K174" s="108"/>
      <c r="S174" s="117"/>
      <c r="T174" s="287"/>
      <c r="U174" s="287"/>
      <c r="V174" s="287"/>
      <c r="W174" s="287"/>
      <c r="X174" s="126"/>
      <c r="Y174" s="125"/>
    </row>
    <row r="175" spans="1:25" s="13" customFormat="1" x14ac:dyDescent="0.3">
      <c r="A175" s="398"/>
      <c r="B175" s="21" t="s">
        <v>90</v>
      </c>
      <c r="C175" s="17"/>
      <c r="D175" s="17"/>
      <c r="E175" s="17"/>
      <c r="F175" s="17"/>
      <c r="G175" s="18"/>
      <c r="H175" s="18"/>
      <c r="I175" s="18"/>
      <c r="J175" s="86"/>
      <c r="K175" s="108"/>
      <c r="S175" s="122"/>
      <c r="T175" s="17"/>
      <c r="U175" s="17"/>
      <c r="V175" s="17"/>
      <c r="W175" s="17"/>
      <c r="X175" s="126"/>
      <c r="Y175" s="125"/>
    </row>
    <row r="176" spans="1:25" x14ac:dyDescent="0.3">
      <c r="A176" s="398"/>
      <c r="B176" s="3" t="s">
        <v>133</v>
      </c>
      <c r="C176" s="396"/>
      <c r="D176" s="396"/>
      <c r="E176" s="396"/>
      <c r="F176" s="396"/>
      <c r="G176" s="5"/>
      <c r="H176" s="5"/>
      <c r="I176" s="5"/>
      <c r="J176" s="87"/>
      <c r="K176" s="108"/>
      <c r="S176" s="117"/>
      <c r="T176" s="287"/>
      <c r="U176" s="287"/>
      <c r="V176" s="287"/>
      <c r="W176" s="287"/>
      <c r="X176" s="126"/>
      <c r="Y176" s="125"/>
    </row>
    <row r="177" spans="1:25" ht="15" thickBot="1" x14ac:dyDescent="0.35">
      <c r="A177" s="398"/>
      <c r="B177" s="7" t="s">
        <v>390</v>
      </c>
      <c r="C177" s="401"/>
      <c r="D177" s="401"/>
      <c r="E177" s="401"/>
      <c r="F177" s="401"/>
      <c r="G177" s="8"/>
      <c r="H177" s="8"/>
      <c r="I177" s="8"/>
      <c r="J177" s="87"/>
      <c r="K177" s="108"/>
      <c r="S177" s="117"/>
      <c r="T177" s="287"/>
      <c r="U177" s="287"/>
      <c r="V177" s="287"/>
      <c r="W177" s="287"/>
      <c r="X177" s="126"/>
      <c r="Y177" s="125"/>
    </row>
    <row r="178" spans="1:25" ht="15" thickBot="1" x14ac:dyDescent="0.35">
      <c r="A178" s="110"/>
      <c r="B178" s="36"/>
      <c r="C178" s="36"/>
      <c r="D178" s="36"/>
      <c r="E178" s="36"/>
      <c r="F178" s="36"/>
      <c r="G178" s="37"/>
      <c r="H178" s="37"/>
      <c r="I178" s="37"/>
      <c r="J178" s="37"/>
      <c r="K178" s="193"/>
      <c r="L178" s="288"/>
      <c r="S178" s="122"/>
      <c r="T178" s="17"/>
      <c r="U178" s="17"/>
      <c r="V178" s="17"/>
      <c r="W178" s="17"/>
      <c r="X178" s="126"/>
      <c r="Y178" s="125"/>
    </row>
    <row r="179" spans="1:25" s="13" customFormat="1" ht="15" thickTop="1" x14ac:dyDescent="0.3">
      <c r="A179" s="398"/>
      <c r="B179" s="396"/>
      <c r="C179" s="396"/>
      <c r="D179" s="396"/>
      <c r="E179" s="396"/>
      <c r="F179" s="396"/>
      <c r="G179" s="5"/>
      <c r="H179" s="5"/>
      <c r="I179" s="5"/>
      <c r="J179" s="5"/>
      <c r="K179" s="108"/>
      <c r="L179" s="10"/>
      <c r="S179" s="117"/>
      <c r="T179" s="287"/>
      <c r="U179" s="287"/>
      <c r="V179" s="287"/>
      <c r="W179" s="287"/>
      <c r="X179" s="126"/>
      <c r="Y179" s="125"/>
    </row>
    <row r="180" spans="1:25" s="13" customFormat="1" ht="21" x14ac:dyDescent="0.4">
      <c r="A180" s="398"/>
      <c r="B180" s="396"/>
      <c r="C180" s="396"/>
      <c r="D180" s="396"/>
      <c r="E180" s="396"/>
      <c r="F180" s="395" t="s">
        <v>457</v>
      </c>
      <c r="G180" s="5"/>
      <c r="H180" s="5"/>
      <c r="I180" s="5"/>
      <c r="J180" s="5"/>
      <c r="K180" s="108"/>
      <c r="L180" s="10"/>
      <c r="S180" s="117"/>
      <c r="T180" s="287"/>
      <c r="U180" s="287"/>
      <c r="V180" s="287"/>
      <c r="W180" s="287"/>
      <c r="X180" s="126"/>
      <c r="Y180" s="125"/>
    </row>
    <row r="181" spans="1:25" x14ac:dyDescent="0.3">
      <c r="A181" s="398"/>
      <c r="B181" s="396"/>
      <c r="C181" s="49"/>
      <c r="D181" s="49"/>
      <c r="E181" s="49"/>
      <c r="F181" s="49"/>
      <c r="G181" s="51"/>
      <c r="H181" s="51"/>
      <c r="I181" s="51"/>
      <c r="J181" s="5"/>
      <c r="K181" s="108"/>
      <c r="L181" s="288"/>
      <c r="S181" s="117"/>
      <c r="T181" s="287"/>
      <c r="U181" s="287"/>
      <c r="V181" s="287"/>
      <c r="W181" s="287"/>
      <c r="X181" s="287"/>
      <c r="Y181" s="118"/>
    </row>
    <row r="182" spans="1:25" x14ac:dyDescent="0.3">
      <c r="A182" s="398"/>
      <c r="B182" s="396"/>
      <c r="C182" s="412">
        <v>44898</v>
      </c>
      <c r="D182" s="43" t="s">
        <v>63</v>
      </c>
      <c r="E182" s="43" t="s">
        <v>20</v>
      </c>
      <c r="F182" s="43">
        <v>3</v>
      </c>
      <c r="G182" s="48">
        <v>1</v>
      </c>
      <c r="H182" s="51"/>
      <c r="I182" s="51" t="s">
        <v>445</v>
      </c>
      <c r="J182" s="5"/>
      <c r="K182" s="108"/>
      <c r="L182" s="288"/>
      <c r="S182" s="122" t="s">
        <v>63</v>
      </c>
      <c r="T182" s="17" t="s">
        <v>20</v>
      </c>
      <c r="U182" s="17">
        <v>3</v>
      </c>
      <c r="V182" s="17">
        <v>1</v>
      </c>
      <c r="W182" s="17"/>
      <c r="X182" s="17">
        <f t="shared" ref="X182:X184" si="35">(IF(U182&gt;V182,3,IF(U182=V182,1,2)))</f>
        <v>3</v>
      </c>
      <c r="Y182" s="123">
        <f t="shared" ref="Y182:Y184" si="36">(IF(V182&gt;U182,3,IF(U182=V182,1,2)))</f>
        <v>2</v>
      </c>
    </row>
    <row r="183" spans="1:25" ht="15" thickBot="1" x14ac:dyDescent="0.35">
      <c r="A183" s="398"/>
      <c r="B183" s="396"/>
      <c r="C183" s="83"/>
      <c r="D183" s="80"/>
      <c r="E183" s="80"/>
      <c r="F183" s="80" t="s">
        <v>215</v>
      </c>
      <c r="G183" s="84" t="s">
        <v>171</v>
      </c>
      <c r="H183" s="81"/>
      <c r="I183" s="81"/>
      <c r="J183" s="5"/>
      <c r="K183" s="108"/>
      <c r="L183" s="288"/>
      <c r="S183" s="122" t="s">
        <v>5</v>
      </c>
      <c r="T183" s="17" t="s">
        <v>152</v>
      </c>
      <c r="U183" s="17">
        <v>2</v>
      </c>
      <c r="V183" s="17">
        <v>1</v>
      </c>
      <c r="W183" s="287"/>
      <c r="X183" s="126">
        <f t="shared" si="35"/>
        <v>3</v>
      </c>
      <c r="Y183" s="125">
        <f t="shared" si="36"/>
        <v>2</v>
      </c>
    </row>
    <row r="184" spans="1:25" s="13" customFormat="1" x14ac:dyDescent="0.3">
      <c r="A184" s="398"/>
      <c r="B184" s="396"/>
      <c r="C184" s="412">
        <v>44898</v>
      </c>
      <c r="D184" s="43" t="s">
        <v>5</v>
      </c>
      <c r="E184" s="43" t="s">
        <v>152</v>
      </c>
      <c r="F184" s="43">
        <v>2</v>
      </c>
      <c r="G184" s="48">
        <v>1</v>
      </c>
      <c r="H184" s="51"/>
      <c r="I184" s="51" t="s">
        <v>445</v>
      </c>
      <c r="J184" s="5"/>
      <c r="K184" s="108"/>
      <c r="L184" s="10"/>
      <c r="S184" s="117" t="s">
        <v>3</v>
      </c>
      <c r="T184" s="342" t="s">
        <v>61</v>
      </c>
      <c r="U184" s="342">
        <v>3</v>
      </c>
      <c r="V184" s="342">
        <v>1</v>
      </c>
      <c r="W184" s="17"/>
      <c r="X184" s="126">
        <f t="shared" si="35"/>
        <v>3</v>
      </c>
      <c r="Y184" s="125">
        <f t="shared" si="36"/>
        <v>2</v>
      </c>
    </row>
    <row r="185" spans="1:25" ht="15" thickBot="1" x14ac:dyDescent="0.35">
      <c r="A185" s="398"/>
      <c r="B185" s="396"/>
      <c r="C185" s="83"/>
      <c r="D185" s="80"/>
      <c r="E185" s="80"/>
      <c r="F185" s="80" t="s">
        <v>172</v>
      </c>
      <c r="G185" s="84" t="s">
        <v>171</v>
      </c>
      <c r="H185" s="81"/>
      <c r="I185" s="81"/>
      <c r="J185" s="5"/>
      <c r="K185" s="108"/>
      <c r="L185" s="288"/>
      <c r="S185" s="122" t="s">
        <v>74</v>
      </c>
      <c r="T185" s="17" t="s">
        <v>355</v>
      </c>
      <c r="U185" s="17">
        <v>3</v>
      </c>
      <c r="V185" s="17">
        <v>0</v>
      </c>
      <c r="W185" s="287"/>
      <c r="X185" s="126">
        <f t="shared" ref="X185:X189" si="37">(IF(U185&gt;V185,3,IF(U185=V185,1,2)))</f>
        <v>3</v>
      </c>
      <c r="Y185" s="125">
        <f t="shared" ref="Y185:Y189" si="38">(IF(V185&gt;U185,3,IF(U185=V185,1,2)))</f>
        <v>2</v>
      </c>
    </row>
    <row r="186" spans="1:25" x14ac:dyDescent="0.3">
      <c r="A186" s="398"/>
      <c r="B186" s="33"/>
      <c r="C186" s="412">
        <v>44899</v>
      </c>
      <c r="D186" s="43" t="s">
        <v>3</v>
      </c>
      <c r="E186" s="43" t="s">
        <v>61</v>
      </c>
      <c r="F186" s="43">
        <v>3</v>
      </c>
      <c r="G186" s="48">
        <v>1</v>
      </c>
      <c r="H186" s="51"/>
      <c r="I186" s="51" t="s">
        <v>444</v>
      </c>
      <c r="J186" s="5"/>
      <c r="K186" s="108"/>
      <c r="L186" s="288"/>
      <c r="S186" s="117" t="s">
        <v>351</v>
      </c>
      <c r="T186" s="342" t="s">
        <v>353</v>
      </c>
      <c r="U186" s="342">
        <v>2</v>
      </c>
      <c r="V186" s="342">
        <v>4</v>
      </c>
      <c r="W186" s="287" t="s">
        <v>214</v>
      </c>
      <c r="X186" s="126">
        <f t="shared" si="37"/>
        <v>2</v>
      </c>
      <c r="Y186" s="125">
        <f t="shared" si="38"/>
        <v>3</v>
      </c>
    </row>
    <row r="187" spans="1:25" ht="15" thickBot="1" x14ac:dyDescent="0.35">
      <c r="A187" s="398"/>
      <c r="B187" s="33"/>
      <c r="C187" s="83"/>
      <c r="D187" s="80"/>
      <c r="E187" s="80"/>
      <c r="F187" s="80" t="s">
        <v>172</v>
      </c>
      <c r="G187" s="84" t="s">
        <v>171</v>
      </c>
      <c r="H187" s="81"/>
      <c r="I187" s="81"/>
      <c r="J187" s="5"/>
      <c r="K187" s="108"/>
      <c r="L187" s="288"/>
      <c r="S187" s="117" t="s">
        <v>9</v>
      </c>
      <c r="T187" s="342" t="s">
        <v>90</v>
      </c>
      <c r="U187" s="342">
        <v>4</v>
      </c>
      <c r="V187" s="342">
        <v>1</v>
      </c>
      <c r="W187" s="287"/>
      <c r="X187" s="126">
        <f t="shared" si="37"/>
        <v>3</v>
      </c>
      <c r="Y187" s="125">
        <f t="shared" si="38"/>
        <v>2</v>
      </c>
    </row>
    <row r="188" spans="1:25" x14ac:dyDescent="0.3">
      <c r="A188" s="156"/>
      <c r="B188" s="396"/>
      <c r="C188" s="412">
        <v>44899</v>
      </c>
      <c r="D188" s="43" t="s">
        <v>74</v>
      </c>
      <c r="E188" s="43" t="s">
        <v>355</v>
      </c>
      <c r="F188" s="43">
        <v>3</v>
      </c>
      <c r="G188" s="48">
        <v>0</v>
      </c>
      <c r="H188" s="51"/>
      <c r="I188" s="51" t="s">
        <v>443</v>
      </c>
      <c r="J188" s="5"/>
      <c r="K188" s="108"/>
      <c r="L188" s="288"/>
      <c r="S188" s="117" t="s">
        <v>147</v>
      </c>
      <c r="T188" s="342" t="s">
        <v>35</v>
      </c>
      <c r="U188" s="342">
        <v>3</v>
      </c>
      <c r="V188" s="342">
        <v>0</v>
      </c>
      <c r="W188" s="17" t="s">
        <v>214</v>
      </c>
      <c r="X188" s="126">
        <f t="shared" si="37"/>
        <v>3</v>
      </c>
      <c r="Y188" s="125">
        <f t="shared" si="38"/>
        <v>2</v>
      </c>
    </row>
    <row r="189" spans="1:25" s="13" customFormat="1" ht="15" thickBot="1" x14ac:dyDescent="0.35">
      <c r="A189" s="156"/>
      <c r="B189" s="396"/>
      <c r="C189" s="83"/>
      <c r="D189" s="80"/>
      <c r="E189" s="80"/>
      <c r="F189" s="80" t="s">
        <v>215</v>
      </c>
      <c r="G189" s="84" t="s">
        <v>171</v>
      </c>
      <c r="H189" s="81"/>
      <c r="I189" s="81"/>
      <c r="J189" s="5"/>
      <c r="K189" s="108"/>
      <c r="L189" s="10"/>
      <c r="S189" s="117" t="s">
        <v>133</v>
      </c>
      <c r="T189" s="342" t="s">
        <v>43</v>
      </c>
      <c r="U189" s="342">
        <v>6</v>
      </c>
      <c r="V189" s="342">
        <v>1</v>
      </c>
      <c r="W189" s="287"/>
      <c r="X189" s="126">
        <f t="shared" si="37"/>
        <v>3</v>
      </c>
      <c r="Y189" s="125">
        <f t="shared" si="38"/>
        <v>2</v>
      </c>
    </row>
    <row r="190" spans="1:25" s="13" customFormat="1" x14ac:dyDescent="0.3">
      <c r="A190" s="156"/>
      <c r="B190" s="396"/>
      <c r="C190" s="412">
        <v>44900</v>
      </c>
      <c r="D190" s="43" t="s">
        <v>351</v>
      </c>
      <c r="E190" s="43" t="s">
        <v>353</v>
      </c>
      <c r="F190" s="43">
        <v>1</v>
      </c>
      <c r="G190" s="48">
        <v>3</v>
      </c>
      <c r="H190" s="51" t="s">
        <v>214</v>
      </c>
      <c r="I190" s="51" t="s">
        <v>447</v>
      </c>
      <c r="J190" s="5"/>
      <c r="K190" s="108"/>
      <c r="L190" s="10"/>
      <c r="S190" s="117"/>
      <c r="T190" s="342"/>
      <c r="U190" s="342"/>
      <c r="V190" s="342"/>
      <c r="W190" s="287"/>
      <c r="X190" s="287"/>
      <c r="Y190" s="118"/>
    </row>
    <row r="191" spans="1:25" s="13" customFormat="1" x14ac:dyDescent="0.3">
      <c r="A191" s="156"/>
      <c r="B191" s="396"/>
      <c r="C191" s="82"/>
      <c r="D191" s="43"/>
      <c r="E191" s="43"/>
      <c r="F191" s="43">
        <v>1</v>
      </c>
      <c r="G191" s="48">
        <v>1</v>
      </c>
      <c r="H191" s="51" t="s">
        <v>30</v>
      </c>
      <c r="I191" s="51"/>
      <c r="J191" s="5"/>
      <c r="K191" s="108"/>
      <c r="L191" s="10"/>
      <c r="S191" s="117"/>
      <c r="T191" s="342"/>
      <c r="U191" s="342"/>
      <c r="V191" s="342"/>
      <c r="W191" s="342"/>
      <c r="X191" s="342"/>
      <c r="Y191" s="118"/>
    </row>
    <row r="192" spans="1:25" s="13" customFormat="1" x14ac:dyDescent="0.3">
      <c r="A192" s="156"/>
      <c r="B192" s="396"/>
      <c r="C192" s="82"/>
      <c r="D192" s="43"/>
      <c r="E192" s="43"/>
      <c r="F192" s="43">
        <v>1</v>
      </c>
      <c r="G192" s="48">
        <v>1</v>
      </c>
      <c r="H192" s="51"/>
      <c r="I192" s="51"/>
      <c r="J192" s="5"/>
      <c r="K192" s="108"/>
      <c r="L192" s="10"/>
      <c r="S192" s="117"/>
      <c r="T192" s="342"/>
      <c r="U192" s="342"/>
      <c r="V192" s="342"/>
      <c r="W192" s="342"/>
      <c r="X192" s="342"/>
      <c r="Y192" s="118"/>
    </row>
    <row r="193" spans="1:25" s="13" customFormat="1" ht="15" thickBot="1" x14ac:dyDescent="0.35">
      <c r="A193" s="156"/>
      <c r="B193" s="396"/>
      <c r="C193" s="83"/>
      <c r="D193" s="80"/>
      <c r="E193" s="80"/>
      <c r="F193" s="80" t="s">
        <v>172</v>
      </c>
      <c r="G193" s="84" t="s">
        <v>171</v>
      </c>
      <c r="H193" s="81"/>
      <c r="I193" s="81"/>
      <c r="J193" s="5"/>
      <c r="K193" s="108"/>
      <c r="S193" s="117"/>
      <c r="T193" s="342"/>
      <c r="U193" s="342"/>
      <c r="V193" s="342"/>
      <c r="W193" s="287"/>
      <c r="X193" s="287"/>
      <c r="Y193" s="118"/>
    </row>
    <row r="194" spans="1:25" s="13" customFormat="1" x14ac:dyDescent="0.3">
      <c r="A194" s="156"/>
      <c r="B194" s="396"/>
      <c r="C194" s="412">
        <v>44900</v>
      </c>
      <c r="D194" s="43" t="s">
        <v>9</v>
      </c>
      <c r="E194" s="43" t="s">
        <v>90</v>
      </c>
      <c r="F194" s="43">
        <v>4</v>
      </c>
      <c r="G194" s="48">
        <v>1</v>
      </c>
      <c r="H194" s="51"/>
      <c r="I194" s="51" t="s">
        <v>444</v>
      </c>
      <c r="J194" s="5"/>
      <c r="K194" s="108"/>
      <c r="S194" s="117"/>
      <c r="T194" s="342"/>
      <c r="U194" s="342"/>
      <c r="V194" s="342"/>
      <c r="W194" s="287"/>
      <c r="X194" s="287"/>
      <c r="Y194" s="118"/>
    </row>
    <row r="195" spans="1:25" ht="15" thickBot="1" x14ac:dyDescent="0.35">
      <c r="A195" s="156"/>
      <c r="B195" s="396"/>
      <c r="C195" s="83"/>
      <c r="D195" s="80"/>
      <c r="E195" s="80"/>
      <c r="F195" s="80" t="s">
        <v>268</v>
      </c>
      <c r="G195" s="84" t="s">
        <v>171</v>
      </c>
      <c r="H195" s="81"/>
      <c r="I195" s="81"/>
      <c r="J195" s="5"/>
      <c r="K195" s="108"/>
      <c r="L195" s="288"/>
      <c r="S195" s="117"/>
      <c r="T195" s="342"/>
      <c r="U195" s="342"/>
      <c r="V195" s="342"/>
      <c r="W195" s="287"/>
      <c r="X195" s="287"/>
      <c r="Y195" s="118"/>
    </row>
    <row r="196" spans="1:25" x14ac:dyDescent="0.3">
      <c r="A196" s="156"/>
      <c r="B196" s="396"/>
      <c r="C196" s="412">
        <v>44901</v>
      </c>
      <c r="D196" s="43" t="s">
        <v>147</v>
      </c>
      <c r="E196" s="43" t="s">
        <v>35</v>
      </c>
      <c r="F196" s="43">
        <v>3</v>
      </c>
      <c r="G196" s="48">
        <v>0</v>
      </c>
      <c r="H196" s="51" t="s">
        <v>214</v>
      </c>
      <c r="I196" s="51" t="s">
        <v>445</v>
      </c>
      <c r="J196" s="5"/>
      <c r="K196" s="108"/>
      <c r="L196" s="288"/>
      <c r="S196" s="117"/>
      <c r="T196" s="342"/>
      <c r="U196" s="342"/>
      <c r="V196" s="342"/>
      <c r="W196" s="287"/>
      <c r="X196" s="126"/>
      <c r="Y196" s="125"/>
    </row>
    <row r="197" spans="1:25" x14ac:dyDescent="0.3">
      <c r="A197" s="156"/>
      <c r="B197" s="396"/>
      <c r="C197" s="82"/>
      <c r="D197" s="43"/>
      <c r="E197" s="43"/>
      <c r="F197" s="43">
        <v>0</v>
      </c>
      <c r="G197" s="48">
        <v>0</v>
      </c>
      <c r="H197" s="51" t="s">
        <v>30</v>
      </c>
      <c r="I197" s="51"/>
      <c r="J197" s="5"/>
      <c r="K197" s="108"/>
      <c r="L197" s="343"/>
      <c r="S197" s="117"/>
      <c r="T197" s="342"/>
      <c r="U197" s="342"/>
      <c r="V197" s="342"/>
      <c r="W197" s="342"/>
      <c r="X197" s="126"/>
      <c r="Y197" s="125"/>
    </row>
    <row r="198" spans="1:25" s="13" customFormat="1" x14ac:dyDescent="0.3">
      <c r="A198" s="156"/>
      <c r="B198" s="396"/>
      <c r="C198" s="82"/>
      <c r="D198" s="43"/>
      <c r="E198" s="43"/>
      <c r="F198" s="43">
        <v>0</v>
      </c>
      <c r="G198" s="48">
        <v>0</v>
      </c>
      <c r="H198" s="51"/>
      <c r="I198" s="51"/>
      <c r="J198" s="5"/>
      <c r="K198" s="108"/>
      <c r="L198" s="10"/>
      <c r="S198" s="117"/>
      <c r="T198" s="342"/>
      <c r="U198" s="342"/>
      <c r="V198" s="342"/>
      <c r="W198" s="287"/>
      <c r="X198" s="287"/>
      <c r="Y198" s="118"/>
    </row>
    <row r="199" spans="1:25" s="13" customFormat="1" ht="15" thickBot="1" x14ac:dyDescent="0.35">
      <c r="A199" s="156"/>
      <c r="B199" s="396"/>
      <c r="C199" s="83"/>
      <c r="D199" s="80"/>
      <c r="E199" s="80"/>
      <c r="F199" s="80" t="s">
        <v>170</v>
      </c>
      <c r="G199" s="84" t="s">
        <v>171</v>
      </c>
      <c r="H199" s="81"/>
      <c r="I199" s="81"/>
      <c r="J199" s="5"/>
      <c r="K199" s="108"/>
      <c r="L199" s="10"/>
      <c r="S199" s="117"/>
      <c r="T199" s="342"/>
      <c r="U199" s="342"/>
      <c r="V199" s="342"/>
      <c r="W199" s="287"/>
      <c r="X199" s="287"/>
      <c r="Y199" s="118"/>
    </row>
    <row r="200" spans="1:25" s="13" customFormat="1" x14ac:dyDescent="0.3">
      <c r="A200" s="156"/>
      <c r="B200" s="396"/>
      <c r="C200" s="412">
        <v>44901</v>
      </c>
      <c r="D200" s="43" t="s">
        <v>133</v>
      </c>
      <c r="E200" s="43" t="s">
        <v>43</v>
      </c>
      <c r="F200" s="43">
        <v>6</v>
      </c>
      <c r="G200" s="48">
        <v>1</v>
      </c>
      <c r="H200" s="51"/>
      <c r="I200" s="51" t="s">
        <v>446</v>
      </c>
      <c r="J200" s="5"/>
      <c r="K200" s="108"/>
      <c r="L200" s="10"/>
      <c r="S200" s="117"/>
      <c r="T200" s="287"/>
      <c r="U200" s="287"/>
      <c r="V200" s="287"/>
      <c r="W200" s="287"/>
      <c r="X200" s="287"/>
      <c r="Y200" s="118"/>
    </row>
    <row r="201" spans="1:25" s="13" customFormat="1" x14ac:dyDescent="0.3">
      <c r="A201" s="156"/>
      <c r="B201" s="396"/>
      <c r="C201" s="49"/>
      <c r="D201" s="49"/>
      <c r="E201" s="49"/>
      <c r="F201" s="49" t="s">
        <v>215</v>
      </c>
      <c r="G201" s="51" t="s">
        <v>171</v>
      </c>
      <c r="H201" s="51"/>
      <c r="I201" s="51"/>
      <c r="J201" s="5"/>
      <c r="K201" s="108"/>
      <c r="L201" s="10"/>
      <c r="S201" s="117"/>
      <c r="T201" s="287"/>
      <c r="U201" s="287"/>
      <c r="V201" s="287"/>
      <c r="W201" s="287"/>
      <c r="X201" s="126"/>
      <c r="Y201" s="125"/>
    </row>
    <row r="202" spans="1:25" s="13" customFormat="1" x14ac:dyDescent="0.3">
      <c r="A202" s="156"/>
      <c r="B202" s="396"/>
      <c r="C202" s="396"/>
      <c r="D202" s="396"/>
      <c r="E202" s="396"/>
      <c r="F202" s="396"/>
      <c r="G202" s="5"/>
      <c r="H202" s="5"/>
      <c r="I202" s="5"/>
      <c r="J202" s="5"/>
      <c r="K202" s="108"/>
      <c r="S202" s="117"/>
      <c r="T202" s="287"/>
      <c r="U202" s="287"/>
      <c r="V202" s="287"/>
      <c r="W202" s="287"/>
      <c r="X202" s="126"/>
      <c r="Y202" s="125"/>
    </row>
    <row r="203" spans="1:25" s="13" customFormat="1" x14ac:dyDescent="0.3">
      <c r="A203" s="156"/>
      <c r="B203" s="396"/>
      <c r="C203" s="396"/>
      <c r="D203" s="396"/>
      <c r="E203" s="396"/>
      <c r="F203" s="396"/>
      <c r="G203" s="5"/>
      <c r="H203" s="5"/>
      <c r="I203" s="5"/>
      <c r="J203" s="5"/>
      <c r="K203" s="108"/>
      <c r="L203" s="10"/>
      <c r="S203" s="117"/>
      <c r="T203" s="287"/>
      <c r="U203" s="287"/>
      <c r="V203" s="287"/>
      <c r="W203" s="287"/>
      <c r="X203" s="126"/>
      <c r="Y203" s="125"/>
    </row>
    <row r="204" spans="1:25" s="13" customFormat="1" ht="21" x14ac:dyDescent="0.4">
      <c r="A204" s="156"/>
      <c r="B204" s="396"/>
      <c r="C204" s="396"/>
      <c r="D204" s="396"/>
      <c r="E204" s="396"/>
      <c r="F204" s="395" t="s">
        <v>456</v>
      </c>
      <c r="G204" s="5"/>
      <c r="H204" s="5"/>
      <c r="I204" s="5"/>
      <c r="J204" s="5"/>
      <c r="K204" s="108"/>
      <c r="S204" s="117"/>
      <c r="T204" s="287"/>
      <c r="U204" s="287"/>
      <c r="V204" s="287"/>
      <c r="W204" s="287"/>
      <c r="X204" s="126"/>
      <c r="Y204" s="125"/>
    </row>
    <row r="205" spans="1:25" s="13" customFormat="1" x14ac:dyDescent="0.3">
      <c r="A205" s="156"/>
      <c r="B205" s="396"/>
      <c r="C205" s="396"/>
      <c r="D205" s="49"/>
      <c r="E205" s="49"/>
      <c r="F205" s="49"/>
      <c r="G205" s="51"/>
      <c r="H205" s="51"/>
      <c r="I205" s="5"/>
      <c r="J205" s="5"/>
      <c r="K205" s="108"/>
      <c r="L205" s="10"/>
      <c r="S205" s="117"/>
      <c r="T205" s="287"/>
      <c r="U205" s="287"/>
      <c r="V205" s="287"/>
      <c r="W205" s="287"/>
      <c r="X205" s="126"/>
      <c r="Y205" s="125"/>
    </row>
    <row r="206" spans="1:25" s="13" customFormat="1" x14ac:dyDescent="0.3">
      <c r="A206" s="156"/>
      <c r="B206" s="396"/>
      <c r="C206" s="411">
        <v>44904</v>
      </c>
      <c r="D206" s="49" t="s">
        <v>353</v>
      </c>
      <c r="E206" s="43" t="s">
        <v>9</v>
      </c>
      <c r="F206" s="43">
        <v>4</v>
      </c>
      <c r="G206" s="48">
        <v>2</v>
      </c>
      <c r="H206" s="48" t="s">
        <v>214</v>
      </c>
      <c r="I206" s="5" t="s">
        <v>445</v>
      </c>
      <c r="J206" s="5"/>
      <c r="K206" s="108"/>
      <c r="L206" s="10"/>
      <c r="S206" s="117" t="s">
        <v>353</v>
      </c>
      <c r="T206" s="287" t="s">
        <v>9</v>
      </c>
      <c r="U206" s="287">
        <v>5</v>
      </c>
      <c r="V206" s="287">
        <v>3</v>
      </c>
      <c r="W206" s="287" t="s">
        <v>214</v>
      </c>
      <c r="X206" s="126">
        <f t="shared" ref="X206:X209" si="39">(IF(U206&gt;V206,3,IF(U206=V206,1,2)))</f>
        <v>3</v>
      </c>
      <c r="Y206" s="125">
        <f t="shared" ref="Y206:Y209" si="40">(IF(V206&gt;U206,3,IF(U206=V206,1,2)))</f>
        <v>2</v>
      </c>
    </row>
    <row r="207" spans="1:25" s="13" customFormat="1" x14ac:dyDescent="0.3">
      <c r="A207" s="156"/>
      <c r="B207" s="396"/>
      <c r="C207" s="40"/>
      <c r="D207" s="49"/>
      <c r="E207" s="43"/>
      <c r="F207" s="43">
        <v>1</v>
      </c>
      <c r="G207" s="48">
        <v>1</v>
      </c>
      <c r="H207" s="48" t="s">
        <v>30</v>
      </c>
      <c r="I207" s="5"/>
      <c r="J207" s="5"/>
      <c r="K207" s="108"/>
      <c r="L207" s="10"/>
      <c r="S207" s="117" t="s">
        <v>63</v>
      </c>
      <c r="T207" s="342" t="s">
        <v>5</v>
      </c>
      <c r="U207" s="342">
        <v>5</v>
      </c>
      <c r="V207" s="342">
        <v>6</v>
      </c>
      <c r="W207" s="342" t="s">
        <v>214</v>
      </c>
      <c r="X207" s="126">
        <f t="shared" si="39"/>
        <v>2</v>
      </c>
      <c r="Y207" s="125">
        <f t="shared" si="40"/>
        <v>3</v>
      </c>
    </row>
    <row r="208" spans="1:25" s="13" customFormat="1" x14ac:dyDescent="0.3">
      <c r="A208" s="156"/>
      <c r="B208" s="396"/>
      <c r="C208" s="40"/>
      <c r="D208" s="49"/>
      <c r="E208" s="43"/>
      <c r="F208" s="43">
        <v>0</v>
      </c>
      <c r="G208" s="48">
        <v>0</v>
      </c>
      <c r="H208" s="48"/>
      <c r="I208" s="5"/>
      <c r="J208" s="5"/>
      <c r="K208" s="108"/>
      <c r="L208" s="10"/>
      <c r="S208" s="117" t="s">
        <v>147</v>
      </c>
      <c r="T208" s="342" t="s">
        <v>133</v>
      </c>
      <c r="U208" s="342">
        <v>1</v>
      </c>
      <c r="V208" s="342">
        <v>0</v>
      </c>
      <c r="W208" s="342"/>
      <c r="X208" s="126">
        <f t="shared" si="39"/>
        <v>3</v>
      </c>
      <c r="Y208" s="125">
        <f t="shared" si="40"/>
        <v>2</v>
      </c>
    </row>
    <row r="209" spans="1:25" s="13" customFormat="1" ht="15" thickBot="1" x14ac:dyDescent="0.35">
      <c r="A209" s="156"/>
      <c r="B209" s="396"/>
      <c r="C209" s="58"/>
      <c r="D209" s="80"/>
      <c r="E209" s="80"/>
      <c r="F209" s="80" t="s">
        <v>170</v>
      </c>
      <c r="G209" s="84" t="s">
        <v>171</v>
      </c>
      <c r="H209" s="84"/>
      <c r="I209" s="8"/>
      <c r="J209" s="5"/>
      <c r="K209" s="108"/>
      <c r="L209" s="10"/>
      <c r="S209" s="117" t="s">
        <v>74</v>
      </c>
      <c r="T209" s="343" t="s">
        <v>3</v>
      </c>
      <c r="U209" s="343">
        <v>1</v>
      </c>
      <c r="V209" s="343">
        <v>2</v>
      </c>
      <c r="W209" s="342"/>
      <c r="X209" s="126">
        <f t="shared" si="39"/>
        <v>2</v>
      </c>
      <c r="Y209" s="125">
        <f t="shared" si="40"/>
        <v>3</v>
      </c>
    </row>
    <row r="210" spans="1:25" s="13" customFormat="1" x14ac:dyDescent="0.3">
      <c r="A210" s="156"/>
      <c r="B210" s="396"/>
      <c r="C210" s="411">
        <v>44904</v>
      </c>
      <c r="D210" s="43" t="s">
        <v>63</v>
      </c>
      <c r="E210" s="43" t="s">
        <v>5</v>
      </c>
      <c r="F210" s="43">
        <v>3</v>
      </c>
      <c r="G210" s="48">
        <v>4</v>
      </c>
      <c r="H210" s="48" t="s">
        <v>214</v>
      </c>
      <c r="I210" s="5" t="s">
        <v>446</v>
      </c>
      <c r="J210" s="5"/>
      <c r="K210" s="108"/>
      <c r="S210" s="117"/>
      <c r="T210" s="343"/>
      <c r="U210" s="343"/>
      <c r="V210" s="343"/>
      <c r="W210" s="287"/>
      <c r="X210" s="126"/>
      <c r="Y210" s="125"/>
    </row>
    <row r="211" spans="1:25" s="13" customFormat="1" x14ac:dyDescent="0.3">
      <c r="A211" s="156"/>
      <c r="B211" s="396"/>
      <c r="C211" s="40"/>
      <c r="D211" s="43"/>
      <c r="E211" s="43"/>
      <c r="F211" s="43">
        <v>2</v>
      </c>
      <c r="G211" s="48">
        <v>2</v>
      </c>
      <c r="H211" s="48" t="s">
        <v>30</v>
      </c>
      <c r="I211" s="5"/>
      <c r="J211" s="5"/>
      <c r="K211" s="108"/>
      <c r="S211" s="117"/>
      <c r="T211" s="343"/>
      <c r="U211" s="343"/>
      <c r="V211" s="343"/>
      <c r="W211" s="342"/>
      <c r="X211" s="126"/>
      <c r="Y211" s="125"/>
    </row>
    <row r="212" spans="1:25" s="13" customFormat="1" x14ac:dyDescent="0.3">
      <c r="A212" s="156"/>
      <c r="B212" s="396"/>
      <c r="C212" s="40"/>
      <c r="D212" s="43"/>
      <c r="E212" s="43"/>
      <c r="F212" s="43">
        <v>2</v>
      </c>
      <c r="G212" s="48">
        <v>2</v>
      </c>
      <c r="H212" s="48"/>
      <c r="I212" s="5"/>
      <c r="J212" s="5"/>
      <c r="K212" s="108"/>
      <c r="S212" s="117"/>
      <c r="T212" s="343"/>
      <c r="U212" s="343"/>
      <c r="V212" s="343"/>
      <c r="W212" s="342"/>
      <c r="X212" s="342"/>
      <c r="Y212" s="118"/>
    </row>
    <row r="213" spans="1:25" s="13" customFormat="1" ht="15" thickBot="1" x14ac:dyDescent="0.35">
      <c r="A213" s="156"/>
      <c r="B213" s="396"/>
      <c r="C213" s="58"/>
      <c r="D213" s="80"/>
      <c r="E213" s="80"/>
      <c r="F213" s="80" t="s">
        <v>170</v>
      </c>
      <c r="G213" s="84" t="s">
        <v>183</v>
      </c>
      <c r="H213" s="84"/>
      <c r="I213" s="8"/>
      <c r="J213" s="5"/>
      <c r="K213" s="108"/>
      <c r="L213" s="10"/>
      <c r="S213" s="117"/>
      <c r="T213" s="343"/>
      <c r="U213" s="343"/>
      <c r="V213" s="343"/>
      <c r="W213" s="287"/>
      <c r="X213" s="287"/>
      <c r="Y213" s="118"/>
    </row>
    <row r="214" spans="1:25" s="13" customFormat="1" x14ac:dyDescent="0.3">
      <c r="A214" s="156"/>
      <c r="B214" s="396"/>
      <c r="C214" s="411">
        <v>44905</v>
      </c>
      <c r="D214" s="43" t="s">
        <v>147</v>
      </c>
      <c r="E214" s="43" t="s">
        <v>133</v>
      </c>
      <c r="F214" s="43">
        <v>1</v>
      </c>
      <c r="G214" s="48">
        <v>0</v>
      </c>
      <c r="H214" s="48"/>
      <c r="I214" s="5" t="s">
        <v>444</v>
      </c>
      <c r="J214" s="5"/>
      <c r="K214" s="108"/>
      <c r="S214" s="117"/>
      <c r="T214" s="343"/>
      <c r="U214" s="343"/>
      <c r="V214" s="343"/>
      <c r="W214" s="287"/>
      <c r="X214" s="287"/>
      <c r="Y214" s="118"/>
    </row>
    <row r="215" spans="1:25" s="13" customFormat="1" ht="15" thickBot="1" x14ac:dyDescent="0.35">
      <c r="A215" s="156"/>
      <c r="B215" s="396"/>
      <c r="C215" s="58"/>
      <c r="D215" s="80"/>
      <c r="E215" s="80"/>
      <c r="F215" s="80" t="s">
        <v>172</v>
      </c>
      <c r="G215" s="84" t="s">
        <v>171</v>
      </c>
      <c r="H215" s="84"/>
      <c r="I215" s="8"/>
      <c r="J215" s="5"/>
      <c r="K215" s="108"/>
      <c r="S215" s="117"/>
      <c r="T215" s="343"/>
      <c r="U215" s="343"/>
      <c r="V215" s="343"/>
      <c r="W215" s="287"/>
      <c r="X215" s="287"/>
      <c r="Y215" s="118"/>
    </row>
    <row r="216" spans="1:25" s="13" customFormat="1" x14ac:dyDescent="0.3">
      <c r="A216" s="156"/>
      <c r="B216" s="396"/>
      <c r="C216" s="411">
        <v>44905</v>
      </c>
      <c r="D216" s="43" t="s">
        <v>74</v>
      </c>
      <c r="E216" s="43" t="s">
        <v>3</v>
      </c>
      <c r="F216" s="43">
        <v>1</v>
      </c>
      <c r="G216" s="48">
        <v>2</v>
      </c>
      <c r="H216" s="48"/>
      <c r="I216" s="5" t="s">
        <v>443</v>
      </c>
      <c r="J216" s="5"/>
      <c r="K216" s="108"/>
      <c r="L216" s="10"/>
      <c r="S216" s="117"/>
      <c r="T216" s="288"/>
      <c r="U216" s="288"/>
      <c r="V216" s="288"/>
      <c r="W216" s="288"/>
      <c r="X216" s="288"/>
      <c r="Y216" s="118"/>
    </row>
    <row r="217" spans="1:25" s="13" customFormat="1" x14ac:dyDescent="0.3">
      <c r="A217" s="156"/>
      <c r="B217" s="396"/>
      <c r="C217" s="396"/>
      <c r="D217" s="43"/>
      <c r="E217" s="43"/>
      <c r="F217" s="43" t="s">
        <v>170</v>
      </c>
      <c r="G217" s="48" t="s">
        <v>183</v>
      </c>
      <c r="H217" s="48"/>
      <c r="I217" s="5"/>
      <c r="J217" s="5"/>
      <c r="K217" s="108"/>
      <c r="L217" s="10"/>
      <c r="S217" s="117"/>
      <c r="T217" s="288"/>
      <c r="U217" s="288"/>
      <c r="V217" s="288"/>
      <c r="W217" s="288"/>
      <c r="X217" s="126"/>
      <c r="Y217" s="125"/>
    </row>
    <row r="218" spans="1:25" s="13" customFormat="1" x14ac:dyDescent="0.3">
      <c r="A218" s="156"/>
      <c r="B218" s="396"/>
      <c r="C218" s="396"/>
      <c r="D218" s="17"/>
      <c r="E218" s="17"/>
      <c r="F218" s="17"/>
      <c r="G218" s="18"/>
      <c r="H218" s="18"/>
      <c r="I218" s="5"/>
      <c r="J218" s="5"/>
      <c r="K218" s="108"/>
      <c r="L218" s="10"/>
      <c r="S218" s="117"/>
      <c r="T218" s="288"/>
      <c r="U218" s="288"/>
      <c r="V218" s="288"/>
      <c r="W218" s="288"/>
      <c r="X218" s="126"/>
      <c r="Y218" s="125"/>
    </row>
    <row r="219" spans="1:25" s="13" customFormat="1" x14ac:dyDescent="0.3">
      <c r="A219" s="24"/>
      <c r="B219" s="17"/>
      <c r="C219" s="17"/>
      <c r="D219" s="17"/>
      <c r="E219" s="17"/>
      <c r="F219" s="17"/>
      <c r="G219" s="18"/>
      <c r="H219" s="18"/>
      <c r="I219" s="18"/>
      <c r="J219" s="18"/>
      <c r="K219" s="108"/>
      <c r="L219" s="10"/>
      <c r="S219" s="117"/>
      <c r="T219" s="288"/>
      <c r="U219" s="288"/>
      <c r="V219" s="288"/>
      <c r="W219" s="288"/>
      <c r="X219" s="288"/>
      <c r="Y219" s="118"/>
    </row>
    <row r="220" spans="1:25" s="13" customFormat="1" ht="21" x14ac:dyDescent="0.4">
      <c r="A220" s="24"/>
      <c r="B220" s="17"/>
      <c r="C220" s="17"/>
      <c r="D220" s="17"/>
      <c r="E220" s="17"/>
      <c r="F220" s="70" t="s">
        <v>458</v>
      </c>
      <c r="G220" s="18"/>
      <c r="H220" s="18"/>
      <c r="I220" s="18"/>
      <c r="J220" s="18"/>
      <c r="K220" s="108"/>
      <c r="S220" s="117"/>
      <c r="T220" s="288"/>
      <c r="U220" s="288"/>
      <c r="V220" s="288"/>
      <c r="W220" s="288"/>
      <c r="X220" s="288"/>
      <c r="Y220" s="118"/>
    </row>
    <row r="221" spans="1:25" s="13" customFormat="1" x14ac:dyDescent="0.3">
      <c r="A221" s="156"/>
      <c r="B221" s="28"/>
      <c r="C221" s="396"/>
      <c r="D221" s="49"/>
      <c r="E221" s="49"/>
      <c r="F221" s="49"/>
      <c r="G221" s="51"/>
      <c r="H221" s="5"/>
      <c r="I221" s="5"/>
      <c r="J221" s="5"/>
      <c r="K221" s="108"/>
      <c r="L221" s="10"/>
      <c r="S221" s="117"/>
      <c r="T221" s="288"/>
      <c r="U221" s="288"/>
      <c r="V221" s="288"/>
      <c r="W221" s="288"/>
      <c r="X221" s="126"/>
      <c r="Y221" s="125"/>
    </row>
    <row r="222" spans="1:25" x14ac:dyDescent="0.3">
      <c r="A222" s="186"/>
      <c r="B222" s="95"/>
      <c r="C222" s="413">
        <v>44908</v>
      </c>
      <c r="D222" s="43" t="s">
        <v>5</v>
      </c>
      <c r="E222" s="43" t="s">
        <v>353</v>
      </c>
      <c r="F222" s="43">
        <v>3</v>
      </c>
      <c r="G222" s="43">
        <v>0</v>
      </c>
      <c r="H222" s="17"/>
      <c r="I222" s="18" t="s">
        <v>446</v>
      </c>
      <c r="J222" s="18"/>
      <c r="K222" s="109"/>
      <c r="S222" s="117" t="s">
        <v>5</v>
      </c>
      <c r="T222" s="288" t="s">
        <v>353</v>
      </c>
      <c r="U222" s="288">
        <v>3</v>
      </c>
      <c r="V222" s="288">
        <v>0</v>
      </c>
      <c r="W222" s="288"/>
      <c r="X222" s="126">
        <f t="shared" ref="X222:X223" si="41">(IF(U222&gt;V222,3,IF(U222=V222,1,2)))</f>
        <v>3</v>
      </c>
      <c r="Y222" s="125">
        <f t="shared" ref="Y222:Y223" si="42">(IF(V222&gt;U222,3,IF(U222=V222,1,2)))</f>
        <v>2</v>
      </c>
    </row>
    <row r="223" spans="1:25" ht="15" thickBot="1" x14ac:dyDescent="0.35">
      <c r="A223" s="186"/>
      <c r="B223" s="95"/>
      <c r="C223" s="62"/>
      <c r="D223" s="80"/>
      <c r="E223" s="80"/>
      <c r="F223" s="80" t="s">
        <v>215</v>
      </c>
      <c r="G223" s="80" t="s">
        <v>171</v>
      </c>
      <c r="H223" s="30"/>
      <c r="I223" s="31"/>
      <c r="J223" s="18"/>
      <c r="K223" s="109"/>
      <c r="S223" s="117" t="s">
        <v>3</v>
      </c>
      <c r="T223" s="343" t="s">
        <v>147</v>
      </c>
      <c r="U223" s="343">
        <v>2</v>
      </c>
      <c r="V223" s="343">
        <v>0</v>
      </c>
      <c r="W223" s="288"/>
      <c r="X223" s="126">
        <f t="shared" si="41"/>
        <v>3</v>
      </c>
      <c r="Y223" s="125">
        <f t="shared" si="42"/>
        <v>2</v>
      </c>
    </row>
    <row r="224" spans="1:25" x14ac:dyDescent="0.3">
      <c r="A224" s="186"/>
      <c r="B224" s="95"/>
      <c r="C224" s="413">
        <v>44909</v>
      </c>
      <c r="D224" s="43" t="s">
        <v>3</v>
      </c>
      <c r="E224" s="43" t="s">
        <v>147</v>
      </c>
      <c r="F224" s="43">
        <v>2</v>
      </c>
      <c r="G224" s="43">
        <v>0</v>
      </c>
      <c r="H224" s="17"/>
      <c r="I224" s="18" t="s">
        <v>443</v>
      </c>
      <c r="J224" s="18"/>
      <c r="K224" s="109"/>
      <c r="S224" s="117"/>
      <c r="T224" s="288"/>
      <c r="U224" s="288"/>
      <c r="V224" s="288"/>
      <c r="W224" s="288"/>
      <c r="X224" s="126"/>
      <c r="Y224" s="125"/>
    </row>
    <row r="225" spans="1:25" x14ac:dyDescent="0.3">
      <c r="A225" s="156"/>
      <c r="B225" s="396"/>
      <c r="C225" s="396"/>
      <c r="D225" s="49"/>
      <c r="E225" s="49"/>
      <c r="F225" s="49" t="s">
        <v>172</v>
      </c>
      <c r="G225" s="51" t="s">
        <v>171</v>
      </c>
      <c r="H225" s="5"/>
      <c r="I225" s="5"/>
      <c r="J225" s="5"/>
      <c r="K225" s="108"/>
      <c r="S225" s="117"/>
      <c r="T225" s="288"/>
      <c r="U225" s="288"/>
      <c r="V225" s="288"/>
      <c r="W225" s="288"/>
      <c r="X225" s="288"/>
      <c r="Y225" s="118"/>
    </row>
    <row r="226" spans="1:25" x14ac:dyDescent="0.3">
      <c r="A226" s="156"/>
      <c r="B226" s="396"/>
      <c r="C226" s="396"/>
      <c r="D226" s="396"/>
      <c r="E226" s="396"/>
      <c r="F226" s="396"/>
      <c r="G226" s="5"/>
      <c r="H226" s="5"/>
      <c r="I226" s="5"/>
      <c r="J226" s="5"/>
      <c r="K226" s="108"/>
      <c r="S226" s="117"/>
      <c r="T226" s="288"/>
      <c r="U226" s="288"/>
      <c r="V226" s="288"/>
      <c r="W226" s="288"/>
      <c r="X226" s="288"/>
      <c r="Y226" s="118"/>
    </row>
    <row r="227" spans="1:25" ht="15" thickBot="1" x14ac:dyDescent="0.35">
      <c r="A227" s="156"/>
      <c r="B227" s="396"/>
      <c r="C227" s="396"/>
      <c r="D227" s="396"/>
      <c r="E227" s="396"/>
      <c r="F227" s="396"/>
      <c r="G227" s="5"/>
      <c r="H227" s="5"/>
      <c r="I227" s="5"/>
      <c r="J227" s="5"/>
      <c r="K227" s="108"/>
      <c r="S227" s="117"/>
      <c r="T227" s="288"/>
      <c r="U227" s="288"/>
      <c r="V227" s="288"/>
      <c r="W227" s="288"/>
      <c r="X227" s="288"/>
      <c r="Y227" s="118"/>
    </row>
    <row r="228" spans="1:25" ht="21" x14ac:dyDescent="0.4">
      <c r="A228" s="156"/>
      <c r="B228" s="396"/>
      <c r="C228" s="420" t="s">
        <v>448</v>
      </c>
      <c r="D228" s="444"/>
      <c r="E228" s="444"/>
      <c r="F228" s="444"/>
      <c r="G228" s="444"/>
      <c r="H228" s="444"/>
      <c r="I228" s="445"/>
      <c r="J228" s="5"/>
      <c r="K228" s="400"/>
      <c r="S228" s="117"/>
      <c r="T228" s="288"/>
      <c r="U228" s="288"/>
      <c r="V228" s="288"/>
      <c r="W228" s="288"/>
      <c r="X228" s="288"/>
      <c r="Y228" s="118"/>
    </row>
    <row r="229" spans="1:25" ht="14.4" customHeight="1" x14ac:dyDescent="0.4">
      <c r="A229" s="156"/>
      <c r="B229" s="396"/>
      <c r="C229" s="364"/>
      <c r="D229" s="397"/>
      <c r="E229" s="397"/>
      <c r="F229" s="397"/>
      <c r="G229" s="397"/>
      <c r="H229" s="397"/>
      <c r="I229" s="384"/>
      <c r="J229" s="5"/>
      <c r="K229" s="400"/>
      <c r="S229" s="117"/>
      <c r="T229" s="357"/>
      <c r="U229" s="357"/>
      <c r="V229" s="357"/>
      <c r="W229" s="357"/>
      <c r="X229" s="357"/>
      <c r="Y229" s="118"/>
    </row>
    <row r="230" spans="1:25" x14ac:dyDescent="0.3">
      <c r="A230" s="194"/>
      <c r="B230" s="17"/>
      <c r="C230" s="21"/>
      <c r="D230" s="43" t="s">
        <v>353</v>
      </c>
      <c r="E230" s="85" t="s">
        <v>147</v>
      </c>
      <c r="F230" s="17">
        <v>2</v>
      </c>
      <c r="G230" s="18">
        <v>1</v>
      </c>
      <c r="H230" s="5"/>
      <c r="I230" s="22"/>
      <c r="J230" s="18"/>
      <c r="K230" s="35"/>
      <c r="S230" s="117" t="s">
        <v>353</v>
      </c>
      <c r="T230" s="288" t="s">
        <v>147</v>
      </c>
      <c r="U230" s="288">
        <v>2</v>
      </c>
      <c r="V230" s="288">
        <v>1</v>
      </c>
      <c r="W230" s="288"/>
      <c r="X230" s="126">
        <f t="shared" ref="X230" si="43">(IF(U230&gt;V230,3,IF(U230=V230,1,2)))</f>
        <v>3</v>
      </c>
      <c r="Y230" s="125">
        <f t="shared" ref="Y230" si="44">(IF(V230&gt;U230,3,IF(U230=V230,1,2)))</f>
        <v>2</v>
      </c>
    </row>
    <row r="231" spans="1:25" x14ac:dyDescent="0.3">
      <c r="A231" s="156"/>
      <c r="B231" s="396"/>
      <c r="C231" s="3"/>
      <c r="D231" s="49"/>
      <c r="E231" s="49"/>
      <c r="F231" s="396" t="s">
        <v>215</v>
      </c>
      <c r="G231" s="5" t="s">
        <v>183</v>
      </c>
      <c r="H231" s="5"/>
      <c r="I231" s="6"/>
      <c r="J231" s="5"/>
      <c r="K231" s="400"/>
      <c r="S231" s="117"/>
      <c r="T231" s="288"/>
      <c r="U231" s="288"/>
      <c r="V231" s="288"/>
      <c r="W231" s="288"/>
      <c r="X231" s="126"/>
      <c r="Y231" s="125"/>
    </row>
    <row r="232" spans="1:25" ht="15" thickBot="1" x14ac:dyDescent="0.35">
      <c r="A232" s="156"/>
      <c r="B232" s="396"/>
      <c r="C232" s="7"/>
      <c r="D232" s="401"/>
      <c r="E232" s="401"/>
      <c r="F232" s="401"/>
      <c r="G232" s="401"/>
      <c r="H232" s="8"/>
      <c r="I232" s="9"/>
      <c r="J232" s="5"/>
      <c r="K232" s="400"/>
      <c r="S232" s="117"/>
      <c r="T232" s="288"/>
      <c r="U232" s="288"/>
      <c r="V232" s="288"/>
      <c r="W232" s="288"/>
      <c r="X232" s="126"/>
      <c r="Y232" s="125"/>
    </row>
    <row r="233" spans="1:25" x14ac:dyDescent="0.3">
      <c r="A233" s="156"/>
      <c r="B233" s="396"/>
      <c r="C233" s="396"/>
      <c r="D233" s="396"/>
      <c r="E233" s="396"/>
      <c r="F233" s="396"/>
      <c r="G233" s="396"/>
      <c r="H233" s="5"/>
      <c r="I233" s="5"/>
      <c r="J233" s="5"/>
      <c r="K233" s="400"/>
      <c r="S233" s="117"/>
      <c r="T233" s="288"/>
      <c r="U233" s="288"/>
      <c r="V233" s="288"/>
      <c r="W233" s="288"/>
      <c r="X233" s="126"/>
      <c r="Y233" s="125"/>
    </row>
    <row r="234" spans="1:25" x14ac:dyDescent="0.3">
      <c r="A234" s="156"/>
      <c r="B234" s="396"/>
      <c r="C234" s="396"/>
      <c r="D234" s="396"/>
      <c r="E234" s="396"/>
      <c r="F234" s="396"/>
      <c r="G234" s="396"/>
      <c r="H234" s="5"/>
      <c r="I234" s="5"/>
      <c r="J234" s="5"/>
      <c r="K234" s="400"/>
      <c r="S234" s="117"/>
      <c r="T234" s="342"/>
      <c r="U234" s="342"/>
      <c r="V234" s="342"/>
      <c r="W234" s="342"/>
      <c r="X234" s="126"/>
      <c r="Y234" s="125"/>
    </row>
    <row r="235" spans="1:25" x14ac:dyDescent="0.3">
      <c r="A235" s="156"/>
      <c r="B235" s="396"/>
      <c r="C235" s="396"/>
      <c r="D235" s="396"/>
      <c r="E235" s="396"/>
      <c r="F235" s="396"/>
      <c r="G235" s="396"/>
      <c r="H235" s="5"/>
      <c r="I235" s="5"/>
      <c r="J235" s="5"/>
      <c r="K235" s="400"/>
      <c r="S235" s="117"/>
      <c r="T235" s="342"/>
      <c r="U235" s="342"/>
      <c r="V235" s="342"/>
      <c r="W235" s="342"/>
      <c r="X235" s="126"/>
      <c r="Y235" s="125"/>
    </row>
    <row r="236" spans="1:25" ht="15" thickBot="1" x14ac:dyDescent="0.35">
      <c r="A236" s="156"/>
      <c r="B236" s="396"/>
      <c r="C236" s="396"/>
      <c r="D236" s="396"/>
      <c r="E236" s="396"/>
      <c r="F236" s="396"/>
      <c r="G236" s="396"/>
      <c r="H236" s="5"/>
      <c r="I236" s="5"/>
      <c r="J236" s="5"/>
      <c r="K236" s="400"/>
      <c r="S236" s="117"/>
      <c r="T236" s="342"/>
      <c r="U236" s="342"/>
      <c r="V236" s="342"/>
      <c r="W236" s="342"/>
      <c r="X236" s="126"/>
      <c r="Y236" s="125"/>
    </row>
    <row r="237" spans="1:25" ht="21" x14ac:dyDescent="0.4">
      <c r="A237" s="156"/>
      <c r="B237" s="396"/>
      <c r="C237" s="420" t="s">
        <v>449</v>
      </c>
      <c r="D237" s="444"/>
      <c r="E237" s="444"/>
      <c r="F237" s="444"/>
      <c r="G237" s="444"/>
      <c r="H237" s="444"/>
      <c r="I237" s="445"/>
      <c r="J237" s="5"/>
      <c r="K237" s="400"/>
      <c r="S237" s="117"/>
      <c r="T237" s="342"/>
      <c r="U237" s="342"/>
      <c r="V237" s="342"/>
      <c r="W237" s="342"/>
      <c r="X237" s="126"/>
      <c r="Y237" s="125"/>
    </row>
    <row r="238" spans="1:25" ht="14.4" customHeight="1" x14ac:dyDescent="0.4">
      <c r="A238" s="156"/>
      <c r="B238" s="396"/>
      <c r="C238" s="364"/>
      <c r="D238" s="397"/>
      <c r="E238" s="397"/>
      <c r="F238" s="397"/>
      <c r="G238" s="397"/>
      <c r="H238" s="397"/>
      <c r="I238" s="384"/>
      <c r="J238" s="5"/>
      <c r="K238" s="400"/>
      <c r="S238" s="117"/>
      <c r="T238" s="396"/>
      <c r="U238" s="396"/>
      <c r="V238" s="396"/>
      <c r="W238" s="396"/>
      <c r="X238" s="126"/>
      <c r="Y238" s="125"/>
    </row>
    <row r="239" spans="1:25" x14ac:dyDescent="0.3">
      <c r="A239" s="194"/>
      <c r="B239" s="17"/>
      <c r="C239" s="21"/>
      <c r="D239" s="43" t="s">
        <v>5</v>
      </c>
      <c r="E239" s="64" t="s">
        <v>3</v>
      </c>
      <c r="F239" s="43">
        <v>4</v>
      </c>
      <c r="G239" s="48">
        <v>2</v>
      </c>
      <c r="H239" s="18" t="s">
        <v>214</v>
      </c>
      <c r="I239" s="22"/>
      <c r="J239" s="18"/>
      <c r="K239" s="35"/>
      <c r="S239" s="117" t="s">
        <v>5</v>
      </c>
      <c r="T239" s="342" t="s">
        <v>3</v>
      </c>
      <c r="U239" s="342">
        <v>7</v>
      </c>
      <c r="V239" s="342">
        <v>5</v>
      </c>
      <c r="W239" s="342" t="s">
        <v>214</v>
      </c>
      <c r="X239" s="126">
        <f t="shared" ref="X239" si="45">(IF(U239&gt;V239,3,IF(U239=V239,1,2)))</f>
        <v>3</v>
      </c>
      <c r="Y239" s="125">
        <f t="shared" ref="Y239" si="46">(IF(V239&gt;U239,3,IF(U239=V239,1,2)))</f>
        <v>2</v>
      </c>
    </row>
    <row r="240" spans="1:25" x14ac:dyDescent="0.3">
      <c r="A240" s="194"/>
      <c r="B240" s="17"/>
      <c r="C240" s="21"/>
      <c r="D240" s="17"/>
      <c r="E240" s="396"/>
      <c r="F240" s="43">
        <v>3</v>
      </c>
      <c r="G240" s="48">
        <v>3</v>
      </c>
      <c r="H240" s="18" t="s">
        <v>30</v>
      </c>
      <c r="I240" s="22"/>
      <c r="J240" s="18"/>
      <c r="K240" s="35"/>
      <c r="S240" s="117"/>
      <c r="T240" s="342"/>
      <c r="U240" s="342"/>
      <c r="V240" s="342"/>
      <c r="W240" s="342"/>
      <c r="X240" s="342"/>
      <c r="Y240" s="118"/>
    </row>
    <row r="241" spans="1:25" ht="15" thickBot="1" x14ac:dyDescent="0.35">
      <c r="A241" s="194"/>
      <c r="B241" s="17"/>
      <c r="C241" s="21"/>
      <c r="D241" s="17"/>
      <c r="E241" s="396"/>
      <c r="F241" s="49">
        <v>2</v>
      </c>
      <c r="G241" s="51">
        <v>2</v>
      </c>
      <c r="H241" s="5"/>
      <c r="I241" s="22"/>
      <c r="J241" s="18"/>
      <c r="K241" s="35"/>
      <c r="S241" s="119"/>
      <c r="T241" s="120"/>
      <c r="U241" s="120"/>
      <c r="V241" s="120"/>
      <c r="W241" s="120"/>
      <c r="X241" s="120"/>
      <c r="Y241" s="121"/>
    </row>
    <row r="242" spans="1:25" x14ac:dyDescent="0.3">
      <c r="A242" s="156"/>
      <c r="B242" s="396"/>
      <c r="C242" s="3"/>
      <c r="D242" s="396"/>
      <c r="E242" s="396"/>
      <c r="F242" s="396" t="s">
        <v>215</v>
      </c>
      <c r="G242" s="5" t="s">
        <v>171</v>
      </c>
      <c r="H242" s="5"/>
      <c r="I242" s="6"/>
      <c r="J242" s="5"/>
      <c r="K242" s="400"/>
      <c r="S242" s="288"/>
      <c r="T242" s="288"/>
      <c r="U242" s="288"/>
      <c r="V242" s="288"/>
      <c r="W242" s="288"/>
      <c r="X242" s="288"/>
      <c r="Y242" s="288"/>
    </row>
    <row r="243" spans="1:25" ht="15" thickBot="1" x14ac:dyDescent="0.35">
      <c r="A243" s="156"/>
      <c r="B243" s="396"/>
      <c r="C243" s="7"/>
      <c r="D243" s="401"/>
      <c r="E243" s="401"/>
      <c r="F243" s="401"/>
      <c r="G243" s="8"/>
      <c r="H243" s="8"/>
      <c r="I243" s="9"/>
      <c r="J243" s="5"/>
      <c r="K243" s="400"/>
      <c r="S243" s="288"/>
      <c r="T243" s="288"/>
      <c r="U243" s="288"/>
      <c r="V243" s="288"/>
      <c r="W243" s="288"/>
      <c r="X243" s="288"/>
      <c r="Y243" s="288"/>
    </row>
    <row r="244" spans="1:25" x14ac:dyDescent="0.3">
      <c r="A244" s="156"/>
      <c r="B244" s="396"/>
      <c r="C244" s="396"/>
      <c r="D244" s="396"/>
      <c r="E244" s="396"/>
      <c r="F244" s="396"/>
      <c r="G244" s="5"/>
      <c r="H244" s="5"/>
      <c r="I244" s="5"/>
      <c r="J244" s="5"/>
      <c r="K244" s="400"/>
      <c r="S244" s="288"/>
      <c r="T244" s="288"/>
      <c r="U244" s="288"/>
      <c r="V244" s="288"/>
      <c r="W244" s="288"/>
      <c r="X244" s="288"/>
      <c r="Y244" s="288"/>
    </row>
    <row r="245" spans="1:25" x14ac:dyDescent="0.3">
      <c r="A245" s="194"/>
      <c r="B245" s="17"/>
      <c r="C245" s="17"/>
      <c r="D245" s="17"/>
      <c r="E245" s="17"/>
      <c r="F245" s="17"/>
      <c r="G245" s="18"/>
      <c r="H245" s="18"/>
      <c r="I245" s="18"/>
      <c r="J245" s="18"/>
      <c r="K245" s="35"/>
      <c r="S245" s="288"/>
      <c r="T245" s="288"/>
      <c r="U245" s="288"/>
      <c r="V245" s="288"/>
      <c r="W245" s="288"/>
      <c r="X245" s="288"/>
      <c r="Y245" s="288"/>
    </row>
    <row r="246" spans="1:25" x14ac:dyDescent="0.3">
      <c r="A246" s="24"/>
      <c r="B246" s="17"/>
      <c r="C246" s="17"/>
      <c r="D246" s="17"/>
      <c r="E246" s="17"/>
      <c r="F246" s="17"/>
      <c r="G246" s="18"/>
      <c r="H246" s="18"/>
      <c r="I246" s="18"/>
      <c r="J246" s="18"/>
      <c r="K246" s="109"/>
      <c r="S246" s="288"/>
      <c r="T246" s="288"/>
      <c r="U246" s="288"/>
      <c r="V246" s="288"/>
      <c r="W246" s="288"/>
      <c r="X246" s="288"/>
      <c r="Y246" s="288"/>
    </row>
    <row r="247" spans="1:25" x14ac:dyDescent="0.3">
      <c r="A247" s="24"/>
      <c r="B247" s="17"/>
      <c r="C247" s="17"/>
      <c r="D247" s="17"/>
      <c r="E247" s="17"/>
      <c r="F247" s="17"/>
      <c r="G247" s="18"/>
      <c r="H247" s="18"/>
      <c r="I247" s="18"/>
      <c r="J247" s="18"/>
      <c r="K247" s="109"/>
      <c r="S247" s="288"/>
      <c r="T247" s="288"/>
      <c r="U247" s="288"/>
      <c r="V247" s="288"/>
      <c r="W247" s="288"/>
      <c r="X247" s="288"/>
      <c r="Y247" s="288"/>
    </row>
    <row r="248" spans="1:25" ht="15" thickBot="1" x14ac:dyDescent="0.35">
      <c r="A248" s="398"/>
      <c r="B248" s="396" t="s">
        <v>298</v>
      </c>
      <c r="C248" s="396" t="s">
        <v>12</v>
      </c>
      <c r="D248" s="396" t="s">
        <v>13</v>
      </c>
      <c r="E248" s="396" t="s">
        <v>14</v>
      </c>
      <c r="F248" s="396" t="s">
        <v>15</v>
      </c>
      <c r="G248" s="5" t="s">
        <v>24</v>
      </c>
      <c r="H248" s="5" t="s">
        <v>25</v>
      </c>
      <c r="I248" s="5" t="s">
        <v>301</v>
      </c>
      <c r="J248" s="5"/>
      <c r="K248" s="400"/>
      <c r="S248" s="288"/>
      <c r="T248" s="288"/>
      <c r="U248" s="288"/>
      <c r="V248" s="288"/>
      <c r="W248" s="288"/>
      <c r="X248" s="288"/>
      <c r="Y248" s="288"/>
    </row>
    <row r="249" spans="1:25" x14ac:dyDescent="0.3">
      <c r="A249" s="24"/>
      <c r="B249" s="14" t="s">
        <v>5</v>
      </c>
      <c r="C249" s="402">
        <f>COUNTIF($S$12:$T$239,"Argentinien")</f>
        <v>7</v>
      </c>
      <c r="D249" s="124">
        <f t="shared" ref="D249:D280" si="47">SUMPRODUCT(($S$12:$T$239=B249)*($X$12:$Y$239=3))</f>
        <v>6</v>
      </c>
      <c r="E249" s="124">
        <f t="shared" ref="E249:E280" si="48">SUMPRODUCT(($S$12:$T$239=B249)*($X$12:$Y$239=1))</f>
        <v>0</v>
      </c>
      <c r="F249" s="124">
        <f t="shared" ref="F249:F280" si="49">SUMPRODUCT(($S$12:$T$239=B249)*($X$12:$Y$239=2))</f>
        <v>1</v>
      </c>
      <c r="G249" s="124">
        <f t="shared" ref="G249:G280" si="50">SUMPRODUCT(($S$12:$S$239=B249)*($U$12:$U$239))+SUMPRODUCT(($T$12:$T$239=B249)*($V$12:$V$239))</f>
        <v>23</v>
      </c>
      <c r="H249" s="124">
        <f t="shared" ref="H249:H280" si="51">SUMPRODUCT(($S$12:$S$239=B249)*($V$12:$V$239))+SUMPRODUCT(($T$12:$T$239=B249)*($U$12:$U$239))</f>
        <v>13</v>
      </c>
      <c r="I249" s="16">
        <f t="shared" ref="I249:I280" si="52">(D249*3)+E249</f>
        <v>18</v>
      </c>
      <c r="J249" s="18"/>
      <c r="K249" s="109"/>
      <c r="S249" s="288"/>
      <c r="T249" s="288"/>
      <c r="U249" s="288"/>
      <c r="V249" s="288"/>
      <c r="W249" s="288"/>
      <c r="X249" s="288"/>
      <c r="Y249" s="288"/>
    </row>
    <row r="250" spans="1:25" x14ac:dyDescent="0.3">
      <c r="A250" s="24"/>
      <c r="B250" s="21" t="s">
        <v>3</v>
      </c>
      <c r="C250" s="17">
        <f>COUNTIF($S$12:$T$239,"Frankreich")</f>
        <v>7</v>
      </c>
      <c r="D250" s="43">
        <f t="shared" si="47"/>
        <v>5</v>
      </c>
      <c r="E250" s="43">
        <f t="shared" si="48"/>
        <v>0</v>
      </c>
      <c r="F250" s="43">
        <f t="shared" si="49"/>
        <v>2</v>
      </c>
      <c r="G250" s="43">
        <f t="shared" si="50"/>
        <v>18</v>
      </c>
      <c r="H250" s="43">
        <f t="shared" si="51"/>
        <v>12</v>
      </c>
      <c r="I250" s="22">
        <f t="shared" si="52"/>
        <v>15</v>
      </c>
      <c r="J250" s="18"/>
      <c r="K250" s="109"/>
      <c r="S250" s="288"/>
      <c r="T250" s="288"/>
      <c r="U250" s="288"/>
      <c r="V250" s="288"/>
      <c r="W250" s="288"/>
      <c r="X250" s="288"/>
      <c r="Y250" s="288"/>
    </row>
    <row r="251" spans="1:25" x14ac:dyDescent="0.3">
      <c r="A251" s="24"/>
      <c r="B251" s="21" t="s">
        <v>353</v>
      </c>
      <c r="C251" s="17">
        <f>COUNTIF($S$12:$T$239,"Kroatien")</f>
        <v>7</v>
      </c>
      <c r="D251" s="43">
        <f t="shared" si="47"/>
        <v>4</v>
      </c>
      <c r="E251" s="43">
        <f t="shared" si="48"/>
        <v>2</v>
      </c>
      <c r="F251" s="43">
        <f t="shared" si="49"/>
        <v>1</v>
      </c>
      <c r="G251" s="43">
        <f t="shared" si="50"/>
        <v>15</v>
      </c>
      <c r="H251" s="43">
        <f t="shared" si="51"/>
        <v>10</v>
      </c>
      <c r="I251" s="22">
        <f t="shared" si="52"/>
        <v>14</v>
      </c>
      <c r="J251" s="18"/>
      <c r="K251" s="109"/>
      <c r="S251" s="288"/>
      <c r="T251" s="288"/>
      <c r="U251" s="288"/>
      <c r="V251" s="288"/>
      <c r="W251" s="288"/>
      <c r="X251" s="288"/>
      <c r="Y251" s="288"/>
    </row>
    <row r="252" spans="1:25" x14ac:dyDescent="0.3">
      <c r="A252" s="24"/>
      <c r="B252" s="21" t="s">
        <v>147</v>
      </c>
      <c r="C252" s="17">
        <f>COUNTIF($S$12:$T$239,"Marokko")</f>
        <v>7</v>
      </c>
      <c r="D252" s="43">
        <f t="shared" si="47"/>
        <v>4</v>
      </c>
      <c r="E252" s="43">
        <f t="shared" si="48"/>
        <v>1</v>
      </c>
      <c r="F252" s="43">
        <f t="shared" si="49"/>
        <v>2</v>
      </c>
      <c r="G252" s="43">
        <f t="shared" si="50"/>
        <v>9</v>
      </c>
      <c r="H252" s="43">
        <f t="shared" si="51"/>
        <v>5</v>
      </c>
      <c r="I252" s="22">
        <f t="shared" si="52"/>
        <v>13</v>
      </c>
      <c r="J252" s="18"/>
      <c r="K252" s="109"/>
      <c r="S252" s="288"/>
      <c r="T252" s="288"/>
      <c r="U252" s="288"/>
      <c r="V252" s="288"/>
      <c r="W252" s="288"/>
      <c r="X252" s="288"/>
      <c r="Y252" s="288"/>
    </row>
    <row r="253" spans="1:25" x14ac:dyDescent="0.3">
      <c r="A253" s="24"/>
      <c r="B253" s="21" t="s">
        <v>74</v>
      </c>
      <c r="C253" s="17">
        <f>COUNTIF($S$12:$T$239,"England")</f>
        <v>5</v>
      </c>
      <c r="D253" s="43">
        <f t="shared" si="47"/>
        <v>3</v>
      </c>
      <c r="E253" s="43">
        <f t="shared" si="48"/>
        <v>1</v>
      </c>
      <c r="F253" s="43">
        <f t="shared" si="49"/>
        <v>1</v>
      </c>
      <c r="G253" s="43">
        <f t="shared" si="50"/>
        <v>13</v>
      </c>
      <c r="H253" s="43">
        <f t="shared" si="51"/>
        <v>4</v>
      </c>
      <c r="I253" s="22">
        <f t="shared" si="52"/>
        <v>10</v>
      </c>
      <c r="J253" s="18"/>
      <c r="K253" s="109"/>
      <c r="S253" s="288"/>
      <c r="T253" s="288"/>
      <c r="U253" s="288"/>
      <c r="V253" s="288"/>
      <c r="W253" s="288"/>
      <c r="X253" s="288"/>
      <c r="Y253" s="288"/>
    </row>
    <row r="254" spans="1:25" x14ac:dyDescent="0.3">
      <c r="A254" s="24"/>
      <c r="B254" s="21" t="s">
        <v>63</v>
      </c>
      <c r="C254" s="17">
        <f>COUNTIF($S$12:$T$239,"Niederlande")</f>
        <v>5</v>
      </c>
      <c r="D254" s="43">
        <f t="shared" si="47"/>
        <v>3</v>
      </c>
      <c r="E254" s="43">
        <f t="shared" si="48"/>
        <v>1</v>
      </c>
      <c r="F254" s="43">
        <f t="shared" si="49"/>
        <v>1</v>
      </c>
      <c r="G254" s="43">
        <f t="shared" si="50"/>
        <v>13</v>
      </c>
      <c r="H254" s="43">
        <f t="shared" si="51"/>
        <v>8</v>
      </c>
      <c r="I254" s="22">
        <f t="shared" si="52"/>
        <v>10</v>
      </c>
      <c r="J254" s="18"/>
      <c r="K254" s="109"/>
      <c r="S254" s="288"/>
      <c r="T254" s="288"/>
      <c r="U254" s="288"/>
      <c r="V254" s="288"/>
      <c r="W254" s="288"/>
      <c r="X254" s="288"/>
      <c r="Y254" s="288"/>
    </row>
    <row r="255" spans="1:25" x14ac:dyDescent="0.3">
      <c r="A255" s="24"/>
      <c r="B255" s="3" t="s">
        <v>133</v>
      </c>
      <c r="C255" s="17">
        <f>COUNTIF($S$12:$T$239,"Portugal")</f>
        <v>5</v>
      </c>
      <c r="D255" s="43">
        <f t="shared" si="47"/>
        <v>3</v>
      </c>
      <c r="E255" s="43">
        <f t="shared" si="48"/>
        <v>0</v>
      </c>
      <c r="F255" s="43">
        <f t="shared" si="49"/>
        <v>2</v>
      </c>
      <c r="G255" s="43">
        <f t="shared" si="50"/>
        <v>12</v>
      </c>
      <c r="H255" s="43">
        <f t="shared" si="51"/>
        <v>6</v>
      </c>
      <c r="I255" s="22">
        <f t="shared" si="52"/>
        <v>9</v>
      </c>
      <c r="J255" s="5"/>
      <c r="K255" s="108"/>
      <c r="S255" s="288"/>
      <c r="T255" s="288"/>
      <c r="U255" s="288"/>
      <c r="V255" s="288"/>
      <c r="W255" s="288"/>
      <c r="X255" s="288"/>
      <c r="Y255" s="288"/>
    </row>
    <row r="256" spans="1:25" x14ac:dyDescent="0.3">
      <c r="A256" s="24"/>
      <c r="B256" s="3" t="s">
        <v>9</v>
      </c>
      <c r="C256" s="17">
        <f>COUNTIF($S$12:$T$239,"Brasilien")</f>
        <v>5</v>
      </c>
      <c r="D256" s="43">
        <f t="shared" si="47"/>
        <v>3</v>
      </c>
      <c r="E256" s="43">
        <f t="shared" si="48"/>
        <v>0</v>
      </c>
      <c r="F256" s="43">
        <f t="shared" si="49"/>
        <v>2</v>
      </c>
      <c r="G256" s="43">
        <f t="shared" si="50"/>
        <v>10</v>
      </c>
      <c r="H256" s="43">
        <f t="shared" si="51"/>
        <v>7</v>
      </c>
      <c r="I256" s="22">
        <f t="shared" si="52"/>
        <v>9</v>
      </c>
      <c r="J256" s="5"/>
      <c r="K256" s="108"/>
      <c r="S256" s="288"/>
      <c r="T256" s="288"/>
      <c r="U256" s="288"/>
      <c r="V256" s="288"/>
      <c r="W256" s="288"/>
      <c r="X256" s="288"/>
      <c r="Y256" s="288"/>
    </row>
    <row r="257" spans="1:25" x14ac:dyDescent="0.3">
      <c r="A257" s="24"/>
      <c r="B257" s="21" t="s">
        <v>351</v>
      </c>
      <c r="C257" s="17">
        <f>COUNTIF($S$12:$T$239,"Japan")</f>
        <v>4</v>
      </c>
      <c r="D257" s="43">
        <f t="shared" si="47"/>
        <v>2</v>
      </c>
      <c r="E257" s="43">
        <f t="shared" si="48"/>
        <v>0</v>
      </c>
      <c r="F257" s="43">
        <f t="shared" si="49"/>
        <v>2</v>
      </c>
      <c r="G257" s="43">
        <f t="shared" si="50"/>
        <v>6</v>
      </c>
      <c r="H257" s="43">
        <f t="shared" si="51"/>
        <v>7</v>
      </c>
      <c r="I257" s="22">
        <f t="shared" si="52"/>
        <v>6</v>
      </c>
      <c r="J257" s="18"/>
      <c r="K257" s="109"/>
      <c r="S257" s="288"/>
      <c r="T257" s="288"/>
      <c r="U257" s="288"/>
      <c r="V257" s="288"/>
      <c r="W257" s="288"/>
      <c r="X257" s="288"/>
      <c r="Y257" s="288"/>
    </row>
    <row r="258" spans="1:25" x14ac:dyDescent="0.3">
      <c r="A258" s="24"/>
      <c r="B258" s="21" t="s">
        <v>355</v>
      </c>
      <c r="C258" s="17">
        <f>COUNTIF($S$12:$T$239,"Senegal")</f>
        <v>4</v>
      </c>
      <c r="D258" s="43">
        <f t="shared" si="47"/>
        <v>2</v>
      </c>
      <c r="E258" s="43">
        <f t="shared" si="48"/>
        <v>0</v>
      </c>
      <c r="F258" s="43">
        <f t="shared" si="49"/>
        <v>2</v>
      </c>
      <c r="G258" s="43">
        <f t="shared" si="50"/>
        <v>5</v>
      </c>
      <c r="H258" s="43">
        <f t="shared" si="51"/>
        <v>7</v>
      </c>
      <c r="I258" s="22">
        <f t="shared" si="52"/>
        <v>6</v>
      </c>
      <c r="J258" s="18"/>
      <c r="K258" s="109"/>
      <c r="S258" s="288"/>
      <c r="T258" s="288"/>
      <c r="U258" s="288"/>
      <c r="V258" s="288"/>
      <c r="W258" s="288"/>
      <c r="X258" s="288"/>
      <c r="Y258" s="288"/>
    </row>
    <row r="259" spans="1:25" x14ac:dyDescent="0.3">
      <c r="A259" s="24"/>
      <c r="B259" s="3" t="s">
        <v>43</v>
      </c>
      <c r="C259" s="17">
        <f>COUNTIF($S$12:$T$239,"Schweiz")</f>
        <v>4</v>
      </c>
      <c r="D259" s="43">
        <f t="shared" si="47"/>
        <v>2</v>
      </c>
      <c r="E259" s="43">
        <f t="shared" si="48"/>
        <v>0</v>
      </c>
      <c r="F259" s="43">
        <f t="shared" si="49"/>
        <v>2</v>
      </c>
      <c r="G259" s="43">
        <f t="shared" si="50"/>
        <v>5</v>
      </c>
      <c r="H259" s="43">
        <f t="shared" si="51"/>
        <v>9</v>
      </c>
      <c r="I259" s="22">
        <f t="shared" si="52"/>
        <v>6</v>
      </c>
      <c r="J259" s="5"/>
      <c r="K259" s="108"/>
      <c r="S259" s="288"/>
      <c r="T259" s="288"/>
      <c r="U259" s="288"/>
      <c r="V259" s="288"/>
      <c r="W259" s="288"/>
      <c r="X259" s="288"/>
      <c r="Y259" s="288"/>
    </row>
    <row r="260" spans="1:25" x14ac:dyDescent="0.3">
      <c r="A260" s="24"/>
      <c r="B260" s="21" t="s">
        <v>152</v>
      </c>
      <c r="C260" s="17">
        <f>COUNTIF($S$12:$T$239,"Australien")</f>
        <v>4</v>
      </c>
      <c r="D260" s="43">
        <f t="shared" si="47"/>
        <v>2</v>
      </c>
      <c r="E260" s="43">
        <f t="shared" si="48"/>
        <v>0</v>
      </c>
      <c r="F260" s="43">
        <f t="shared" si="49"/>
        <v>2</v>
      </c>
      <c r="G260" s="43">
        <f t="shared" si="50"/>
        <v>4</v>
      </c>
      <c r="H260" s="43">
        <f t="shared" si="51"/>
        <v>6</v>
      </c>
      <c r="I260" s="22">
        <f t="shared" si="52"/>
        <v>6</v>
      </c>
      <c r="J260" s="18"/>
      <c r="K260" s="109"/>
      <c r="S260" s="288"/>
      <c r="T260" s="288"/>
      <c r="U260" s="288"/>
      <c r="V260" s="288"/>
      <c r="W260" s="288"/>
      <c r="X260" s="288"/>
      <c r="Y260" s="288"/>
    </row>
    <row r="261" spans="1:25" x14ac:dyDescent="0.3">
      <c r="A261" s="24"/>
      <c r="B261" s="21" t="s">
        <v>20</v>
      </c>
      <c r="C261" s="17">
        <f>COUNTIF($S$12:$T$239,"USA")</f>
        <v>4</v>
      </c>
      <c r="D261" s="43">
        <f t="shared" si="47"/>
        <v>1</v>
      </c>
      <c r="E261" s="43">
        <f t="shared" si="48"/>
        <v>2</v>
      </c>
      <c r="F261" s="43">
        <f t="shared" si="49"/>
        <v>1</v>
      </c>
      <c r="G261" s="43">
        <f t="shared" si="50"/>
        <v>3</v>
      </c>
      <c r="H261" s="43">
        <f t="shared" si="51"/>
        <v>4</v>
      </c>
      <c r="I261" s="22">
        <f t="shared" si="52"/>
        <v>5</v>
      </c>
      <c r="J261" s="18"/>
      <c r="K261" s="109"/>
      <c r="S261" s="288"/>
      <c r="T261" s="288"/>
      <c r="U261" s="288"/>
      <c r="V261" s="288"/>
      <c r="W261" s="288"/>
      <c r="X261" s="288"/>
      <c r="Y261" s="288"/>
    </row>
    <row r="262" spans="1:25" x14ac:dyDescent="0.3">
      <c r="A262" s="24"/>
      <c r="B262" s="21" t="s">
        <v>35</v>
      </c>
      <c r="C262" s="17">
        <f>COUNTIF($S$12:$T$239,"Spanien")</f>
        <v>4</v>
      </c>
      <c r="D262" s="43">
        <f t="shared" si="47"/>
        <v>1</v>
      </c>
      <c r="E262" s="43">
        <f t="shared" si="48"/>
        <v>1</v>
      </c>
      <c r="F262" s="43">
        <f t="shared" si="49"/>
        <v>2</v>
      </c>
      <c r="G262" s="43">
        <f t="shared" si="50"/>
        <v>9</v>
      </c>
      <c r="H262" s="43">
        <f t="shared" si="51"/>
        <v>6</v>
      </c>
      <c r="I262" s="22">
        <f t="shared" si="52"/>
        <v>4</v>
      </c>
      <c r="J262" s="18"/>
      <c r="K262" s="109"/>
      <c r="S262" s="288"/>
      <c r="T262" s="288"/>
      <c r="U262" s="288"/>
      <c r="V262" s="288"/>
      <c r="W262" s="288"/>
      <c r="X262" s="288"/>
      <c r="Y262" s="288"/>
    </row>
    <row r="263" spans="1:25" x14ac:dyDescent="0.3">
      <c r="A263" s="24"/>
      <c r="B263" s="21" t="s">
        <v>88</v>
      </c>
      <c r="C263" s="17">
        <f>COUNTIF($S$12:$T$239,"BRD")</f>
        <v>3</v>
      </c>
      <c r="D263" s="43">
        <f t="shared" si="47"/>
        <v>1</v>
      </c>
      <c r="E263" s="43">
        <f t="shared" si="48"/>
        <v>1</v>
      </c>
      <c r="F263" s="43">
        <f t="shared" si="49"/>
        <v>1</v>
      </c>
      <c r="G263" s="43">
        <f t="shared" si="50"/>
        <v>6</v>
      </c>
      <c r="H263" s="43">
        <f t="shared" si="51"/>
        <v>5</v>
      </c>
      <c r="I263" s="22">
        <f t="shared" si="52"/>
        <v>4</v>
      </c>
      <c r="J263" s="18"/>
      <c r="K263" s="109"/>
      <c r="S263" s="288"/>
      <c r="T263" s="288"/>
      <c r="U263" s="288"/>
      <c r="V263" s="288"/>
      <c r="W263" s="288"/>
      <c r="X263" s="288"/>
      <c r="Y263" s="288"/>
    </row>
    <row r="264" spans="1:25" x14ac:dyDescent="0.3">
      <c r="A264" s="24"/>
      <c r="B264" s="3" t="s">
        <v>90</v>
      </c>
      <c r="C264" s="17">
        <f>COUNTIF($S$12:$T$239,"Südkorea")</f>
        <v>4</v>
      </c>
      <c r="D264" s="43">
        <f t="shared" si="47"/>
        <v>1</v>
      </c>
      <c r="E264" s="43">
        <f t="shared" si="48"/>
        <v>1</v>
      </c>
      <c r="F264" s="43">
        <f t="shared" si="49"/>
        <v>2</v>
      </c>
      <c r="G264" s="43">
        <f t="shared" si="50"/>
        <v>5</v>
      </c>
      <c r="H264" s="43">
        <f t="shared" si="51"/>
        <v>8</v>
      </c>
      <c r="I264" s="22">
        <f t="shared" si="52"/>
        <v>4</v>
      </c>
      <c r="J264" s="5"/>
      <c r="K264" s="108"/>
      <c r="S264" s="288"/>
      <c r="T264" s="288"/>
      <c r="U264" s="288"/>
      <c r="V264" s="288"/>
      <c r="W264" s="288"/>
      <c r="X264" s="288"/>
      <c r="Y264" s="288"/>
    </row>
    <row r="265" spans="1:25" x14ac:dyDescent="0.3">
      <c r="A265" s="24"/>
      <c r="B265" s="21" t="s">
        <v>377</v>
      </c>
      <c r="C265" s="17">
        <f>COUNTIF($S$12:$T$239,"Ecuador")</f>
        <v>3</v>
      </c>
      <c r="D265" s="43">
        <f t="shared" si="47"/>
        <v>1</v>
      </c>
      <c r="E265" s="43">
        <f t="shared" si="48"/>
        <v>1</v>
      </c>
      <c r="F265" s="43">
        <f t="shared" si="49"/>
        <v>1</v>
      </c>
      <c r="G265" s="43">
        <f t="shared" si="50"/>
        <v>4</v>
      </c>
      <c r="H265" s="43">
        <f t="shared" si="51"/>
        <v>3</v>
      </c>
      <c r="I265" s="22">
        <f t="shared" si="52"/>
        <v>4</v>
      </c>
      <c r="J265" s="18"/>
      <c r="K265" s="109"/>
      <c r="S265" s="288"/>
      <c r="T265" s="288"/>
      <c r="U265" s="288"/>
      <c r="V265" s="288"/>
      <c r="W265" s="288"/>
      <c r="X265" s="288"/>
      <c r="Y265" s="288"/>
    </row>
    <row r="266" spans="1:25" x14ac:dyDescent="0.3">
      <c r="A266" s="24"/>
      <c r="B266" s="3" t="s">
        <v>190</v>
      </c>
      <c r="C266" s="17">
        <f>COUNTIF($S$12:$T$239,"Kamerun")</f>
        <v>3</v>
      </c>
      <c r="D266" s="43">
        <f t="shared" si="47"/>
        <v>1</v>
      </c>
      <c r="E266" s="43">
        <f t="shared" si="48"/>
        <v>1</v>
      </c>
      <c r="F266" s="43">
        <f t="shared" si="49"/>
        <v>1</v>
      </c>
      <c r="G266" s="43">
        <f t="shared" si="50"/>
        <v>4</v>
      </c>
      <c r="H266" s="43">
        <f t="shared" si="51"/>
        <v>4</v>
      </c>
      <c r="I266" s="22">
        <f t="shared" si="52"/>
        <v>4</v>
      </c>
      <c r="J266" s="5"/>
      <c r="K266" s="108"/>
      <c r="S266" s="288"/>
      <c r="T266" s="288"/>
      <c r="U266" s="288"/>
      <c r="V266" s="288"/>
      <c r="W266" s="288"/>
      <c r="X266" s="288"/>
      <c r="Y266" s="288"/>
    </row>
    <row r="267" spans="1:25" x14ac:dyDescent="0.3">
      <c r="A267" s="24"/>
      <c r="B267" s="21" t="s">
        <v>61</v>
      </c>
      <c r="C267" s="17">
        <f>COUNTIF($S$12:$T$239,"Polen")</f>
        <v>4</v>
      </c>
      <c r="D267" s="43">
        <f t="shared" si="47"/>
        <v>1</v>
      </c>
      <c r="E267" s="43">
        <f t="shared" si="48"/>
        <v>1</v>
      </c>
      <c r="F267" s="43">
        <f t="shared" si="49"/>
        <v>2</v>
      </c>
      <c r="G267" s="43">
        <f t="shared" si="50"/>
        <v>3</v>
      </c>
      <c r="H267" s="43">
        <f t="shared" si="51"/>
        <v>5</v>
      </c>
      <c r="I267" s="22">
        <f t="shared" si="52"/>
        <v>4</v>
      </c>
      <c r="J267" s="18"/>
      <c r="K267" s="109"/>
      <c r="S267" s="288"/>
      <c r="T267" s="288"/>
      <c r="U267" s="288"/>
      <c r="V267" s="288"/>
      <c r="W267" s="288"/>
      <c r="X267" s="288"/>
      <c r="Y267" s="288"/>
    </row>
    <row r="268" spans="1:25" x14ac:dyDescent="0.3">
      <c r="A268" s="24"/>
      <c r="B268" s="3" t="s">
        <v>18</v>
      </c>
      <c r="C268" s="17">
        <f>COUNTIF($S$12:$T$239,"Uruguay")</f>
        <v>3</v>
      </c>
      <c r="D268" s="43">
        <f t="shared" si="47"/>
        <v>1</v>
      </c>
      <c r="E268" s="43">
        <f t="shared" si="48"/>
        <v>1</v>
      </c>
      <c r="F268" s="43">
        <f t="shared" si="49"/>
        <v>1</v>
      </c>
      <c r="G268" s="43">
        <f t="shared" si="50"/>
        <v>2</v>
      </c>
      <c r="H268" s="43">
        <f t="shared" si="51"/>
        <v>2</v>
      </c>
      <c r="I268" s="22">
        <f t="shared" si="52"/>
        <v>4</v>
      </c>
      <c r="J268" s="5"/>
      <c r="K268" s="108"/>
      <c r="S268" s="288"/>
      <c r="T268" s="288"/>
      <c r="U268" s="288"/>
      <c r="V268" s="288"/>
      <c r="W268" s="288"/>
      <c r="X268" s="288"/>
      <c r="Y268" s="288"/>
    </row>
    <row r="269" spans="1:25" x14ac:dyDescent="0.3">
      <c r="A269" s="24"/>
      <c r="B269" s="21" t="s">
        <v>4</v>
      </c>
      <c r="C269" s="17">
        <f>COUNTIF($S$12:$T$239,"Mexiko")</f>
        <v>3</v>
      </c>
      <c r="D269" s="43">
        <f t="shared" si="47"/>
        <v>1</v>
      </c>
      <c r="E269" s="43">
        <f t="shared" si="48"/>
        <v>1</v>
      </c>
      <c r="F269" s="43">
        <f t="shared" si="49"/>
        <v>1</v>
      </c>
      <c r="G269" s="43">
        <f t="shared" si="50"/>
        <v>2</v>
      </c>
      <c r="H269" s="43">
        <f t="shared" si="51"/>
        <v>3</v>
      </c>
      <c r="I269" s="22">
        <f t="shared" si="52"/>
        <v>4</v>
      </c>
      <c r="J269" s="18"/>
      <c r="K269" s="109"/>
      <c r="S269" s="288"/>
      <c r="T269" s="288"/>
      <c r="U269" s="288"/>
      <c r="V269" s="288"/>
      <c r="W269" s="288"/>
      <c r="X269" s="288"/>
      <c r="Y269" s="288"/>
    </row>
    <row r="270" spans="1:25" x14ac:dyDescent="0.3">
      <c r="A270" s="24"/>
      <c r="B270" s="21" t="s">
        <v>176</v>
      </c>
      <c r="C270" s="17">
        <f>COUNTIF($S$12:$T$239,"Tunesien")</f>
        <v>3</v>
      </c>
      <c r="D270" s="43">
        <f t="shared" si="47"/>
        <v>1</v>
      </c>
      <c r="E270" s="43">
        <f t="shared" si="48"/>
        <v>1</v>
      </c>
      <c r="F270" s="43">
        <f t="shared" si="49"/>
        <v>1</v>
      </c>
      <c r="G270" s="43">
        <f t="shared" si="50"/>
        <v>1</v>
      </c>
      <c r="H270" s="43">
        <f t="shared" si="51"/>
        <v>1</v>
      </c>
      <c r="I270" s="22">
        <f t="shared" si="52"/>
        <v>4</v>
      </c>
      <c r="J270" s="18"/>
      <c r="K270" s="109"/>
      <c r="S270" s="288"/>
      <c r="T270" s="288"/>
      <c r="U270" s="288"/>
      <c r="V270" s="288"/>
      <c r="W270" s="288"/>
      <c r="X270" s="288"/>
      <c r="Y270" s="288"/>
    </row>
    <row r="271" spans="1:25" x14ac:dyDescent="0.3">
      <c r="A271" s="24"/>
      <c r="B271" s="21" t="s">
        <v>21</v>
      </c>
      <c r="C271" s="17">
        <f>COUNTIF($S$12:$T$239,"Belgien")</f>
        <v>3</v>
      </c>
      <c r="D271" s="43">
        <f t="shared" si="47"/>
        <v>1</v>
      </c>
      <c r="E271" s="43">
        <f t="shared" si="48"/>
        <v>1</v>
      </c>
      <c r="F271" s="43">
        <f t="shared" si="49"/>
        <v>1</v>
      </c>
      <c r="G271" s="43">
        <f t="shared" si="50"/>
        <v>1</v>
      </c>
      <c r="H271" s="43">
        <f t="shared" si="51"/>
        <v>2</v>
      </c>
      <c r="I271" s="22">
        <f t="shared" si="52"/>
        <v>4</v>
      </c>
      <c r="J271" s="18"/>
      <c r="K271" s="109"/>
      <c r="S271" s="288"/>
      <c r="T271" s="288"/>
      <c r="U271" s="288"/>
      <c r="V271" s="288"/>
      <c r="W271" s="288"/>
      <c r="X271" s="288"/>
      <c r="Y271" s="288"/>
    </row>
    <row r="272" spans="1:25" x14ac:dyDescent="0.3">
      <c r="A272" s="24"/>
      <c r="B272" s="3" t="s">
        <v>390</v>
      </c>
      <c r="C272" s="17">
        <f>COUNTIF($S$12:$T$239,"Ghana")</f>
        <v>3</v>
      </c>
      <c r="D272" s="43">
        <f t="shared" si="47"/>
        <v>1</v>
      </c>
      <c r="E272" s="43">
        <f t="shared" si="48"/>
        <v>0</v>
      </c>
      <c r="F272" s="43">
        <f t="shared" si="49"/>
        <v>2</v>
      </c>
      <c r="G272" s="43">
        <f t="shared" si="50"/>
        <v>5</v>
      </c>
      <c r="H272" s="43">
        <f t="shared" si="51"/>
        <v>7</v>
      </c>
      <c r="I272" s="22">
        <f t="shared" si="52"/>
        <v>3</v>
      </c>
      <c r="J272" s="5"/>
      <c r="K272" s="108"/>
      <c r="S272" s="288"/>
      <c r="T272" s="288"/>
      <c r="U272" s="288"/>
      <c r="V272" s="288"/>
      <c r="W272" s="288"/>
      <c r="X272" s="288"/>
      <c r="Y272" s="288"/>
    </row>
    <row r="273" spans="1:25" x14ac:dyDescent="0.3">
      <c r="A273" s="24"/>
      <c r="B273" s="21" t="s">
        <v>177</v>
      </c>
      <c r="C273" s="17">
        <f>COUNTIF($S$12:$T$239,"Iran")</f>
        <v>3</v>
      </c>
      <c r="D273" s="43">
        <f t="shared" si="47"/>
        <v>1</v>
      </c>
      <c r="E273" s="43">
        <f t="shared" si="48"/>
        <v>0</v>
      </c>
      <c r="F273" s="43">
        <f t="shared" si="49"/>
        <v>2</v>
      </c>
      <c r="G273" s="43">
        <f t="shared" si="50"/>
        <v>4</v>
      </c>
      <c r="H273" s="43">
        <f t="shared" si="51"/>
        <v>7</v>
      </c>
      <c r="I273" s="22">
        <f t="shared" si="52"/>
        <v>3</v>
      </c>
      <c r="J273" s="18"/>
      <c r="K273" s="35"/>
      <c r="S273" s="288"/>
      <c r="T273" s="288"/>
      <c r="U273" s="288"/>
      <c r="V273" s="288"/>
      <c r="W273" s="288"/>
      <c r="X273" s="288"/>
      <c r="Y273" s="288"/>
    </row>
    <row r="274" spans="1:25" x14ac:dyDescent="0.3">
      <c r="A274" s="24"/>
      <c r="B274" s="21" t="s">
        <v>313</v>
      </c>
      <c r="C274" s="17">
        <f>COUNTIF($S$12:$T$239,"Saudi-Arabien")</f>
        <v>3</v>
      </c>
      <c r="D274" s="43">
        <f t="shared" si="47"/>
        <v>1</v>
      </c>
      <c r="E274" s="43">
        <f t="shared" si="48"/>
        <v>0</v>
      </c>
      <c r="F274" s="43">
        <f t="shared" si="49"/>
        <v>2</v>
      </c>
      <c r="G274" s="43">
        <f t="shared" si="50"/>
        <v>3</v>
      </c>
      <c r="H274" s="43">
        <f t="shared" si="51"/>
        <v>5</v>
      </c>
      <c r="I274" s="22">
        <f t="shared" si="52"/>
        <v>3</v>
      </c>
      <c r="J274" s="18"/>
      <c r="K274" s="109"/>
      <c r="S274" s="288"/>
      <c r="T274" s="288"/>
      <c r="U274" s="288"/>
      <c r="V274" s="288"/>
      <c r="W274" s="288"/>
      <c r="X274" s="288"/>
      <c r="Y274" s="288"/>
    </row>
    <row r="275" spans="1:25" x14ac:dyDescent="0.3">
      <c r="A275" s="24"/>
      <c r="B275" s="21" t="s">
        <v>286</v>
      </c>
      <c r="C275" s="17">
        <f>COUNTIF($S$12:$T$239,"Costa Rica")</f>
        <v>3</v>
      </c>
      <c r="D275" s="43">
        <f t="shared" si="47"/>
        <v>1</v>
      </c>
      <c r="E275" s="43">
        <f t="shared" si="48"/>
        <v>0</v>
      </c>
      <c r="F275" s="43">
        <f t="shared" si="49"/>
        <v>2</v>
      </c>
      <c r="G275" s="43">
        <f t="shared" si="50"/>
        <v>3</v>
      </c>
      <c r="H275" s="43">
        <f t="shared" si="51"/>
        <v>11</v>
      </c>
      <c r="I275" s="22">
        <f t="shared" si="52"/>
        <v>3</v>
      </c>
      <c r="J275" s="18"/>
      <c r="K275" s="109"/>
      <c r="S275" s="288"/>
      <c r="T275" s="288"/>
      <c r="U275" s="288"/>
      <c r="V275" s="288"/>
      <c r="W275" s="288"/>
      <c r="X275" s="288"/>
      <c r="Y275" s="288"/>
    </row>
    <row r="276" spans="1:25" x14ac:dyDescent="0.3">
      <c r="A276" s="24"/>
      <c r="B276" s="3" t="s">
        <v>408</v>
      </c>
      <c r="C276" s="17">
        <f>COUNTIF($S$12:$T$239,"Serbien")</f>
        <v>3</v>
      </c>
      <c r="D276" s="43">
        <f t="shared" si="47"/>
        <v>0</v>
      </c>
      <c r="E276" s="43">
        <f t="shared" si="48"/>
        <v>1</v>
      </c>
      <c r="F276" s="43">
        <f t="shared" si="49"/>
        <v>2</v>
      </c>
      <c r="G276" s="43">
        <f t="shared" si="50"/>
        <v>5</v>
      </c>
      <c r="H276" s="43">
        <f t="shared" si="51"/>
        <v>8</v>
      </c>
      <c r="I276" s="22">
        <f t="shared" si="52"/>
        <v>1</v>
      </c>
      <c r="J276" s="5"/>
      <c r="K276" s="108"/>
      <c r="S276" s="288"/>
      <c r="T276" s="288"/>
      <c r="U276" s="288"/>
      <c r="V276" s="288"/>
      <c r="W276" s="288"/>
      <c r="X276" s="288"/>
      <c r="Y276" s="288"/>
    </row>
    <row r="277" spans="1:25" x14ac:dyDescent="0.3">
      <c r="A277" s="24"/>
      <c r="B277" s="21" t="s">
        <v>258</v>
      </c>
      <c r="C277" s="17">
        <f>COUNTIF($S$12:$T$239,"Dänemark")</f>
        <v>3</v>
      </c>
      <c r="D277" s="43">
        <f t="shared" si="47"/>
        <v>0</v>
      </c>
      <c r="E277" s="43">
        <f t="shared" si="48"/>
        <v>1</v>
      </c>
      <c r="F277" s="43">
        <f t="shared" si="49"/>
        <v>2</v>
      </c>
      <c r="G277" s="43">
        <f t="shared" si="50"/>
        <v>1</v>
      </c>
      <c r="H277" s="43">
        <f t="shared" si="51"/>
        <v>3</v>
      </c>
      <c r="I277" s="22">
        <f t="shared" si="52"/>
        <v>1</v>
      </c>
      <c r="J277" s="18"/>
      <c r="K277" s="109"/>
      <c r="S277" s="288"/>
      <c r="T277" s="288"/>
      <c r="U277" s="288"/>
      <c r="V277" s="288"/>
      <c r="W277" s="288"/>
      <c r="X277" s="288"/>
      <c r="Y277" s="288"/>
    </row>
    <row r="278" spans="1:25" x14ac:dyDescent="0.3">
      <c r="A278" s="24"/>
      <c r="B278" s="21" t="s">
        <v>102</v>
      </c>
      <c r="C278" s="17">
        <f>COUNTIF($S$12:$T$239,"Wales")</f>
        <v>3</v>
      </c>
      <c r="D278" s="43">
        <f t="shared" si="47"/>
        <v>0</v>
      </c>
      <c r="E278" s="43">
        <f t="shared" si="48"/>
        <v>1</v>
      </c>
      <c r="F278" s="43">
        <f t="shared" si="49"/>
        <v>2</v>
      </c>
      <c r="G278" s="43">
        <f t="shared" si="50"/>
        <v>1</v>
      </c>
      <c r="H278" s="43">
        <f t="shared" si="51"/>
        <v>6</v>
      </c>
      <c r="I278" s="22">
        <f t="shared" si="52"/>
        <v>1</v>
      </c>
      <c r="J278" s="18"/>
      <c r="K278" s="109"/>
      <c r="S278" s="288"/>
      <c r="T278" s="288"/>
      <c r="U278" s="288"/>
      <c r="V278" s="288"/>
      <c r="W278" s="288"/>
      <c r="X278" s="288"/>
      <c r="Y278" s="288"/>
    </row>
    <row r="279" spans="1:25" x14ac:dyDescent="0.3">
      <c r="A279" s="24"/>
      <c r="B279" s="21" t="s">
        <v>251</v>
      </c>
      <c r="C279" s="17">
        <f>COUNTIF($S$12:$T$239,"Kanada")</f>
        <v>3</v>
      </c>
      <c r="D279" s="43">
        <f t="shared" si="47"/>
        <v>0</v>
      </c>
      <c r="E279" s="43">
        <f t="shared" si="48"/>
        <v>0</v>
      </c>
      <c r="F279" s="43">
        <f t="shared" si="49"/>
        <v>3</v>
      </c>
      <c r="G279" s="43">
        <f t="shared" si="50"/>
        <v>2</v>
      </c>
      <c r="H279" s="43">
        <f t="shared" si="51"/>
        <v>7</v>
      </c>
      <c r="I279" s="22">
        <f t="shared" si="52"/>
        <v>0</v>
      </c>
      <c r="J279" s="18"/>
      <c r="K279" s="109"/>
      <c r="S279" s="288"/>
      <c r="T279" s="288"/>
      <c r="U279" s="288"/>
      <c r="V279" s="288"/>
      <c r="W279" s="288"/>
      <c r="X279" s="288"/>
      <c r="Y279" s="288"/>
    </row>
    <row r="280" spans="1:25" ht="15" thickBot="1" x14ac:dyDescent="0.35">
      <c r="A280" s="24"/>
      <c r="B280" s="29" t="s">
        <v>442</v>
      </c>
      <c r="C280" s="30">
        <f>COUNTIF($S$12:$T$239,"Katar")</f>
        <v>3</v>
      </c>
      <c r="D280" s="80">
        <f t="shared" si="47"/>
        <v>0</v>
      </c>
      <c r="E280" s="80">
        <f t="shared" si="48"/>
        <v>0</v>
      </c>
      <c r="F280" s="80">
        <f t="shared" si="49"/>
        <v>3</v>
      </c>
      <c r="G280" s="80">
        <f t="shared" si="50"/>
        <v>1</v>
      </c>
      <c r="H280" s="80">
        <f t="shared" si="51"/>
        <v>7</v>
      </c>
      <c r="I280" s="32">
        <f t="shared" si="52"/>
        <v>0</v>
      </c>
      <c r="J280" s="18"/>
      <c r="K280" s="109"/>
      <c r="S280" s="288"/>
      <c r="T280" s="288"/>
      <c r="U280" s="288"/>
      <c r="V280" s="288"/>
      <c r="W280" s="288"/>
      <c r="X280" s="288"/>
      <c r="Y280" s="288"/>
    </row>
    <row r="281" spans="1:25" x14ac:dyDescent="0.3">
      <c r="A281" s="398"/>
      <c r="B281" s="396"/>
      <c r="C281" s="396"/>
      <c r="D281" s="396"/>
      <c r="E281" s="396"/>
      <c r="F281" s="396"/>
      <c r="G281" s="5"/>
      <c r="H281" s="5"/>
      <c r="I281" s="5"/>
      <c r="J281" s="5"/>
      <c r="K281" s="108"/>
      <c r="S281" s="288"/>
      <c r="T281" s="288"/>
      <c r="U281" s="288"/>
      <c r="V281" s="288"/>
      <c r="W281" s="288"/>
      <c r="X281" s="288"/>
      <c r="Y281" s="288"/>
    </row>
    <row r="282" spans="1:25" ht="15" thickBot="1" x14ac:dyDescent="0.35">
      <c r="A282" s="110"/>
      <c r="B282" s="36"/>
      <c r="C282" s="36"/>
      <c r="D282" s="36"/>
      <c r="E282" s="36"/>
      <c r="F282" s="36"/>
      <c r="G282" s="37"/>
      <c r="H282" s="37"/>
      <c r="I282" s="37"/>
      <c r="J282" s="37"/>
      <c r="K282" s="193"/>
    </row>
    <row r="283" spans="1:25" ht="15" thickTop="1" x14ac:dyDescent="0.3"/>
  </sheetData>
  <sortState ref="A247:AA278">
    <sortCondition descending="1" ref="I247:I278"/>
    <sortCondition descending="1" ref="G247:G278"/>
    <sortCondition ref="H247:H278"/>
  </sortState>
  <mergeCells count="5">
    <mergeCell ref="C228:I228"/>
    <mergeCell ref="C237:I237"/>
    <mergeCell ref="A2:J2"/>
    <mergeCell ref="A4:J4"/>
    <mergeCell ref="A5:J5"/>
  </mergeCell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A117"/>
  <sheetViews>
    <sheetView topLeftCell="A79" workbookViewId="0">
      <selection activeCell="M96" sqref="M96"/>
    </sheetView>
  </sheetViews>
  <sheetFormatPr baseColWidth="10" defaultRowHeight="14.4" x14ac:dyDescent="0.3"/>
  <cols>
    <col min="1" max="6" width="11.77734375" style="1" customWidth="1"/>
    <col min="7" max="10" width="11.77734375" style="2" customWidth="1"/>
    <col min="11" max="18" width="11.77734375" customWidth="1"/>
    <col min="19" max="25" width="11.77734375" style="100" customWidth="1"/>
    <col min="27" max="27" width="11.5546875" style="357"/>
  </cols>
  <sheetData>
    <row r="1" spans="1:27" ht="15" thickTop="1" x14ac:dyDescent="0.3">
      <c r="A1" s="106"/>
      <c r="B1" s="25"/>
      <c r="C1" s="25"/>
      <c r="D1" s="25"/>
      <c r="E1" s="25"/>
      <c r="F1" s="25"/>
      <c r="G1" s="26"/>
      <c r="H1" s="26"/>
      <c r="I1" s="26"/>
      <c r="J1" s="26"/>
      <c r="K1" s="107"/>
      <c r="S1" s="114"/>
      <c r="T1" s="115"/>
      <c r="U1" s="115"/>
      <c r="V1" s="115"/>
      <c r="W1" s="115"/>
      <c r="X1" s="115"/>
      <c r="Y1" s="116"/>
    </row>
    <row r="2" spans="1:27" ht="46.2" x14ac:dyDescent="0.85">
      <c r="A2" s="425" t="s">
        <v>52</v>
      </c>
      <c r="B2" s="426"/>
      <c r="C2" s="426"/>
      <c r="D2" s="426"/>
      <c r="E2" s="426"/>
      <c r="F2" s="426"/>
      <c r="G2" s="426"/>
      <c r="H2" s="426"/>
      <c r="I2" s="426"/>
      <c r="J2" s="436"/>
      <c r="K2" s="427"/>
      <c r="S2" s="117"/>
      <c r="T2" s="104"/>
      <c r="U2" s="104"/>
      <c r="V2" s="104"/>
      <c r="W2" s="104"/>
      <c r="X2" s="104"/>
      <c r="Y2" s="118"/>
    </row>
    <row r="3" spans="1:27" x14ac:dyDescent="0.3">
      <c r="A3" s="176"/>
      <c r="B3" s="173"/>
      <c r="C3" s="173"/>
      <c r="D3" s="173"/>
      <c r="E3" s="173"/>
      <c r="F3" s="173"/>
      <c r="G3" s="5"/>
      <c r="H3" s="5"/>
      <c r="I3" s="5"/>
      <c r="J3" s="5"/>
      <c r="K3" s="108"/>
      <c r="S3" s="117"/>
      <c r="T3" s="104"/>
      <c r="U3" s="104"/>
      <c r="V3" s="104"/>
      <c r="W3" s="104"/>
      <c r="X3" s="104"/>
      <c r="Y3" s="118"/>
    </row>
    <row r="4" spans="1:27" ht="28.8" x14ac:dyDescent="0.55000000000000004">
      <c r="A4" s="428" t="s">
        <v>53</v>
      </c>
      <c r="B4" s="429"/>
      <c r="C4" s="429"/>
      <c r="D4" s="429"/>
      <c r="E4" s="429"/>
      <c r="F4" s="429"/>
      <c r="G4" s="429"/>
      <c r="H4" s="429"/>
      <c r="I4" s="429"/>
      <c r="J4" s="436"/>
      <c r="K4" s="427"/>
      <c r="S4" s="117"/>
      <c r="T4" s="104"/>
      <c r="U4" s="104"/>
      <c r="V4" s="104"/>
      <c r="W4" s="104"/>
      <c r="X4" s="104"/>
      <c r="Y4" s="118"/>
    </row>
    <row r="5" spans="1:27" ht="21" x14ac:dyDescent="0.4">
      <c r="A5" s="430" t="s">
        <v>269</v>
      </c>
      <c r="B5" s="431"/>
      <c r="C5" s="431"/>
      <c r="D5" s="431"/>
      <c r="E5" s="431"/>
      <c r="F5" s="431"/>
      <c r="G5" s="431"/>
      <c r="H5" s="431"/>
      <c r="I5" s="431"/>
      <c r="J5" s="436"/>
      <c r="K5" s="427"/>
      <c r="S5" s="117"/>
      <c r="T5" s="104"/>
      <c r="U5" s="104"/>
      <c r="V5" s="104"/>
      <c r="W5" s="104"/>
      <c r="X5" s="104"/>
      <c r="Y5" s="118"/>
    </row>
    <row r="6" spans="1:27" ht="14.4" customHeight="1" x14ac:dyDescent="0.4">
      <c r="A6" s="174"/>
      <c r="B6" s="175"/>
      <c r="C6" s="175"/>
      <c r="D6" s="175"/>
      <c r="E6" s="175"/>
      <c r="F6" s="175"/>
      <c r="G6" s="175"/>
      <c r="H6" s="175"/>
      <c r="I6" s="175"/>
      <c r="J6" s="5"/>
      <c r="K6" s="108"/>
      <c r="S6" s="117"/>
      <c r="T6" s="104"/>
      <c r="U6" s="104"/>
      <c r="V6" s="104"/>
      <c r="W6" s="104"/>
      <c r="X6" s="104"/>
      <c r="Y6" s="118"/>
    </row>
    <row r="7" spans="1:27" x14ac:dyDescent="0.3">
      <c r="A7" s="432" t="s">
        <v>49</v>
      </c>
      <c r="B7" s="424"/>
      <c r="C7" s="424"/>
      <c r="D7" s="424"/>
      <c r="E7" s="424"/>
      <c r="F7" s="424"/>
      <c r="G7" s="424"/>
      <c r="H7" s="424"/>
      <c r="I7" s="424"/>
      <c r="J7" s="436"/>
      <c r="K7" s="427"/>
      <c r="S7" s="117"/>
      <c r="T7" s="104"/>
      <c r="U7" s="104"/>
      <c r="V7" s="104"/>
      <c r="W7" s="104"/>
      <c r="X7" s="104"/>
      <c r="Y7" s="118"/>
    </row>
    <row r="8" spans="1:27" x14ac:dyDescent="0.3">
      <c r="A8" s="176"/>
      <c r="B8" s="173"/>
      <c r="C8" s="173"/>
      <c r="D8" s="173"/>
      <c r="E8" s="173"/>
      <c r="F8" s="173"/>
      <c r="G8" s="5"/>
      <c r="H8" s="5"/>
      <c r="I8" s="5"/>
      <c r="J8" s="5"/>
      <c r="K8" s="108"/>
      <c r="S8" s="117"/>
      <c r="T8" s="104"/>
      <c r="U8" s="104"/>
      <c r="V8" s="104"/>
      <c r="W8" s="104"/>
      <c r="X8" s="104"/>
      <c r="Y8" s="118"/>
    </row>
    <row r="9" spans="1:27" x14ac:dyDescent="0.3">
      <c r="A9" s="176"/>
      <c r="B9" s="173"/>
      <c r="C9" s="173"/>
      <c r="D9" s="173"/>
      <c r="E9" s="173"/>
      <c r="F9" s="173"/>
      <c r="G9" s="5"/>
      <c r="H9" s="5"/>
      <c r="I9" s="5"/>
      <c r="J9" s="5"/>
      <c r="K9" s="108"/>
      <c r="S9" s="117"/>
      <c r="T9" s="104"/>
      <c r="U9" s="104"/>
      <c r="V9" s="104"/>
      <c r="W9" s="104"/>
      <c r="X9" s="104"/>
      <c r="Y9" s="118"/>
    </row>
    <row r="10" spans="1:27" ht="21" x14ac:dyDescent="0.4">
      <c r="A10" s="176"/>
      <c r="B10" s="173"/>
      <c r="C10" s="173"/>
      <c r="D10" s="173"/>
      <c r="E10" s="173"/>
      <c r="F10" s="172" t="s">
        <v>28</v>
      </c>
      <c r="G10" s="5"/>
      <c r="H10" s="5"/>
      <c r="I10" s="5"/>
      <c r="J10" s="5"/>
      <c r="K10" s="108"/>
      <c r="S10" s="117"/>
      <c r="T10" s="104"/>
      <c r="U10" s="104"/>
      <c r="V10" s="104"/>
      <c r="W10" s="104"/>
      <c r="X10" s="104"/>
      <c r="Y10" s="118"/>
    </row>
    <row r="11" spans="1:27" x14ac:dyDescent="0.3">
      <c r="A11" s="176"/>
      <c r="B11" s="173"/>
      <c r="C11" s="173"/>
      <c r="D11" s="173"/>
      <c r="E11" s="173"/>
      <c r="F11" s="173"/>
      <c r="G11" s="5"/>
      <c r="H11" s="5"/>
      <c r="I11" s="5"/>
      <c r="J11" s="5"/>
      <c r="K11" s="108"/>
      <c r="S11" s="117"/>
      <c r="T11" s="104"/>
      <c r="U11" s="104"/>
      <c r="V11" s="104"/>
      <c r="W11" s="104"/>
      <c r="X11" s="104"/>
      <c r="Y11" s="118"/>
    </row>
    <row r="12" spans="1:27" x14ac:dyDescent="0.3">
      <c r="A12" s="176"/>
      <c r="B12" s="173"/>
      <c r="C12" s="40">
        <v>14035</v>
      </c>
      <c r="D12" s="17" t="s">
        <v>43</v>
      </c>
      <c r="E12" s="17" t="s">
        <v>317</v>
      </c>
      <c r="F12" s="173">
        <v>1</v>
      </c>
      <c r="G12" s="173">
        <v>1</v>
      </c>
      <c r="H12" s="173" t="s">
        <v>30</v>
      </c>
      <c r="I12" s="5" t="s">
        <v>54</v>
      </c>
      <c r="J12" s="5"/>
      <c r="K12" s="155"/>
      <c r="S12" s="122" t="s">
        <v>43</v>
      </c>
      <c r="T12" s="17" t="s">
        <v>317</v>
      </c>
      <c r="U12" s="17">
        <v>1</v>
      </c>
      <c r="V12" s="17">
        <v>1</v>
      </c>
      <c r="X12" s="126">
        <f>(IF(U12&gt;V12,3,IF(U12=V12,1,2)))</f>
        <v>1</v>
      </c>
      <c r="Y12" s="125">
        <f>(IF(V12&gt;U12,3,IF(U12=V12,1,2)))</f>
        <v>1</v>
      </c>
      <c r="AA12" s="357" t="s">
        <v>37</v>
      </c>
    </row>
    <row r="13" spans="1:27" x14ac:dyDescent="0.3">
      <c r="A13" s="176"/>
      <c r="B13" s="173"/>
      <c r="C13" s="40"/>
      <c r="D13" s="17"/>
      <c r="E13" s="17"/>
      <c r="F13" s="173">
        <v>1</v>
      </c>
      <c r="G13" s="173">
        <v>1</v>
      </c>
      <c r="H13" s="173"/>
      <c r="I13" s="5"/>
      <c r="J13" s="5"/>
      <c r="K13" s="155"/>
      <c r="S13" s="117" t="s">
        <v>32</v>
      </c>
      <c r="T13" s="104" t="s">
        <v>316</v>
      </c>
      <c r="U13" s="104">
        <v>6</v>
      </c>
      <c r="V13" s="104">
        <v>0</v>
      </c>
      <c r="X13" s="126">
        <f t="shared" ref="X13:X18" si="0">(IF(U13&gt;V13,3,IF(U13=V13,1,2)))</f>
        <v>3</v>
      </c>
      <c r="Y13" s="125">
        <f t="shared" ref="Y13:Y18" si="1">(IF(V13&gt;U13,3,IF(U13=V13,1,2)))</f>
        <v>2</v>
      </c>
      <c r="AA13" s="357" t="s">
        <v>9</v>
      </c>
    </row>
    <row r="14" spans="1:27" ht="15" thickBot="1" x14ac:dyDescent="0.35">
      <c r="A14" s="176"/>
      <c r="B14" s="173"/>
      <c r="C14" s="58"/>
      <c r="D14" s="30"/>
      <c r="E14" s="30"/>
      <c r="F14" s="178" t="s">
        <v>172</v>
      </c>
      <c r="G14" s="178" t="s">
        <v>183</v>
      </c>
      <c r="H14" s="178"/>
      <c r="I14" s="8"/>
      <c r="J14" s="5"/>
      <c r="K14" s="155"/>
      <c r="S14" s="117" t="s">
        <v>56</v>
      </c>
      <c r="T14" s="104" t="s">
        <v>16</v>
      </c>
      <c r="U14" s="104">
        <v>3</v>
      </c>
      <c r="V14" s="104">
        <v>3</v>
      </c>
      <c r="X14" s="126">
        <f t="shared" si="0"/>
        <v>1</v>
      </c>
      <c r="Y14" s="125">
        <f t="shared" si="1"/>
        <v>1</v>
      </c>
      <c r="AA14" s="357" t="s">
        <v>32</v>
      </c>
    </row>
    <row r="15" spans="1:27" x14ac:dyDescent="0.3">
      <c r="A15" s="176"/>
      <c r="B15" s="173"/>
      <c r="C15" s="40">
        <v>14036</v>
      </c>
      <c r="D15" s="66" t="s">
        <v>32</v>
      </c>
      <c r="E15" s="66" t="s">
        <v>316</v>
      </c>
      <c r="F15" s="33">
        <v>6</v>
      </c>
      <c r="G15" s="33">
        <v>0</v>
      </c>
      <c r="H15" s="173"/>
      <c r="I15" s="5" t="s">
        <v>55</v>
      </c>
      <c r="J15" s="5"/>
      <c r="K15" s="155"/>
      <c r="S15" s="117" t="s">
        <v>3</v>
      </c>
      <c r="T15" s="104" t="s">
        <v>21</v>
      </c>
      <c r="U15" s="104">
        <v>3</v>
      </c>
      <c r="V15" s="104">
        <v>1</v>
      </c>
      <c r="X15" s="126">
        <f t="shared" si="0"/>
        <v>3</v>
      </c>
      <c r="Y15" s="125">
        <f t="shared" si="1"/>
        <v>2</v>
      </c>
      <c r="AA15" s="357" t="s">
        <v>45</v>
      </c>
    </row>
    <row r="16" spans="1:27" ht="15" thickBot="1" x14ac:dyDescent="0.35">
      <c r="A16" s="176"/>
      <c r="B16" s="173"/>
      <c r="C16" s="58"/>
      <c r="D16" s="367"/>
      <c r="E16" s="367"/>
      <c r="F16" s="59" t="s">
        <v>268</v>
      </c>
      <c r="G16" s="59" t="s">
        <v>171</v>
      </c>
      <c r="H16" s="178"/>
      <c r="I16" s="8"/>
      <c r="J16" s="5"/>
      <c r="K16" s="155"/>
      <c r="S16" s="117" t="s">
        <v>37</v>
      </c>
      <c r="T16" s="104" t="s">
        <v>59</v>
      </c>
      <c r="U16" s="104">
        <v>2</v>
      </c>
      <c r="V16" s="104">
        <v>1</v>
      </c>
      <c r="X16" s="126">
        <f t="shared" si="0"/>
        <v>3</v>
      </c>
      <c r="Y16" s="125">
        <f t="shared" si="1"/>
        <v>2</v>
      </c>
      <c r="AA16" s="357" t="s">
        <v>43</v>
      </c>
    </row>
    <row r="17" spans="1:27" x14ac:dyDescent="0.3">
      <c r="A17" s="176"/>
      <c r="B17" s="173"/>
      <c r="C17" s="40">
        <v>14036</v>
      </c>
      <c r="D17" s="66" t="s">
        <v>56</v>
      </c>
      <c r="E17" s="66" t="s">
        <v>16</v>
      </c>
      <c r="F17" s="33">
        <v>3</v>
      </c>
      <c r="G17" s="33">
        <v>3</v>
      </c>
      <c r="H17" s="173" t="s">
        <v>30</v>
      </c>
      <c r="I17" s="5" t="s">
        <v>57</v>
      </c>
      <c r="J17" s="5"/>
      <c r="K17" s="155"/>
      <c r="S17" s="117" t="s">
        <v>9</v>
      </c>
      <c r="T17" s="104" t="s">
        <v>61</v>
      </c>
      <c r="U17" s="104">
        <v>6</v>
      </c>
      <c r="V17" s="104">
        <v>5</v>
      </c>
      <c r="X17" s="126">
        <f t="shared" si="0"/>
        <v>3</v>
      </c>
      <c r="Y17" s="125">
        <f t="shared" si="1"/>
        <v>2</v>
      </c>
      <c r="AA17" s="357" t="s">
        <v>56</v>
      </c>
    </row>
    <row r="18" spans="1:27" x14ac:dyDescent="0.3">
      <c r="A18" s="176"/>
      <c r="B18" s="173"/>
      <c r="C18" s="40"/>
      <c r="D18" s="66"/>
      <c r="E18" s="66"/>
      <c r="F18" s="33">
        <v>2</v>
      </c>
      <c r="G18" s="33">
        <v>2</v>
      </c>
      <c r="H18" s="173"/>
      <c r="I18" s="5"/>
      <c r="J18" s="5"/>
      <c r="K18" s="155"/>
      <c r="S18" s="117" t="s">
        <v>45</v>
      </c>
      <c r="T18" s="104" t="s">
        <v>63</v>
      </c>
      <c r="U18" s="104">
        <v>3</v>
      </c>
      <c r="V18" s="104">
        <v>0</v>
      </c>
      <c r="W18" s="104"/>
      <c r="X18" s="104">
        <f t="shared" si="0"/>
        <v>3</v>
      </c>
      <c r="Y18" s="118">
        <f t="shared" si="1"/>
        <v>2</v>
      </c>
      <c r="AA18" s="357" t="s">
        <v>3</v>
      </c>
    </row>
    <row r="19" spans="1:27" ht="15" thickBot="1" x14ac:dyDescent="0.35">
      <c r="A19" s="176"/>
      <c r="B19" s="173"/>
      <c r="C19" s="58"/>
      <c r="D19" s="367"/>
      <c r="E19" s="367"/>
      <c r="F19" s="59" t="s">
        <v>172</v>
      </c>
      <c r="G19" s="59" t="s">
        <v>183</v>
      </c>
      <c r="H19" s="178"/>
      <c r="I19" s="8"/>
      <c r="J19" s="5"/>
      <c r="K19" s="155"/>
      <c r="S19" s="117"/>
      <c r="T19" s="104"/>
      <c r="U19" s="104"/>
      <c r="V19" s="104"/>
      <c r="W19" s="104"/>
      <c r="X19" s="104"/>
      <c r="Y19" s="118"/>
      <c r="AA19" s="357" t="s">
        <v>41</v>
      </c>
    </row>
    <row r="20" spans="1:27" x14ac:dyDescent="0.3">
      <c r="A20" s="176"/>
      <c r="B20" s="173"/>
      <c r="C20" s="40">
        <v>14036</v>
      </c>
      <c r="D20" s="66" t="s">
        <v>3</v>
      </c>
      <c r="E20" s="66" t="s">
        <v>21</v>
      </c>
      <c r="F20" s="33">
        <v>3</v>
      </c>
      <c r="G20" s="33">
        <v>1</v>
      </c>
      <c r="H20" s="173"/>
      <c r="I20" s="157" t="s">
        <v>58</v>
      </c>
      <c r="J20" s="5"/>
      <c r="K20" s="155"/>
      <c r="S20" s="117"/>
      <c r="T20" s="104"/>
      <c r="U20" s="104"/>
      <c r="V20" s="104"/>
      <c r="W20" s="104"/>
      <c r="X20" s="104"/>
      <c r="Y20" s="118"/>
      <c r="AA20" s="357" t="s">
        <v>16</v>
      </c>
    </row>
    <row r="21" spans="1:27" ht="15" thickBot="1" x14ac:dyDescent="0.35">
      <c r="A21" s="176"/>
      <c r="B21" s="173"/>
      <c r="C21" s="58"/>
      <c r="D21" s="367"/>
      <c r="E21" s="367"/>
      <c r="F21" s="59" t="s">
        <v>215</v>
      </c>
      <c r="G21" s="59" t="s">
        <v>183</v>
      </c>
      <c r="H21" s="178"/>
      <c r="I21" s="61"/>
      <c r="J21" s="5"/>
      <c r="K21" s="155"/>
      <c r="S21" s="117"/>
      <c r="T21" s="104"/>
      <c r="U21" s="104"/>
      <c r="V21" s="104"/>
      <c r="W21" s="104"/>
      <c r="X21" s="104"/>
      <c r="Y21" s="118"/>
      <c r="AA21" s="357" t="s">
        <v>317</v>
      </c>
    </row>
    <row r="22" spans="1:27" x14ac:dyDescent="0.3">
      <c r="A22" s="176"/>
      <c r="B22" s="173"/>
      <c r="C22" s="40">
        <v>14036</v>
      </c>
      <c r="D22" s="66" t="s">
        <v>37</v>
      </c>
      <c r="E22" s="66" t="s">
        <v>59</v>
      </c>
      <c r="F22" s="33">
        <v>2</v>
      </c>
      <c r="G22" s="33">
        <v>1</v>
      </c>
      <c r="H22" s="173" t="s">
        <v>30</v>
      </c>
      <c r="I22" s="5" t="s">
        <v>60</v>
      </c>
      <c r="J22" s="5"/>
      <c r="K22" s="155"/>
      <c r="S22" s="117"/>
      <c r="T22" s="104"/>
      <c r="U22" s="104"/>
      <c r="V22" s="104"/>
      <c r="W22" s="104"/>
      <c r="X22" s="104"/>
      <c r="Y22" s="118"/>
      <c r="AA22" s="357" t="s">
        <v>61</v>
      </c>
    </row>
    <row r="23" spans="1:27" x14ac:dyDescent="0.3">
      <c r="A23" s="176"/>
      <c r="B23" s="173"/>
      <c r="C23" s="40"/>
      <c r="D23" s="66"/>
      <c r="E23" s="66"/>
      <c r="F23" s="33">
        <v>1</v>
      </c>
      <c r="G23" s="33">
        <v>1</v>
      </c>
      <c r="H23" s="173"/>
      <c r="I23" s="5"/>
      <c r="J23" s="5"/>
      <c r="K23" s="155"/>
      <c r="S23" s="117"/>
      <c r="T23" s="104"/>
      <c r="U23" s="104"/>
      <c r="V23" s="104"/>
      <c r="W23" s="104"/>
      <c r="X23" s="104"/>
      <c r="Y23" s="118"/>
      <c r="AA23" s="357" t="s">
        <v>59</v>
      </c>
    </row>
    <row r="24" spans="1:27" ht="15" thickBot="1" x14ac:dyDescent="0.35">
      <c r="A24" s="176"/>
      <c r="B24" s="173"/>
      <c r="C24" s="58"/>
      <c r="D24" s="367"/>
      <c r="E24" s="367"/>
      <c r="F24" s="59" t="s">
        <v>172</v>
      </c>
      <c r="G24" s="59" t="s">
        <v>171</v>
      </c>
      <c r="H24" s="178"/>
      <c r="I24" s="8"/>
      <c r="J24" s="5"/>
      <c r="K24" s="155"/>
      <c r="S24" s="117"/>
      <c r="T24" s="104"/>
      <c r="U24" s="104"/>
      <c r="V24" s="104"/>
      <c r="W24" s="104"/>
      <c r="X24" s="104"/>
      <c r="Y24" s="118"/>
      <c r="AA24" s="357" t="s">
        <v>21</v>
      </c>
    </row>
    <row r="25" spans="1:27" s="13" customFormat="1" x14ac:dyDescent="0.3">
      <c r="A25" s="186"/>
      <c r="B25" s="95"/>
      <c r="C25" s="165">
        <v>14036</v>
      </c>
      <c r="D25" s="66" t="s">
        <v>9</v>
      </c>
      <c r="E25" s="66" t="s">
        <v>61</v>
      </c>
      <c r="F25" s="66">
        <v>6</v>
      </c>
      <c r="G25" s="66">
        <v>5</v>
      </c>
      <c r="H25" s="17" t="s">
        <v>30</v>
      </c>
      <c r="I25" s="18" t="s">
        <v>62</v>
      </c>
      <c r="J25" s="18"/>
      <c r="K25" s="159"/>
      <c r="S25" s="117"/>
      <c r="T25" s="104"/>
      <c r="U25" s="104"/>
      <c r="V25" s="104"/>
      <c r="W25" s="104"/>
      <c r="X25" s="5"/>
      <c r="Y25" s="127"/>
      <c r="AA25" s="10" t="s">
        <v>63</v>
      </c>
    </row>
    <row r="26" spans="1:27" s="13" customFormat="1" x14ac:dyDescent="0.3">
      <c r="A26" s="186"/>
      <c r="B26" s="95"/>
      <c r="C26" s="165"/>
      <c r="D26" s="66"/>
      <c r="E26" s="66"/>
      <c r="F26" s="66">
        <v>4</v>
      </c>
      <c r="G26" s="66">
        <v>4</v>
      </c>
      <c r="H26" s="17"/>
      <c r="I26" s="18"/>
      <c r="J26" s="18"/>
      <c r="K26" s="159"/>
      <c r="S26" s="122"/>
      <c r="T26" s="17"/>
      <c r="U26" s="17"/>
      <c r="V26" s="17"/>
      <c r="W26" s="17"/>
      <c r="X26" s="18"/>
      <c r="Y26" s="128"/>
      <c r="AA26" s="10" t="s">
        <v>316</v>
      </c>
    </row>
    <row r="27" spans="1:27" s="13" customFormat="1" ht="15" thickBot="1" x14ac:dyDescent="0.35">
      <c r="A27" s="186"/>
      <c r="B27" s="95"/>
      <c r="C27" s="62"/>
      <c r="D27" s="367"/>
      <c r="E27" s="367"/>
      <c r="F27" s="367" t="s">
        <v>264</v>
      </c>
      <c r="G27" s="367" t="s">
        <v>183</v>
      </c>
      <c r="H27" s="30"/>
      <c r="I27" s="31"/>
      <c r="J27" s="18"/>
      <c r="K27" s="159"/>
      <c r="S27" s="122"/>
      <c r="T27" s="17"/>
      <c r="U27" s="17"/>
      <c r="V27" s="17"/>
      <c r="W27" s="17"/>
      <c r="X27" s="18"/>
      <c r="Y27" s="128"/>
      <c r="AA27" s="10"/>
    </row>
    <row r="28" spans="1:27" s="13" customFormat="1" x14ac:dyDescent="0.3">
      <c r="A28" s="186"/>
      <c r="B28" s="95"/>
      <c r="C28" s="165">
        <v>14036</v>
      </c>
      <c r="D28" s="66" t="s">
        <v>45</v>
      </c>
      <c r="E28" s="66" t="s">
        <v>63</v>
      </c>
      <c r="F28" s="66">
        <v>3</v>
      </c>
      <c r="G28" s="66">
        <v>0</v>
      </c>
      <c r="H28" s="17" t="s">
        <v>30</v>
      </c>
      <c r="I28" s="18" t="s">
        <v>64</v>
      </c>
      <c r="J28" s="18"/>
      <c r="K28" s="159"/>
      <c r="S28" s="122"/>
      <c r="T28" s="17"/>
      <c r="U28" s="17"/>
      <c r="V28" s="17"/>
      <c r="W28" s="17"/>
      <c r="X28" s="18"/>
      <c r="Y28" s="128"/>
      <c r="AA28" s="10"/>
    </row>
    <row r="29" spans="1:27" s="13" customFormat="1" x14ac:dyDescent="0.3">
      <c r="A29" s="186"/>
      <c r="B29" s="95"/>
      <c r="C29" s="165"/>
      <c r="D29" s="66"/>
      <c r="E29" s="66"/>
      <c r="F29" s="66">
        <v>0</v>
      </c>
      <c r="G29" s="66">
        <v>0</v>
      </c>
      <c r="H29" s="17"/>
      <c r="I29" s="18"/>
      <c r="J29" s="18"/>
      <c r="K29" s="159"/>
      <c r="S29" s="122"/>
      <c r="T29" s="17"/>
      <c r="U29" s="17"/>
      <c r="V29" s="17"/>
      <c r="W29" s="17"/>
      <c r="X29" s="18"/>
      <c r="Y29" s="128"/>
      <c r="AA29" s="10"/>
    </row>
    <row r="30" spans="1:27" s="13" customFormat="1" ht="15" thickBot="1" x14ac:dyDescent="0.35">
      <c r="A30" s="186"/>
      <c r="B30" s="95"/>
      <c r="C30" s="62"/>
      <c r="D30" s="367"/>
      <c r="E30" s="367"/>
      <c r="F30" s="367" t="s">
        <v>170</v>
      </c>
      <c r="G30" s="367" t="s">
        <v>171</v>
      </c>
      <c r="H30" s="30"/>
      <c r="I30" s="31"/>
      <c r="J30" s="18"/>
      <c r="K30" s="159"/>
      <c r="S30" s="117"/>
      <c r="T30" s="104"/>
      <c r="U30" s="104"/>
      <c r="V30" s="104"/>
      <c r="W30" s="104"/>
      <c r="X30" s="104"/>
      <c r="Y30" s="118"/>
      <c r="AA30" s="10"/>
    </row>
    <row r="31" spans="1:27" s="2" customFormat="1" x14ac:dyDescent="0.3">
      <c r="A31" s="187"/>
      <c r="B31" s="5"/>
      <c r="C31" s="40">
        <v>14036</v>
      </c>
      <c r="D31" s="66" t="s">
        <v>41</v>
      </c>
      <c r="E31" s="66" t="s">
        <v>29</v>
      </c>
      <c r="F31" s="33" t="s">
        <v>65</v>
      </c>
      <c r="G31" s="33"/>
      <c r="H31" s="173"/>
      <c r="I31" s="5" t="s">
        <v>66</v>
      </c>
      <c r="J31" s="5"/>
      <c r="K31" s="155"/>
      <c r="S31" s="117"/>
      <c r="T31" s="104"/>
      <c r="U31" s="104"/>
      <c r="V31" s="104"/>
      <c r="W31" s="104"/>
      <c r="X31" s="104"/>
      <c r="Y31" s="118"/>
    </row>
    <row r="32" spans="1:27" s="2" customFormat="1" x14ac:dyDescent="0.3">
      <c r="A32" s="187"/>
      <c r="B32" s="5"/>
      <c r="C32" s="40"/>
      <c r="D32" s="17"/>
      <c r="E32" s="17"/>
      <c r="F32" s="173"/>
      <c r="G32" s="173"/>
      <c r="H32" s="173"/>
      <c r="I32" s="5"/>
      <c r="J32" s="5"/>
      <c r="K32" s="155"/>
      <c r="S32" s="117"/>
      <c r="T32" s="104"/>
      <c r="U32" s="104"/>
      <c r="V32" s="104"/>
      <c r="W32" s="104"/>
      <c r="X32" s="104"/>
      <c r="Y32" s="118"/>
    </row>
    <row r="33" spans="1:25" s="2" customFormat="1" x14ac:dyDescent="0.3">
      <c r="A33" s="187"/>
      <c r="B33" s="5"/>
      <c r="C33" s="40"/>
      <c r="D33" s="17"/>
      <c r="E33" s="17"/>
      <c r="F33" s="173"/>
      <c r="G33" s="173"/>
      <c r="H33" s="173"/>
      <c r="I33" s="5"/>
      <c r="J33" s="5"/>
      <c r="K33" s="155"/>
      <c r="S33" s="117"/>
      <c r="T33" s="104"/>
      <c r="U33" s="104"/>
      <c r="V33" s="104"/>
      <c r="W33" s="104"/>
      <c r="X33" s="126"/>
      <c r="Y33" s="125"/>
    </row>
    <row r="34" spans="1:25" s="2" customFormat="1" ht="21" x14ac:dyDescent="0.4">
      <c r="A34" s="187"/>
      <c r="B34" s="5"/>
      <c r="C34" s="40"/>
      <c r="D34" s="17"/>
      <c r="E34" s="17"/>
      <c r="F34" s="172" t="s">
        <v>272</v>
      </c>
      <c r="G34" s="173"/>
      <c r="H34" s="173"/>
      <c r="I34" s="5"/>
      <c r="J34" s="5"/>
      <c r="K34" s="155"/>
      <c r="S34" s="117"/>
      <c r="T34" s="104"/>
      <c r="U34" s="104"/>
      <c r="V34" s="104"/>
      <c r="W34" s="104"/>
      <c r="X34" s="126"/>
      <c r="Y34" s="125"/>
    </row>
    <row r="35" spans="1:25" s="2" customFormat="1" ht="14.4" customHeight="1" x14ac:dyDescent="0.4">
      <c r="A35" s="187"/>
      <c r="B35" s="5"/>
      <c r="C35" s="40"/>
      <c r="D35" s="17"/>
      <c r="E35" s="17"/>
      <c r="F35" s="172"/>
      <c r="G35" s="173"/>
      <c r="H35" s="173"/>
      <c r="I35" s="5"/>
      <c r="J35" s="5"/>
      <c r="K35" s="155"/>
      <c r="S35" s="117"/>
      <c r="T35" s="104"/>
      <c r="U35" s="104"/>
      <c r="V35" s="104"/>
      <c r="W35" s="104"/>
      <c r="X35" s="126"/>
      <c r="Y35" s="125"/>
    </row>
    <row r="36" spans="1:25" s="2" customFormat="1" x14ac:dyDescent="0.3">
      <c r="A36" s="187"/>
      <c r="B36" s="5"/>
      <c r="C36" s="40">
        <v>14040</v>
      </c>
      <c r="D36" s="66" t="s">
        <v>43</v>
      </c>
      <c r="E36" s="66" t="s">
        <v>317</v>
      </c>
      <c r="F36" s="33">
        <v>4</v>
      </c>
      <c r="G36" s="173">
        <v>2</v>
      </c>
      <c r="H36" s="173"/>
      <c r="I36" s="5" t="s">
        <v>54</v>
      </c>
      <c r="J36" s="157"/>
      <c r="K36" s="155"/>
      <c r="S36" s="117" t="s">
        <v>43</v>
      </c>
      <c r="T36" s="104" t="s">
        <v>317</v>
      </c>
      <c r="U36" s="104">
        <v>4</v>
      </c>
      <c r="V36" s="104">
        <v>2</v>
      </c>
      <c r="W36" s="104"/>
      <c r="X36" s="126">
        <f t="shared" ref="X36" si="2">(IF(U36&gt;V36,3,IF(U36=V36,1,2)))</f>
        <v>3</v>
      </c>
      <c r="Y36" s="125">
        <f t="shared" ref="Y36" si="3">(IF(V36&gt;U36,3,IF(U36=V36,1,2)))</f>
        <v>2</v>
      </c>
    </row>
    <row r="37" spans="1:25" s="2" customFormat="1" ht="15" thickBot="1" x14ac:dyDescent="0.35">
      <c r="A37" s="187"/>
      <c r="B37" s="5"/>
      <c r="C37" s="58"/>
      <c r="D37" s="367"/>
      <c r="E37" s="367"/>
      <c r="F37" s="59" t="s">
        <v>172</v>
      </c>
      <c r="G37" s="178" t="s">
        <v>173</v>
      </c>
      <c r="H37" s="178"/>
      <c r="I37" s="8"/>
      <c r="J37" s="157"/>
      <c r="K37" s="155"/>
      <c r="S37" s="117" t="s">
        <v>56</v>
      </c>
      <c r="T37" s="104" t="s">
        <v>16</v>
      </c>
      <c r="U37" s="104">
        <v>2</v>
      </c>
      <c r="V37" s="104">
        <v>1</v>
      </c>
      <c r="W37" s="104"/>
      <c r="X37" s="126">
        <f t="shared" ref="X37" si="4">(IF(U37&gt;V37,3,IF(U37=V37,1,2)))</f>
        <v>3</v>
      </c>
      <c r="Y37" s="125">
        <f t="shared" ref="Y37" si="5">(IF(V37&gt;U37,3,IF(U37=V37,1,2)))</f>
        <v>2</v>
      </c>
    </row>
    <row r="38" spans="1:25" s="2" customFormat="1" x14ac:dyDescent="0.3">
      <c r="A38" s="187"/>
      <c r="B38" s="5"/>
      <c r="C38" s="40">
        <v>14040</v>
      </c>
      <c r="D38" s="66" t="s">
        <v>56</v>
      </c>
      <c r="E38" s="66" t="s">
        <v>16</v>
      </c>
      <c r="F38" s="33">
        <v>2</v>
      </c>
      <c r="G38" s="173">
        <v>1</v>
      </c>
      <c r="H38" s="173"/>
      <c r="I38" s="5" t="s">
        <v>57</v>
      </c>
      <c r="J38" s="157"/>
      <c r="K38" s="155"/>
      <c r="S38" s="117"/>
      <c r="T38" s="104"/>
      <c r="U38" s="104"/>
      <c r="V38" s="104"/>
      <c r="W38" s="104"/>
      <c r="X38" s="104"/>
      <c r="Y38" s="118"/>
    </row>
    <row r="39" spans="1:25" s="2" customFormat="1" x14ac:dyDescent="0.3">
      <c r="A39" s="156"/>
      <c r="B39" s="17"/>
      <c r="C39" s="17"/>
      <c r="D39" s="173"/>
      <c r="E39" s="173"/>
      <c r="F39" s="173" t="s">
        <v>170</v>
      </c>
      <c r="G39" s="5" t="s">
        <v>183</v>
      </c>
      <c r="H39" s="5"/>
      <c r="I39" s="5"/>
      <c r="J39" s="5"/>
      <c r="K39" s="155"/>
      <c r="S39" s="117"/>
      <c r="T39" s="104"/>
      <c r="U39" s="104"/>
      <c r="V39" s="104"/>
      <c r="W39" s="104"/>
      <c r="X39" s="104"/>
      <c r="Y39" s="118"/>
    </row>
    <row r="40" spans="1:25" s="2" customFormat="1" x14ac:dyDescent="0.3">
      <c r="A40" s="156"/>
      <c r="B40" s="17"/>
      <c r="C40" s="17"/>
      <c r="D40" s="173"/>
      <c r="E40" s="173"/>
      <c r="F40" s="173"/>
      <c r="G40" s="5"/>
      <c r="H40" s="5"/>
      <c r="I40" s="5"/>
      <c r="J40" s="5"/>
      <c r="K40" s="155"/>
      <c r="S40" s="117"/>
      <c r="T40" s="104"/>
      <c r="U40" s="104"/>
      <c r="V40" s="104"/>
      <c r="W40" s="104"/>
      <c r="X40" s="104"/>
      <c r="Y40" s="118"/>
    </row>
    <row r="41" spans="1:25" s="2" customFormat="1" ht="21" x14ac:dyDescent="0.4">
      <c r="A41" s="156"/>
      <c r="B41" s="5"/>
      <c r="C41" s="173"/>
      <c r="D41" s="173"/>
      <c r="E41" s="173"/>
      <c r="F41" s="172" t="s">
        <v>47</v>
      </c>
      <c r="G41" s="5"/>
      <c r="H41" s="5"/>
      <c r="I41" s="5"/>
      <c r="J41" s="5"/>
      <c r="K41" s="155"/>
      <c r="S41" s="117"/>
      <c r="T41" s="104"/>
      <c r="U41" s="104"/>
      <c r="V41" s="104"/>
      <c r="W41" s="104"/>
      <c r="X41" s="104"/>
      <c r="Y41" s="118"/>
    </row>
    <row r="42" spans="1:25" s="2" customFormat="1" x14ac:dyDescent="0.3">
      <c r="A42" s="156"/>
      <c r="B42" s="173"/>
      <c r="C42" s="173"/>
      <c r="D42" s="173"/>
      <c r="E42" s="173"/>
      <c r="F42" s="173"/>
      <c r="G42" s="5"/>
      <c r="H42" s="5"/>
      <c r="I42" s="5"/>
      <c r="J42" s="5"/>
      <c r="K42" s="155"/>
      <c r="S42" s="117"/>
      <c r="T42" s="104"/>
      <c r="U42" s="104"/>
      <c r="V42" s="104"/>
      <c r="W42" s="104"/>
      <c r="X42" s="104"/>
      <c r="Y42" s="118"/>
    </row>
    <row r="43" spans="1:25" s="2" customFormat="1" x14ac:dyDescent="0.3">
      <c r="A43" s="187"/>
      <c r="B43" s="5"/>
      <c r="C43" s="40">
        <v>14043</v>
      </c>
      <c r="D43" s="33" t="s">
        <v>37</v>
      </c>
      <c r="E43" s="33" t="s">
        <v>3</v>
      </c>
      <c r="F43" s="33">
        <v>3</v>
      </c>
      <c r="G43" s="33">
        <v>1</v>
      </c>
      <c r="H43" s="173"/>
      <c r="I43" s="157" t="s">
        <v>58</v>
      </c>
      <c r="J43" s="5"/>
      <c r="K43" s="155"/>
      <c r="S43" s="117" t="s">
        <v>37</v>
      </c>
      <c r="T43" s="104" t="s">
        <v>3</v>
      </c>
      <c r="U43" s="104">
        <v>3</v>
      </c>
      <c r="V43" s="104">
        <v>1</v>
      </c>
      <c r="W43" s="104"/>
      <c r="X43" s="126">
        <f t="shared" ref="X43:X45" si="6">(IF(U43&gt;V43,3,IF(U43=V43,1,2)))</f>
        <v>3</v>
      </c>
      <c r="Y43" s="125">
        <f t="shared" ref="Y43:Y45" si="7">(IF(V43&gt;U43,3,IF(U43=V43,1,2)))</f>
        <v>2</v>
      </c>
    </row>
    <row r="44" spans="1:25" s="2" customFormat="1" ht="15" thickBot="1" x14ac:dyDescent="0.35">
      <c r="A44" s="187"/>
      <c r="B44" s="5"/>
      <c r="C44" s="58"/>
      <c r="D44" s="59"/>
      <c r="E44" s="59"/>
      <c r="F44" s="59" t="s">
        <v>172</v>
      </c>
      <c r="G44" s="59" t="s">
        <v>183</v>
      </c>
      <c r="H44" s="178"/>
      <c r="I44" s="61"/>
      <c r="J44" s="5"/>
      <c r="K44" s="155"/>
      <c r="S44" s="117" t="s">
        <v>45</v>
      </c>
      <c r="T44" s="104" t="s">
        <v>9</v>
      </c>
      <c r="U44" s="104">
        <v>1</v>
      </c>
      <c r="V44" s="104">
        <v>1</v>
      </c>
      <c r="W44" s="104"/>
      <c r="X44" s="126">
        <f t="shared" si="6"/>
        <v>1</v>
      </c>
      <c r="Y44" s="125">
        <f t="shared" si="7"/>
        <v>1</v>
      </c>
    </row>
    <row r="45" spans="1:25" s="2" customFormat="1" x14ac:dyDescent="0.3">
      <c r="A45" s="187"/>
      <c r="B45" s="5"/>
      <c r="C45" s="165">
        <v>14043</v>
      </c>
      <c r="D45" s="66" t="s">
        <v>45</v>
      </c>
      <c r="E45" s="66" t="s">
        <v>9</v>
      </c>
      <c r="F45" s="66">
        <v>1</v>
      </c>
      <c r="G45" s="66">
        <v>1</v>
      </c>
      <c r="H45" s="17" t="s">
        <v>30</v>
      </c>
      <c r="I45" s="18" t="s">
        <v>67</v>
      </c>
      <c r="J45" s="5"/>
      <c r="K45" s="155"/>
      <c r="S45" s="117" t="s">
        <v>56</v>
      </c>
      <c r="T45" s="104" t="s">
        <v>41</v>
      </c>
      <c r="U45" s="104">
        <v>0</v>
      </c>
      <c r="V45" s="104">
        <v>8</v>
      </c>
      <c r="W45" s="104"/>
      <c r="X45" s="126">
        <f t="shared" si="6"/>
        <v>2</v>
      </c>
      <c r="Y45" s="125">
        <f t="shared" si="7"/>
        <v>3</v>
      </c>
    </row>
    <row r="46" spans="1:25" s="2" customFormat="1" x14ac:dyDescent="0.3">
      <c r="A46" s="187"/>
      <c r="B46" s="5"/>
      <c r="C46" s="165"/>
      <c r="D46" s="66"/>
      <c r="E46" s="66"/>
      <c r="F46" s="66">
        <v>1</v>
      </c>
      <c r="G46" s="66">
        <v>1</v>
      </c>
      <c r="H46" s="17"/>
      <c r="I46" s="18"/>
      <c r="J46" s="5"/>
      <c r="K46" s="155"/>
      <c r="S46" s="117" t="s">
        <v>43</v>
      </c>
      <c r="T46" s="104" t="s">
        <v>32</v>
      </c>
      <c r="U46" s="104">
        <v>0</v>
      </c>
      <c r="V46" s="104">
        <v>2</v>
      </c>
      <c r="W46" s="104"/>
      <c r="X46" s="126">
        <f t="shared" ref="X46" si="8">(IF(U46&gt;V46,3,IF(U46=V46,1,2)))</f>
        <v>2</v>
      </c>
      <c r="Y46" s="125">
        <f t="shared" ref="Y46" si="9">(IF(V46&gt;U46,3,IF(U46=V46,1,2)))</f>
        <v>3</v>
      </c>
    </row>
    <row r="47" spans="1:25" s="2" customFormat="1" ht="15" thickBot="1" x14ac:dyDescent="0.35">
      <c r="A47" s="187"/>
      <c r="B47" s="5"/>
      <c r="C47" s="58"/>
      <c r="D47" s="59"/>
      <c r="E47" s="59"/>
      <c r="F47" s="59" t="s">
        <v>170</v>
      </c>
      <c r="G47" s="59" t="s">
        <v>183</v>
      </c>
      <c r="H47" s="178"/>
      <c r="I47" s="8"/>
      <c r="J47" s="5"/>
      <c r="K47" s="155"/>
      <c r="S47" s="117"/>
      <c r="T47" s="104"/>
      <c r="U47" s="104"/>
      <c r="V47" s="104"/>
      <c r="W47" s="104"/>
      <c r="X47" s="104"/>
      <c r="Y47" s="118"/>
    </row>
    <row r="48" spans="1:25" s="2" customFormat="1" x14ac:dyDescent="0.3">
      <c r="A48" s="187"/>
      <c r="B48" s="5"/>
      <c r="C48" s="40">
        <v>14043</v>
      </c>
      <c r="D48" s="33" t="s">
        <v>56</v>
      </c>
      <c r="E48" s="33" t="s">
        <v>41</v>
      </c>
      <c r="F48" s="33">
        <v>0</v>
      </c>
      <c r="G48" s="33">
        <v>8</v>
      </c>
      <c r="H48" s="173"/>
      <c r="I48" s="5" t="s">
        <v>69</v>
      </c>
      <c r="J48" s="5"/>
      <c r="K48" s="155"/>
      <c r="S48" s="117"/>
      <c r="T48" s="104"/>
      <c r="U48" s="104"/>
      <c r="V48" s="104"/>
      <c r="W48" s="104"/>
      <c r="X48" s="104"/>
      <c r="Y48" s="118"/>
    </row>
    <row r="49" spans="1:25" s="2" customFormat="1" ht="15" thickBot="1" x14ac:dyDescent="0.35">
      <c r="A49" s="187"/>
      <c r="B49" s="5"/>
      <c r="C49" s="58"/>
      <c r="D49" s="59"/>
      <c r="E49" s="59"/>
      <c r="F49" s="59" t="s">
        <v>170</v>
      </c>
      <c r="G49" s="59" t="s">
        <v>213</v>
      </c>
      <c r="H49" s="178"/>
      <c r="I49" s="8"/>
      <c r="J49" s="5"/>
      <c r="K49" s="155"/>
      <c r="S49" s="117"/>
      <c r="T49" s="104"/>
      <c r="U49" s="104"/>
      <c r="V49" s="104"/>
      <c r="W49" s="104"/>
      <c r="X49" s="126"/>
      <c r="Y49" s="125"/>
    </row>
    <row r="50" spans="1:25" s="12" customFormat="1" x14ac:dyDescent="0.3">
      <c r="A50" s="188"/>
      <c r="B50" s="18"/>
      <c r="C50" s="40">
        <v>14043</v>
      </c>
      <c r="D50" s="33" t="s">
        <v>43</v>
      </c>
      <c r="E50" s="33" t="s">
        <v>32</v>
      </c>
      <c r="F50" s="33">
        <v>0</v>
      </c>
      <c r="G50" s="33">
        <v>2</v>
      </c>
      <c r="H50" s="173"/>
      <c r="I50" s="5" t="s">
        <v>68</v>
      </c>
      <c r="J50" s="18"/>
      <c r="K50" s="159"/>
      <c r="S50" s="117"/>
      <c r="T50" s="104"/>
      <c r="U50" s="104"/>
      <c r="V50" s="104"/>
      <c r="W50" s="104"/>
      <c r="X50" s="126"/>
      <c r="Y50" s="125"/>
    </row>
    <row r="51" spans="1:25" s="2" customFormat="1" x14ac:dyDescent="0.3">
      <c r="A51" s="187"/>
      <c r="B51" s="5"/>
      <c r="C51" s="40"/>
      <c r="D51" s="173"/>
      <c r="E51" s="173"/>
      <c r="F51" s="173" t="s">
        <v>170</v>
      </c>
      <c r="G51" s="173" t="s">
        <v>183</v>
      </c>
      <c r="H51" s="173"/>
      <c r="I51" s="5"/>
      <c r="J51" s="5"/>
      <c r="K51" s="155"/>
      <c r="S51" s="117"/>
      <c r="T51" s="104"/>
      <c r="U51" s="104"/>
      <c r="V51" s="104"/>
      <c r="W51" s="104"/>
      <c r="X51" s="126"/>
      <c r="Y51" s="125"/>
    </row>
    <row r="52" spans="1:25" s="2" customFormat="1" x14ac:dyDescent="0.3">
      <c r="A52" s="187"/>
      <c r="B52" s="5"/>
      <c r="C52" s="40"/>
      <c r="D52" s="173"/>
      <c r="E52" s="173"/>
      <c r="F52" s="173"/>
      <c r="G52" s="173"/>
      <c r="H52" s="173"/>
      <c r="I52" s="5"/>
      <c r="J52" s="5"/>
      <c r="K52" s="155"/>
      <c r="S52" s="117"/>
      <c r="T52" s="104"/>
      <c r="U52" s="104"/>
      <c r="V52" s="104"/>
      <c r="W52" s="104"/>
      <c r="X52" s="126"/>
      <c r="Y52" s="125"/>
    </row>
    <row r="53" spans="1:25" s="2" customFormat="1" x14ac:dyDescent="0.3">
      <c r="A53" s="187"/>
      <c r="B53" s="5"/>
      <c r="C53" s="40"/>
      <c r="D53" s="173"/>
      <c r="E53" s="173"/>
      <c r="F53" s="173"/>
      <c r="G53" s="173"/>
      <c r="H53" s="173"/>
      <c r="I53" s="5"/>
      <c r="J53" s="5"/>
      <c r="K53" s="155"/>
      <c r="S53" s="117"/>
      <c r="T53" s="104"/>
      <c r="U53" s="104"/>
      <c r="V53" s="104"/>
      <c r="W53" s="104"/>
      <c r="X53" s="126"/>
      <c r="Y53" s="125"/>
    </row>
    <row r="54" spans="1:25" s="2" customFormat="1" ht="21" x14ac:dyDescent="0.4">
      <c r="A54" s="187"/>
      <c r="B54" s="5"/>
      <c r="C54" s="40"/>
      <c r="D54" s="173"/>
      <c r="E54" s="173"/>
      <c r="F54" s="172" t="s">
        <v>273</v>
      </c>
      <c r="G54" s="173"/>
      <c r="H54" s="173"/>
      <c r="I54" s="5"/>
      <c r="J54" s="5"/>
      <c r="K54" s="155"/>
      <c r="S54" s="117"/>
      <c r="T54" s="104"/>
      <c r="U54" s="104"/>
      <c r="V54" s="104"/>
      <c r="W54" s="104"/>
      <c r="X54" s="104"/>
      <c r="Y54" s="118"/>
    </row>
    <row r="55" spans="1:25" s="2" customFormat="1" x14ac:dyDescent="0.3">
      <c r="A55" s="187"/>
      <c r="B55" s="5"/>
      <c r="C55" s="40"/>
      <c r="D55" s="173"/>
      <c r="E55" s="173"/>
      <c r="F55" s="173"/>
      <c r="G55" s="173"/>
      <c r="H55" s="173"/>
      <c r="I55" s="5"/>
      <c r="J55" s="5"/>
      <c r="K55" s="155"/>
      <c r="S55" s="117"/>
      <c r="T55" s="104"/>
      <c r="U55" s="104"/>
      <c r="V55" s="104"/>
      <c r="W55" s="104"/>
      <c r="X55" s="104"/>
      <c r="Y55" s="118"/>
    </row>
    <row r="56" spans="1:25" s="12" customFormat="1" x14ac:dyDescent="0.3">
      <c r="A56" s="188"/>
      <c r="B56" s="18"/>
      <c r="C56" s="165">
        <v>14045</v>
      </c>
      <c r="D56" s="66" t="s">
        <v>45</v>
      </c>
      <c r="E56" s="66" t="s">
        <v>9</v>
      </c>
      <c r="F56" s="66">
        <v>1</v>
      </c>
      <c r="G56" s="66">
        <v>2</v>
      </c>
      <c r="H56" s="17"/>
      <c r="I56" s="18" t="s">
        <v>67</v>
      </c>
      <c r="J56" s="189"/>
      <c r="K56" s="159"/>
      <c r="S56" s="117" t="s">
        <v>45</v>
      </c>
      <c r="T56" s="104" t="s">
        <v>9</v>
      </c>
      <c r="U56" s="104">
        <v>1</v>
      </c>
      <c r="V56" s="104">
        <v>2</v>
      </c>
      <c r="W56" s="104"/>
      <c r="X56" s="126">
        <f t="shared" ref="X56" si="10">(IF(U56&gt;V56,3,IF(U56=V56,1,2)))</f>
        <v>2</v>
      </c>
      <c r="Y56" s="125">
        <f t="shared" ref="Y56" si="11">(IF(V56&gt;U56,3,IF(U56=V56,1,2)))</f>
        <v>3</v>
      </c>
    </row>
    <row r="57" spans="1:25" s="2" customFormat="1" x14ac:dyDescent="0.3">
      <c r="A57" s="156"/>
      <c r="B57" s="173"/>
      <c r="C57" s="173"/>
      <c r="D57" s="173"/>
      <c r="E57" s="173"/>
      <c r="F57" s="173" t="s">
        <v>172</v>
      </c>
      <c r="G57" s="5" t="s">
        <v>171</v>
      </c>
      <c r="H57" s="5"/>
      <c r="I57" s="5"/>
      <c r="J57" s="5"/>
      <c r="K57" s="155"/>
      <c r="S57" s="117"/>
      <c r="T57" s="104"/>
      <c r="U57" s="104"/>
      <c r="V57" s="104"/>
      <c r="W57" s="104"/>
      <c r="X57" s="104"/>
      <c r="Y57" s="118"/>
    </row>
    <row r="58" spans="1:25" s="2" customFormat="1" x14ac:dyDescent="0.3">
      <c r="A58" s="156"/>
      <c r="B58" s="173"/>
      <c r="C58" s="173"/>
      <c r="D58" s="173"/>
      <c r="E58" s="173"/>
      <c r="F58" s="173"/>
      <c r="G58" s="5"/>
      <c r="H58" s="5"/>
      <c r="I58" s="5"/>
      <c r="J58" s="5"/>
      <c r="K58" s="155"/>
      <c r="S58" s="117"/>
      <c r="T58" s="104"/>
      <c r="U58" s="104"/>
      <c r="V58" s="104"/>
      <c r="W58" s="104"/>
      <c r="X58" s="104"/>
      <c r="Y58" s="118"/>
    </row>
    <row r="59" spans="1:25" s="2" customFormat="1" x14ac:dyDescent="0.3">
      <c r="A59" s="156"/>
      <c r="B59" s="173"/>
      <c r="C59" s="173"/>
      <c r="D59" s="173"/>
      <c r="E59" s="173"/>
      <c r="F59" s="173"/>
      <c r="G59" s="5"/>
      <c r="H59" s="5"/>
      <c r="I59" s="5"/>
      <c r="J59" s="5"/>
      <c r="K59" s="155"/>
      <c r="S59" s="117"/>
      <c r="T59" s="104"/>
      <c r="U59" s="104"/>
      <c r="V59" s="104"/>
      <c r="W59" s="104"/>
      <c r="X59" s="126"/>
      <c r="Y59" s="125"/>
    </row>
    <row r="60" spans="1:25" s="2" customFormat="1" ht="21" x14ac:dyDescent="0.4">
      <c r="A60" s="156"/>
      <c r="B60" s="5"/>
      <c r="C60" s="173"/>
      <c r="D60" s="173"/>
      <c r="E60" s="173"/>
      <c r="F60" s="172" t="s">
        <v>48</v>
      </c>
      <c r="G60" s="5"/>
      <c r="H60" s="5"/>
      <c r="I60" s="5"/>
      <c r="J60" s="5"/>
      <c r="K60" s="155"/>
      <c r="S60" s="117"/>
      <c r="T60" s="104"/>
      <c r="U60" s="104"/>
      <c r="V60" s="104"/>
      <c r="W60" s="104"/>
      <c r="X60" s="104"/>
      <c r="Y60" s="118"/>
    </row>
    <row r="61" spans="1:25" s="2" customFormat="1" x14ac:dyDescent="0.3">
      <c r="A61" s="156"/>
      <c r="B61" s="173"/>
      <c r="C61" s="173"/>
      <c r="D61" s="173"/>
      <c r="E61" s="173"/>
      <c r="F61" s="173"/>
      <c r="G61" s="5"/>
      <c r="H61" s="5"/>
      <c r="I61" s="5"/>
      <c r="J61" s="5"/>
      <c r="K61" s="155"/>
      <c r="S61" s="117"/>
      <c r="T61" s="104"/>
      <c r="U61" s="104"/>
      <c r="V61" s="104"/>
      <c r="W61" s="104"/>
      <c r="X61" s="104"/>
      <c r="Y61" s="118"/>
    </row>
    <row r="62" spans="1:25" s="12" customFormat="1" x14ac:dyDescent="0.3">
      <c r="A62" s="188"/>
      <c r="B62" s="18"/>
      <c r="C62" s="165">
        <v>14047</v>
      </c>
      <c r="D62" s="66" t="s">
        <v>37</v>
      </c>
      <c r="E62" s="66" t="s">
        <v>9</v>
      </c>
      <c r="F62" s="66">
        <v>2</v>
      </c>
      <c r="G62" s="66">
        <v>1</v>
      </c>
      <c r="H62" s="17"/>
      <c r="I62" s="18" t="s">
        <v>60</v>
      </c>
      <c r="J62" s="18"/>
      <c r="K62" s="159"/>
      <c r="S62" s="117" t="s">
        <v>37</v>
      </c>
      <c r="T62" s="104" t="s">
        <v>9</v>
      </c>
      <c r="U62" s="104">
        <v>2</v>
      </c>
      <c r="V62" s="104">
        <v>1</v>
      </c>
      <c r="W62" s="104"/>
      <c r="X62" s="126">
        <f t="shared" ref="X62:X63" si="12">(IF(U62&gt;V62,3,IF(U62=V62,1,2)))</f>
        <v>3</v>
      </c>
      <c r="Y62" s="125">
        <f t="shared" ref="Y62:Y63" si="13">(IF(V62&gt;U62,3,IF(U62=V62,1,2)))</f>
        <v>2</v>
      </c>
    </row>
    <row r="63" spans="1:25" s="12" customFormat="1" ht="15" thickBot="1" x14ac:dyDescent="0.35">
      <c r="A63" s="188"/>
      <c r="B63" s="18"/>
      <c r="C63" s="62"/>
      <c r="D63" s="367"/>
      <c r="E63" s="367"/>
      <c r="F63" s="367" t="s">
        <v>170</v>
      </c>
      <c r="G63" s="367" t="s">
        <v>171</v>
      </c>
      <c r="H63" s="30"/>
      <c r="I63" s="31"/>
      <c r="J63" s="18"/>
      <c r="K63" s="159"/>
      <c r="S63" s="117" t="s">
        <v>41</v>
      </c>
      <c r="T63" s="104" t="s">
        <v>32</v>
      </c>
      <c r="U63" s="104">
        <v>1</v>
      </c>
      <c r="V63" s="104">
        <v>5</v>
      </c>
      <c r="W63" s="104"/>
      <c r="X63" s="126">
        <f t="shared" si="12"/>
        <v>2</v>
      </c>
      <c r="Y63" s="125">
        <f t="shared" si="13"/>
        <v>3</v>
      </c>
    </row>
    <row r="64" spans="1:25" s="2" customFormat="1" x14ac:dyDescent="0.3">
      <c r="A64" s="187"/>
      <c r="B64" s="5"/>
      <c r="C64" s="40">
        <v>14047</v>
      </c>
      <c r="D64" s="33" t="s">
        <v>41</v>
      </c>
      <c r="E64" s="33" t="s">
        <v>32</v>
      </c>
      <c r="F64" s="33">
        <v>1</v>
      </c>
      <c r="G64" s="33">
        <v>5</v>
      </c>
      <c r="H64" s="173"/>
      <c r="I64" s="5" t="s">
        <v>54</v>
      </c>
      <c r="J64" s="5"/>
      <c r="K64" s="155"/>
      <c r="S64" s="117"/>
      <c r="T64" s="104"/>
      <c r="U64" s="104"/>
      <c r="V64" s="104"/>
      <c r="W64" s="104"/>
      <c r="X64" s="126"/>
      <c r="Y64" s="125"/>
    </row>
    <row r="65" spans="1:25" s="2" customFormat="1" x14ac:dyDescent="0.3">
      <c r="A65" s="187"/>
      <c r="B65" s="5"/>
      <c r="C65" s="40"/>
      <c r="D65" s="173"/>
      <c r="E65" s="173"/>
      <c r="F65" s="173" t="s">
        <v>172</v>
      </c>
      <c r="G65" s="173" t="s">
        <v>274</v>
      </c>
      <c r="H65" s="173"/>
      <c r="I65" s="5"/>
      <c r="J65" s="5"/>
      <c r="K65" s="155"/>
      <c r="S65" s="117"/>
      <c r="T65" s="104"/>
      <c r="U65" s="104"/>
      <c r="V65" s="104"/>
      <c r="W65" s="104"/>
      <c r="X65" s="126"/>
      <c r="Y65" s="125"/>
    </row>
    <row r="66" spans="1:25" s="2" customFormat="1" x14ac:dyDescent="0.3">
      <c r="A66" s="156"/>
      <c r="B66" s="173"/>
      <c r="C66" s="173"/>
      <c r="D66" s="173"/>
      <c r="E66" s="173"/>
      <c r="F66" s="173"/>
      <c r="G66" s="5"/>
      <c r="H66" s="5"/>
      <c r="I66" s="5"/>
      <c r="J66" s="5"/>
      <c r="K66" s="155"/>
      <c r="S66" s="117"/>
      <c r="T66" s="104"/>
      <c r="U66" s="104"/>
      <c r="V66" s="104"/>
      <c r="W66" s="104"/>
      <c r="X66" s="126"/>
      <c r="Y66" s="125"/>
    </row>
    <row r="67" spans="1:25" s="2" customFormat="1" ht="15" thickBot="1" x14ac:dyDescent="0.35">
      <c r="A67" s="156"/>
      <c r="B67" s="173"/>
      <c r="C67" s="173"/>
      <c r="D67" s="173"/>
      <c r="E67" s="173"/>
      <c r="F67" s="173"/>
      <c r="G67" s="5"/>
      <c r="H67" s="5"/>
      <c r="I67" s="5"/>
      <c r="J67" s="5"/>
      <c r="K67" s="155"/>
      <c r="S67" s="117"/>
      <c r="T67" s="104"/>
      <c r="U67" s="104"/>
      <c r="V67" s="104"/>
      <c r="W67" s="104"/>
      <c r="X67" s="126"/>
      <c r="Y67" s="125"/>
    </row>
    <row r="68" spans="1:25" s="2" customFormat="1" ht="21" x14ac:dyDescent="0.4">
      <c r="A68" s="156"/>
      <c r="B68" s="5"/>
      <c r="C68" s="420" t="s">
        <v>270</v>
      </c>
      <c r="D68" s="433"/>
      <c r="E68" s="433"/>
      <c r="F68" s="433"/>
      <c r="G68" s="433"/>
      <c r="H68" s="433"/>
      <c r="I68" s="422"/>
      <c r="J68" s="5"/>
      <c r="K68" s="155"/>
      <c r="S68" s="117"/>
      <c r="T68" s="104"/>
      <c r="U68" s="104"/>
      <c r="V68" s="104"/>
      <c r="W68" s="104"/>
      <c r="X68" s="104"/>
      <c r="Y68" s="118"/>
    </row>
    <row r="69" spans="1:25" s="2" customFormat="1" ht="14.4" customHeight="1" x14ac:dyDescent="0.4">
      <c r="A69" s="156"/>
      <c r="B69" s="5"/>
      <c r="C69" s="364"/>
      <c r="D69" s="352"/>
      <c r="E69" s="352"/>
      <c r="F69" s="352"/>
      <c r="G69" s="352"/>
      <c r="H69" s="352"/>
      <c r="I69" s="355"/>
      <c r="J69" s="5"/>
      <c r="K69" s="155"/>
      <c r="S69" s="117"/>
      <c r="T69" s="352"/>
      <c r="U69" s="352"/>
      <c r="V69" s="352"/>
      <c r="W69" s="352"/>
      <c r="X69" s="352"/>
      <c r="Y69" s="118"/>
    </row>
    <row r="70" spans="1:25" s="12" customFormat="1" x14ac:dyDescent="0.3">
      <c r="A70" s="188"/>
      <c r="B70" s="18"/>
      <c r="C70" s="56"/>
      <c r="D70" s="66" t="s">
        <v>9</v>
      </c>
      <c r="E70" s="57" t="s">
        <v>41</v>
      </c>
      <c r="F70" s="17">
        <v>4</v>
      </c>
      <c r="G70" s="17">
        <v>2</v>
      </c>
      <c r="I70" s="22"/>
      <c r="J70" s="18"/>
      <c r="K70" s="159"/>
      <c r="S70" s="117" t="s">
        <v>9</v>
      </c>
      <c r="T70" s="104" t="s">
        <v>41</v>
      </c>
      <c r="U70" s="104">
        <v>4</v>
      </c>
      <c r="V70" s="104">
        <v>2</v>
      </c>
      <c r="W70" s="104"/>
      <c r="X70" s="126">
        <f t="shared" ref="X70" si="14">(IF(U70&gt;V70,3,IF(U70=V70,1,2)))</f>
        <v>3</v>
      </c>
      <c r="Y70" s="125">
        <f t="shared" ref="Y70" si="15">(IF(V70&gt;U70,3,IF(U70=V70,1,2)))</f>
        <v>2</v>
      </c>
    </row>
    <row r="71" spans="1:25" s="2" customFormat="1" x14ac:dyDescent="0.3">
      <c r="A71" s="156"/>
      <c r="B71" s="173"/>
      <c r="C71" s="3"/>
      <c r="D71" s="33">
        <v>4</v>
      </c>
      <c r="E71" s="173"/>
      <c r="F71" s="5" t="s">
        <v>172</v>
      </c>
      <c r="G71" s="5" t="s">
        <v>173</v>
      </c>
      <c r="I71" s="6"/>
      <c r="J71" s="5"/>
      <c r="K71" s="155"/>
      <c r="S71" s="117"/>
      <c r="T71" s="104"/>
      <c r="U71" s="104"/>
      <c r="V71" s="104"/>
      <c r="W71" s="104"/>
      <c r="X71" s="104"/>
      <c r="Y71" s="118"/>
    </row>
    <row r="72" spans="1:25" s="2" customFormat="1" ht="15" thickBot="1" x14ac:dyDescent="0.35">
      <c r="A72" s="156"/>
      <c r="B72" s="173"/>
      <c r="C72" s="7"/>
      <c r="D72" s="178"/>
      <c r="E72" s="178"/>
      <c r="F72" s="178"/>
      <c r="G72" s="8"/>
      <c r="H72" s="8"/>
      <c r="I72" s="9"/>
      <c r="J72" s="5"/>
      <c r="K72" s="155"/>
      <c r="S72" s="117"/>
      <c r="T72" s="104"/>
      <c r="U72" s="104"/>
      <c r="V72" s="104"/>
      <c r="W72" s="104"/>
      <c r="X72" s="104"/>
      <c r="Y72" s="118"/>
    </row>
    <row r="73" spans="1:25" s="2" customFormat="1" x14ac:dyDescent="0.3">
      <c r="A73" s="156"/>
      <c r="B73" s="173"/>
      <c r="C73" s="173"/>
      <c r="D73" s="173"/>
      <c r="E73" s="173"/>
      <c r="F73" s="173"/>
      <c r="G73" s="5"/>
      <c r="H73" s="5"/>
      <c r="I73" s="5"/>
      <c r="J73" s="5"/>
      <c r="K73" s="155"/>
      <c r="S73" s="117"/>
      <c r="T73" s="104"/>
      <c r="U73" s="104"/>
      <c r="V73" s="104"/>
      <c r="W73" s="104"/>
      <c r="X73" s="104"/>
      <c r="Y73" s="118"/>
    </row>
    <row r="74" spans="1:25" s="2" customFormat="1" x14ac:dyDescent="0.3">
      <c r="A74" s="156"/>
      <c r="B74" s="173"/>
      <c r="C74" s="173"/>
      <c r="D74" s="173"/>
      <c r="E74" s="173"/>
      <c r="F74" s="173"/>
      <c r="G74" s="5"/>
      <c r="H74" s="5"/>
      <c r="I74" s="5"/>
      <c r="J74" s="5"/>
      <c r="K74" s="155"/>
      <c r="S74" s="117"/>
      <c r="T74" s="104"/>
      <c r="U74" s="104"/>
      <c r="V74" s="104"/>
      <c r="W74" s="104"/>
      <c r="X74" s="104"/>
      <c r="Y74" s="118"/>
    </row>
    <row r="75" spans="1:25" s="2" customFormat="1" x14ac:dyDescent="0.3">
      <c r="A75" s="156"/>
      <c r="B75" s="173"/>
      <c r="C75" s="173"/>
      <c r="D75" s="173"/>
      <c r="E75" s="173"/>
      <c r="F75" s="173"/>
      <c r="G75" s="5"/>
      <c r="H75" s="5"/>
      <c r="I75" s="5"/>
      <c r="J75" s="5"/>
      <c r="K75" s="155"/>
      <c r="S75" s="117"/>
      <c r="T75" s="104"/>
      <c r="U75" s="104"/>
      <c r="V75" s="104"/>
      <c r="W75" s="104"/>
      <c r="X75" s="104"/>
      <c r="Y75" s="118"/>
    </row>
    <row r="76" spans="1:25" s="2" customFormat="1" ht="15" thickBot="1" x14ac:dyDescent="0.35">
      <c r="A76" s="156"/>
      <c r="B76" s="173"/>
      <c r="C76" s="173"/>
      <c r="D76" s="173"/>
      <c r="E76" s="173"/>
      <c r="F76" s="173"/>
      <c r="G76" s="5"/>
      <c r="H76" s="5"/>
      <c r="I76" s="5"/>
      <c r="J76" s="5"/>
      <c r="K76" s="155"/>
      <c r="S76" s="117"/>
      <c r="T76" s="104"/>
      <c r="U76" s="104"/>
      <c r="V76" s="104"/>
      <c r="W76" s="104"/>
      <c r="X76" s="104"/>
      <c r="Y76" s="118"/>
    </row>
    <row r="77" spans="1:25" s="2" customFormat="1" ht="21" x14ac:dyDescent="0.4">
      <c r="A77" s="156"/>
      <c r="B77" s="5"/>
      <c r="C77" s="420" t="s">
        <v>271</v>
      </c>
      <c r="D77" s="421"/>
      <c r="E77" s="421"/>
      <c r="F77" s="421"/>
      <c r="G77" s="421"/>
      <c r="H77" s="421"/>
      <c r="I77" s="435"/>
      <c r="J77" s="5"/>
      <c r="K77" s="155"/>
      <c r="S77" s="117"/>
      <c r="T77" s="104"/>
      <c r="U77" s="104"/>
      <c r="V77" s="104"/>
      <c r="W77" s="104"/>
      <c r="X77" s="104"/>
      <c r="Y77" s="118"/>
    </row>
    <row r="78" spans="1:25" s="2" customFormat="1" ht="14.4" customHeight="1" x14ac:dyDescent="0.4">
      <c r="A78" s="156"/>
      <c r="B78" s="5"/>
      <c r="C78" s="364"/>
      <c r="D78" s="351"/>
      <c r="E78" s="351"/>
      <c r="F78" s="351"/>
      <c r="G78" s="351"/>
      <c r="H78" s="351"/>
      <c r="I78" s="368"/>
      <c r="J78" s="5"/>
      <c r="K78" s="155"/>
      <c r="S78" s="117"/>
      <c r="T78" s="352"/>
      <c r="U78" s="352"/>
      <c r="V78" s="352"/>
      <c r="W78" s="352"/>
      <c r="X78" s="352"/>
      <c r="Y78" s="118"/>
    </row>
    <row r="79" spans="1:25" x14ac:dyDescent="0.3">
      <c r="A79" s="156"/>
      <c r="B79" s="173"/>
      <c r="C79" s="3"/>
      <c r="D79" s="33" t="s">
        <v>37</v>
      </c>
      <c r="E79" s="55" t="s">
        <v>32</v>
      </c>
      <c r="F79" s="173">
        <v>4</v>
      </c>
      <c r="G79" s="5">
        <v>2</v>
      </c>
      <c r="I79" s="6"/>
      <c r="J79" s="5"/>
      <c r="K79" s="108"/>
      <c r="S79" s="117" t="s">
        <v>37</v>
      </c>
      <c r="T79" s="104" t="s">
        <v>32</v>
      </c>
      <c r="U79" s="104">
        <v>4</v>
      </c>
      <c r="V79" s="104">
        <v>2</v>
      </c>
      <c r="W79" s="104"/>
      <c r="X79" s="126">
        <f t="shared" ref="X79" si="16">(IF(U79&gt;V79,3,IF(U79=V79,1,2)))</f>
        <v>3</v>
      </c>
      <c r="Y79" s="125">
        <f t="shared" ref="Y79" si="17">(IF(V79&gt;U79,3,IF(U79=V79,1,2)))</f>
        <v>2</v>
      </c>
    </row>
    <row r="80" spans="1:25" x14ac:dyDescent="0.3">
      <c r="A80" s="176"/>
      <c r="B80" s="173"/>
      <c r="C80" s="3"/>
      <c r="D80" s="33"/>
      <c r="E80" s="173"/>
      <c r="F80" s="5" t="s">
        <v>264</v>
      </c>
      <c r="G80" s="5" t="s">
        <v>183</v>
      </c>
      <c r="I80" s="6"/>
      <c r="J80" s="5"/>
      <c r="K80" s="108"/>
      <c r="S80" s="117"/>
      <c r="T80" s="104"/>
      <c r="U80" s="104"/>
      <c r="V80" s="104"/>
      <c r="W80" s="104"/>
      <c r="X80" s="104"/>
      <c r="Y80" s="118"/>
    </row>
    <row r="81" spans="1:27" ht="15" thickBot="1" x14ac:dyDescent="0.35">
      <c r="A81" s="176"/>
      <c r="B81" s="173"/>
      <c r="C81" s="7"/>
      <c r="D81" s="178"/>
      <c r="E81" s="178"/>
      <c r="F81" s="178"/>
      <c r="G81" s="8"/>
      <c r="H81" s="8"/>
      <c r="I81" s="9"/>
      <c r="J81" s="5"/>
      <c r="K81" s="108"/>
      <c r="S81" s="117"/>
      <c r="T81" s="104"/>
      <c r="U81" s="104"/>
      <c r="V81" s="104"/>
      <c r="W81" s="104"/>
      <c r="X81" s="126"/>
      <c r="Y81" s="125"/>
    </row>
    <row r="82" spans="1:27" x14ac:dyDescent="0.3">
      <c r="A82" s="176"/>
      <c r="B82" s="173"/>
      <c r="C82" s="173"/>
      <c r="D82" s="173"/>
      <c r="E82" s="173"/>
      <c r="F82" s="173"/>
      <c r="G82" s="5"/>
      <c r="H82" s="5"/>
      <c r="I82" s="5"/>
      <c r="J82" s="5"/>
      <c r="K82" s="108"/>
      <c r="S82" s="141"/>
      <c r="T82" s="141"/>
      <c r="U82" s="141"/>
      <c r="V82" s="141"/>
      <c r="W82" s="141"/>
      <c r="X82" s="142"/>
      <c r="Y82" s="142"/>
    </row>
    <row r="83" spans="1:27" x14ac:dyDescent="0.3">
      <c r="A83" s="176"/>
      <c r="B83" s="173"/>
      <c r="C83" s="173"/>
      <c r="D83" s="173"/>
      <c r="E83" s="41"/>
      <c r="F83" s="41"/>
      <c r="G83" s="348"/>
      <c r="H83" s="5"/>
      <c r="I83" s="5"/>
      <c r="J83" s="5"/>
      <c r="K83" s="108"/>
      <c r="S83" s="17"/>
      <c r="T83" s="17"/>
      <c r="U83" s="17"/>
      <c r="V83" s="17"/>
      <c r="W83" s="17"/>
      <c r="X83" s="17"/>
      <c r="Y83" s="17"/>
    </row>
    <row r="84" spans="1:27" x14ac:dyDescent="0.3">
      <c r="A84" s="176"/>
      <c r="B84" s="173"/>
      <c r="C84" s="173"/>
      <c r="D84" s="173"/>
      <c r="E84" s="173"/>
      <c r="F84" s="173"/>
      <c r="G84" s="5"/>
      <c r="H84" s="5"/>
      <c r="I84" s="5"/>
      <c r="J84" s="5"/>
      <c r="K84" s="108"/>
      <c r="S84" s="17"/>
      <c r="T84" s="17"/>
      <c r="U84" s="17"/>
      <c r="V84" s="17"/>
      <c r="W84" s="17"/>
      <c r="X84" s="17"/>
      <c r="Y84" s="17"/>
    </row>
    <row r="85" spans="1:27" x14ac:dyDescent="0.3">
      <c r="A85" s="176"/>
      <c r="B85" s="173"/>
      <c r="C85" s="173"/>
      <c r="D85" s="173"/>
      <c r="E85" s="173"/>
      <c r="F85" s="173"/>
      <c r="G85" s="5"/>
      <c r="H85" s="5"/>
      <c r="I85" s="5"/>
      <c r="J85" s="5"/>
      <c r="K85" s="108"/>
      <c r="S85" s="17"/>
      <c r="T85" s="17"/>
      <c r="U85" s="17"/>
      <c r="V85" s="17"/>
      <c r="W85" s="17"/>
      <c r="X85" s="17"/>
      <c r="Y85" s="17"/>
    </row>
    <row r="86" spans="1:27" ht="15" thickBot="1" x14ac:dyDescent="0.35">
      <c r="A86" s="176"/>
      <c r="B86" s="173" t="s">
        <v>298</v>
      </c>
      <c r="C86" s="173" t="s">
        <v>12</v>
      </c>
      <c r="D86" s="173" t="s">
        <v>13</v>
      </c>
      <c r="E86" s="173" t="s">
        <v>14</v>
      </c>
      <c r="F86" s="173" t="s">
        <v>15</v>
      </c>
      <c r="G86" s="5" t="s">
        <v>24</v>
      </c>
      <c r="H86" s="5" t="s">
        <v>25</v>
      </c>
      <c r="I86" s="5" t="s">
        <v>26</v>
      </c>
      <c r="J86" s="5" t="s">
        <v>27</v>
      </c>
      <c r="K86" s="108"/>
      <c r="S86" s="17"/>
      <c r="T86" s="17"/>
      <c r="U86" s="17"/>
      <c r="V86" s="17"/>
      <c r="W86" s="17"/>
      <c r="X86" s="17"/>
      <c r="Y86" s="17"/>
    </row>
    <row r="87" spans="1:27" s="46" customFormat="1" x14ac:dyDescent="0.3">
      <c r="A87" s="190"/>
      <c r="B87" s="131" t="s">
        <v>37</v>
      </c>
      <c r="C87" s="179">
        <f>COUNTIF($S$12:$T$79,"Italien")</f>
        <v>4</v>
      </c>
      <c r="D87" s="124">
        <f t="shared" ref="D87:D101" si="18">SUMPRODUCT(($S$12:$T$79=B87)*($X$12:$Y$79=3))</f>
        <v>4</v>
      </c>
      <c r="E87" s="124">
        <f t="shared" ref="E87:E101" si="19">SUMPRODUCT(($S$12:$T$79=B87)*($X$12:$Y$79=1))</f>
        <v>0</v>
      </c>
      <c r="F87" s="124">
        <f t="shared" ref="F87:F101" si="20">SUMPRODUCT(($S$12:$T$79=B87)*($X$12:$Y$79=2))</f>
        <v>0</v>
      </c>
      <c r="G87" s="124">
        <f t="shared" ref="G87:G101" si="21">SUMPRODUCT(($S$12:$S$79=B87)*($U$12:$U$79))+SUMPRODUCT(($T$12:$T$79=B87)*($V$12:$V$79))</f>
        <v>11</v>
      </c>
      <c r="H87" s="124">
        <f t="shared" ref="H87:H101" si="22">SUMPRODUCT(($S$12:$S$79=B87)*($V$12:$V$79))+SUMPRODUCT(($T$12:$T$79=B87)*($U$12:$U$79))</f>
        <v>5</v>
      </c>
      <c r="I87" s="15">
        <f t="shared" ref="I87:I101" si="23">(D87*2)+E87</f>
        <v>8</v>
      </c>
      <c r="J87" s="16">
        <f t="shared" ref="J87:J101" si="24">(F87*2)+E87</f>
        <v>0</v>
      </c>
      <c r="K87" s="191"/>
      <c r="S87" s="17"/>
      <c r="T87" s="17"/>
      <c r="U87" s="17"/>
      <c r="V87" s="17"/>
      <c r="W87" s="17"/>
      <c r="X87" s="17"/>
      <c r="Y87" s="17"/>
      <c r="AA87" s="45"/>
    </row>
    <row r="88" spans="1:27" s="46" customFormat="1" x14ac:dyDescent="0.3">
      <c r="A88" s="190"/>
      <c r="B88" s="132" t="s">
        <v>9</v>
      </c>
      <c r="C88" s="17">
        <f>COUNTIF($S$12:$T$79,"Brasilien")</f>
        <v>5</v>
      </c>
      <c r="D88" s="43">
        <f t="shared" si="18"/>
        <v>3</v>
      </c>
      <c r="E88" s="43">
        <f t="shared" si="19"/>
        <v>1</v>
      </c>
      <c r="F88" s="43">
        <f t="shared" si="20"/>
        <v>1</v>
      </c>
      <c r="G88" s="43">
        <f t="shared" si="21"/>
        <v>14</v>
      </c>
      <c r="H88" s="43">
        <f t="shared" si="22"/>
        <v>11</v>
      </c>
      <c r="I88" s="18">
        <f t="shared" si="23"/>
        <v>7</v>
      </c>
      <c r="J88" s="22">
        <f t="shared" si="24"/>
        <v>3</v>
      </c>
      <c r="K88" s="191"/>
      <c r="S88" s="17"/>
      <c r="T88" s="17"/>
      <c r="U88" s="17"/>
      <c r="V88" s="17"/>
      <c r="W88" s="17"/>
      <c r="X88" s="17"/>
      <c r="Y88" s="17"/>
      <c r="AA88" s="45"/>
    </row>
    <row r="89" spans="1:27" s="46" customFormat="1" x14ac:dyDescent="0.3">
      <c r="A89" s="190"/>
      <c r="B89" s="132" t="s">
        <v>32</v>
      </c>
      <c r="C89" s="17">
        <f>COUNTIF($S$12:$T$79,"Ungarn")</f>
        <v>4</v>
      </c>
      <c r="D89" s="43">
        <f t="shared" si="18"/>
        <v>3</v>
      </c>
      <c r="E89" s="43">
        <f t="shared" si="19"/>
        <v>0</v>
      </c>
      <c r="F89" s="43">
        <f t="shared" si="20"/>
        <v>1</v>
      </c>
      <c r="G89" s="43">
        <f t="shared" si="21"/>
        <v>15</v>
      </c>
      <c r="H89" s="43">
        <f t="shared" si="22"/>
        <v>5</v>
      </c>
      <c r="I89" s="18">
        <f t="shared" si="23"/>
        <v>6</v>
      </c>
      <c r="J89" s="22">
        <f t="shared" si="24"/>
        <v>2</v>
      </c>
      <c r="K89" s="191"/>
      <c r="S89" s="17"/>
      <c r="T89" s="17"/>
      <c r="U89" s="17"/>
      <c r="V89" s="17"/>
      <c r="W89" s="17"/>
      <c r="X89" s="17"/>
      <c r="Y89" s="17"/>
      <c r="AA89" s="45"/>
    </row>
    <row r="90" spans="1:27" s="46" customFormat="1" x14ac:dyDescent="0.3">
      <c r="A90" s="190"/>
      <c r="B90" s="132" t="s">
        <v>45</v>
      </c>
      <c r="C90" s="17">
        <f>COUNTIF($S$12:$T$79,"CSSR")</f>
        <v>3</v>
      </c>
      <c r="D90" s="43">
        <f t="shared" si="18"/>
        <v>1</v>
      </c>
      <c r="E90" s="43">
        <f t="shared" si="19"/>
        <v>1</v>
      </c>
      <c r="F90" s="43">
        <f t="shared" si="20"/>
        <v>1</v>
      </c>
      <c r="G90" s="43">
        <f t="shared" si="21"/>
        <v>5</v>
      </c>
      <c r="H90" s="43">
        <f t="shared" si="22"/>
        <v>3</v>
      </c>
      <c r="I90" s="18">
        <f t="shared" si="23"/>
        <v>3</v>
      </c>
      <c r="J90" s="22">
        <f t="shared" si="24"/>
        <v>3</v>
      </c>
      <c r="K90" s="191"/>
      <c r="S90" s="17"/>
      <c r="T90" s="17"/>
      <c r="U90" s="17"/>
      <c r="V90" s="17"/>
      <c r="W90" s="17"/>
      <c r="X90" s="17"/>
      <c r="Y90" s="17"/>
      <c r="AA90" s="45"/>
    </row>
    <row r="91" spans="1:27" s="46" customFormat="1" x14ac:dyDescent="0.3">
      <c r="A91" s="190"/>
      <c r="B91" s="132" t="s">
        <v>43</v>
      </c>
      <c r="C91" s="17">
        <f>COUNTIF($S$12:$T$79,"Schweiz")</f>
        <v>3</v>
      </c>
      <c r="D91" s="43">
        <f t="shared" si="18"/>
        <v>1</v>
      </c>
      <c r="E91" s="43">
        <f t="shared" si="19"/>
        <v>1</v>
      </c>
      <c r="F91" s="43">
        <f t="shared" si="20"/>
        <v>1</v>
      </c>
      <c r="G91" s="43">
        <f t="shared" si="21"/>
        <v>5</v>
      </c>
      <c r="H91" s="43">
        <f t="shared" si="22"/>
        <v>5</v>
      </c>
      <c r="I91" s="18">
        <f t="shared" si="23"/>
        <v>3</v>
      </c>
      <c r="J91" s="22">
        <f t="shared" si="24"/>
        <v>3</v>
      </c>
      <c r="K91" s="191"/>
      <c r="S91" s="17"/>
      <c r="T91" s="17"/>
      <c r="U91" s="17"/>
      <c r="V91" s="17"/>
      <c r="W91" s="17"/>
      <c r="X91" s="17"/>
      <c r="Y91" s="17"/>
      <c r="AA91" s="45"/>
    </row>
    <row r="92" spans="1:27" s="46" customFormat="1" x14ac:dyDescent="0.3">
      <c r="A92" s="190"/>
      <c r="B92" s="132" t="s">
        <v>56</v>
      </c>
      <c r="C92" s="17">
        <f>COUNTIF($S$12:$T$79,"Kuba")</f>
        <v>3</v>
      </c>
      <c r="D92" s="43">
        <f t="shared" si="18"/>
        <v>1</v>
      </c>
      <c r="E92" s="43">
        <f t="shared" si="19"/>
        <v>1</v>
      </c>
      <c r="F92" s="43">
        <f t="shared" si="20"/>
        <v>1</v>
      </c>
      <c r="G92" s="43">
        <f t="shared" si="21"/>
        <v>5</v>
      </c>
      <c r="H92" s="43">
        <f t="shared" si="22"/>
        <v>12</v>
      </c>
      <c r="I92" s="18">
        <f t="shared" si="23"/>
        <v>3</v>
      </c>
      <c r="J92" s="22">
        <f t="shared" si="24"/>
        <v>3</v>
      </c>
      <c r="K92" s="191"/>
      <c r="S92" s="17"/>
      <c r="T92" s="17"/>
      <c r="U92" s="17"/>
      <c r="V92" s="17"/>
      <c r="W92" s="17"/>
      <c r="X92" s="17"/>
      <c r="Y92" s="17"/>
      <c r="AA92" s="45"/>
    </row>
    <row r="93" spans="1:27" s="46" customFormat="1" x14ac:dyDescent="0.3">
      <c r="A93" s="190"/>
      <c r="B93" s="132" t="s">
        <v>3</v>
      </c>
      <c r="C93" s="17">
        <f>COUNTIF($S$12:$T$79,"Frankreich")</f>
        <v>2</v>
      </c>
      <c r="D93" s="43">
        <f t="shared" si="18"/>
        <v>1</v>
      </c>
      <c r="E93" s="43">
        <f t="shared" si="19"/>
        <v>0</v>
      </c>
      <c r="F93" s="43">
        <f t="shared" si="20"/>
        <v>1</v>
      </c>
      <c r="G93" s="43">
        <f t="shared" si="21"/>
        <v>4</v>
      </c>
      <c r="H93" s="43">
        <f t="shared" si="22"/>
        <v>4</v>
      </c>
      <c r="I93" s="18">
        <f t="shared" si="23"/>
        <v>2</v>
      </c>
      <c r="J93" s="22">
        <f t="shared" si="24"/>
        <v>2</v>
      </c>
      <c r="K93" s="191"/>
      <c r="S93" s="17"/>
      <c r="T93" s="17"/>
      <c r="U93" s="17"/>
      <c r="V93" s="17"/>
      <c r="W93" s="17"/>
      <c r="X93" s="17"/>
      <c r="Y93" s="17"/>
      <c r="AA93" s="45"/>
    </row>
    <row r="94" spans="1:27" s="46" customFormat="1" x14ac:dyDescent="0.3">
      <c r="A94" s="190"/>
      <c r="B94" s="132" t="s">
        <v>41</v>
      </c>
      <c r="C94" s="17">
        <f>COUNTIF($S$12:$T$79,"Schweden")</f>
        <v>3</v>
      </c>
      <c r="D94" s="43">
        <f t="shared" si="18"/>
        <v>1</v>
      </c>
      <c r="E94" s="43">
        <f t="shared" si="19"/>
        <v>0</v>
      </c>
      <c r="F94" s="43">
        <f t="shared" si="20"/>
        <v>2</v>
      </c>
      <c r="G94" s="43">
        <f t="shared" si="21"/>
        <v>11</v>
      </c>
      <c r="H94" s="43">
        <f t="shared" si="22"/>
        <v>9</v>
      </c>
      <c r="I94" s="18">
        <f t="shared" si="23"/>
        <v>2</v>
      </c>
      <c r="J94" s="22">
        <f t="shared" si="24"/>
        <v>4</v>
      </c>
      <c r="K94" s="191"/>
      <c r="S94" s="17"/>
      <c r="T94" s="17"/>
      <c r="U94" s="17"/>
      <c r="V94" s="17"/>
      <c r="W94" s="17"/>
      <c r="X94" s="143"/>
      <c r="Y94" s="143"/>
      <c r="AA94" s="45"/>
    </row>
    <row r="95" spans="1:27" s="46" customFormat="1" x14ac:dyDescent="0.3">
      <c r="A95" s="190"/>
      <c r="B95" s="132" t="s">
        <v>16</v>
      </c>
      <c r="C95" s="17">
        <f>COUNTIF($S$12:$T$79,"Rumänien")</f>
        <v>2</v>
      </c>
      <c r="D95" s="43">
        <f t="shared" si="18"/>
        <v>0</v>
      </c>
      <c r="E95" s="43">
        <f t="shared" si="19"/>
        <v>1</v>
      </c>
      <c r="F95" s="43">
        <f t="shared" si="20"/>
        <v>1</v>
      </c>
      <c r="G95" s="43">
        <f t="shared" si="21"/>
        <v>4</v>
      </c>
      <c r="H95" s="43">
        <f t="shared" si="22"/>
        <v>5</v>
      </c>
      <c r="I95" s="18">
        <f t="shared" si="23"/>
        <v>1</v>
      </c>
      <c r="J95" s="22">
        <f t="shared" si="24"/>
        <v>3</v>
      </c>
      <c r="K95" s="191"/>
      <c r="S95" s="17"/>
      <c r="T95" s="17"/>
      <c r="U95" s="17"/>
      <c r="V95" s="17"/>
      <c r="W95" s="17"/>
      <c r="X95" s="17"/>
      <c r="Y95" s="17"/>
      <c r="AA95" s="45"/>
    </row>
    <row r="96" spans="1:27" s="46" customFormat="1" x14ac:dyDescent="0.3">
      <c r="A96" s="190"/>
      <c r="B96" s="132" t="s">
        <v>317</v>
      </c>
      <c r="C96" s="17">
        <f>COUNTIF($S$12:$T$79,"Dtsch. Reich")</f>
        <v>2</v>
      </c>
      <c r="D96" s="43">
        <f t="shared" si="18"/>
        <v>0</v>
      </c>
      <c r="E96" s="43">
        <f t="shared" si="19"/>
        <v>1</v>
      </c>
      <c r="F96" s="43">
        <f t="shared" si="20"/>
        <v>1</v>
      </c>
      <c r="G96" s="43">
        <f t="shared" si="21"/>
        <v>3</v>
      </c>
      <c r="H96" s="43">
        <f t="shared" si="22"/>
        <v>5</v>
      </c>
      <c r="I96" s="18">
        <f t="shared" si="23"/>
        <v>1</v>
      </c>
      <c r="J96" s="22">
        <f t="shared" si="24"/>
        <v>3</v>
      </c>
      <c r="K96" s="191"/>
      <c r="S96" s="17"/>
      <c r="T96" s="17"/>
      <c r="U96" s="17"/>
      <c r="V96" s="17"/>
      <c r="W96" s="17"/>
      <c r="X96" s="17"/>
      <c r="Y96" s="17"/>
      <c r="AA96" s="45"/>
    </row>
    <row r="97" spans="1:27" s="46" customFormat="1" x14ac:dyDescent="0.3">
      <c r="A97" s="190"/>
      <c r="B97" s="132" t="s">
        <v>61</v>
      </c>
      <c r="C97" s="17">
        <f>COUNTIF($S$12:$T$79,"Polen")</f>
        <v>1</v>
      </c>
      <c r="D97" s="43">
        <f t="shared" si="18"/>
        <v>0</v>
      </c>
      <c r="E97" s="43">
        <f t="shared" si="19"/>
        <v>0</v>
      </c>
      <c r="F97" s="43">
        <f t="shared" si="20"/>
        <v>1</v>
      </c>
      <c r="G97" s="43">
        <f t="shared" si="21"/>
        <v>5</v>
      </c>
      <c r="H97" s="43">
        <f t="shared" si="22"/>
        <v>6</v>
      </c>
      <c r="I97" s="18">
        <f t="shared" si="23"/>
        <v>0</v>
      </c>
      <c r="J97" s="22">
        <f t="shared" si="24"/>
        <v>2</v>
      </c>
      <c r="K97" s="191"/>
      <c r="S97" s="17"/>
      <c r="T97" s="17"/>
      <c r="U97" s="17"/>
      <c r="V97" s="17"/>
      <c r="W97" s="17"/>
      <c r="X97" s="17"/>
      <c r="Y97" s="17"/>
      <c r="AA97" s="45"/>
    </row>
    <row r="98" spans="1:27" s="46" customFormat="1" x14ac:dyDescent="0.3">
      <c r="A98" s="190"/>
      <c r="B98" s="132" t="s">
        <v>59</v>
      </c>
      <c r="C98" s="17">
        <f>COUNTIF($S$12:$T$79,"Norwegen")</f>
        <v>1</v>
      </c>
      <c r="D98" s="43">
        <f t="shared" si="18"/>
        <v>0</v>
      </c>
      <c r="E98" s="43">
        <f t="shared" si="19"/>
        <v>0</v>
      </c>
      <c r="F98" s="43">
        <f t="shared" si="20"/>
        <v>1</v>
      </c>
      <c r="G98" s="43">
        <f t="shared" si="21"/>
        <v>1</v>
      </c>
      <c r="H98" s="43">
        <f t="shared" si="22"/>
        <v>2</v>
      </c>
      <c r="I98" s="18">
        <f t="shared" si="23"/>
        <v>0</v>
      </c>
      <c r="J98" s="22">
        <f t="shared" si="24"/>
        <v>2</v>
      </c>
      <c r="K98" s="191"/>
      <c r="S98" s="17"/>
      <c r="T98" s="17"/>
      <c r="U98" s="17"/>
      <c r="V98" s="17"/>
      <c r="W98" s="17"/>
      <c r="X98" s="17"/>
      <c r="Y98" s="17"/>
      <c r="AA98" s="45"/>
    </row>
    <row r="99" spans="1:27" s="46" customFormat="1" x14ac:dyDescent="0.3">
      <c r="A99" s="190"/>
      <c r="B99" s="132" t="s">
        <v>21</v>
      </c>
      <c r="C99" s="17">
        <f>COUNTIF($S$12:$T$79,"Belgien")</f>
        <v>1</v>
      </c>
      <c r="D99" s="43">
        <f t="shared" si="18"/>
        <v>0</v>
      </c>
      <c r="E99" s="43">
        <f t="shared" si="19"/>
        <v>0</v>
      </c>
      <c r="F99" s="43">
        <f t="shared" si="20"/>
        <v>1</v>
      </c>
      <c r="G99" s="43">
        <f t="shared" si="21"/>
        <v>1</v>
      </c>
      <c r="H99" s="43">
        <f t="shared" si="22"/>
        <v>3</v>
      </c>
      <c r="I99" s="18">
        <f t="shared" si="23"/>
        <v>0</v>
      </c>
      <c r="J99" s="22">
        <f t="shared" si="24"/>
        <v>2</v>
      </c>
      <c r="K99" s="191"/>
      <c r="S99" s="17"/>
      <c r="T99" s="17"/>
      <c r="U99" s="17"/>
      <c r="V99" s="17"/>
      <c r="W99" s="17"/>
      <c r="X99" s="17"/>
      <c r="Y99" s="17"/>
      <c r="AA99" s="45"/>
    </row>
    <row r="100" spans="1:27" s="46" customFormat="1" x14ac:dyDescent="0.3">
      <c r="A100" s="190"/>
      <c r="B100" s="132" t="s">
        <v>63</v>
      </c>
      <c r="C100" s="17">
        <f>COUNTIF($S$12:$T$79,"Niederlande")</f>
        <v>1</v>
      </c>
      <c r="D100" s="43">
        <f t="shared" si="18"/>
        <v>0</v>
      </c>
      <c r="E100" s="43">
        <f t="shared" si="19"/>
        <v>0</v>
      </c>
      <c r="F100" s="43">
        <f t="shared" si="20"/>
        <v>1</v>
      </c>
      <c r="G100" s="43">
        <f t="shared" si="21"/>
        <v>0</v>
      </c>
      <c r="H100" s="43">
        <f t="shared" si="22"/>
        <v>3</v>
      </c>
      <c r="I100" s="18">
        <f t="shared" si="23"/>
        <v>0</v>
      </c>
      <c r="J100" s="22">
        <f t="shared" si="24"/>
        <v>2</v>
      </c>
      <c r="K100" s="191"/>
      <c r="S100" s="17"/>
      <c r="T100" s="17"/>
      <c r="U100" s="17"/>
      <c r="V100" s="17"/>
      <c r="W100" s="17"/>
      <c r="X100" s="17"/>
      <c r="Y100" s="17"/>
      <c r="AA100" s="45"/>
    </row>
    <row r="101" spans="1:27" s="46" customFormat="1" ht="15" thickBot="1" x14ac:dyDescent="0.35">
      <c r="A101" s="190"/>
      <c r="B101" s="137" t="s">
        <v>316</v>
      </c>
      <c r="C101" s="30">
        <f>COUNTIF($S$12:$T$79,"Niederl.-Indien")</f>
        <v>1</v>
      </c>
      <c r="D101" s="80">
        <f t="shared" si="18"/>
        <v>0</v>
      </c>
      <c r="E101" s="80">
        <f t="shared" si="19"/>
        <v>0</v>
      </c>
      <c r="F101" s="80">
        <f t="shared" si="20"/>
        <v>1</v>
      </c>
      <c r="G101" s="80">
        <f t="shared" si="21"/>
        <v>0</v>
      </c>
      <c r="H101" s="80">
        <f t="shared" si="22"/>
        <v>6</v>
      </c>
      <c r="I101" s="31">
        <f t="shared" si="23"/>
        <v>0</v>
      </c>
      <c r="J101" s="32">
        <f t="shared" si="24"/>
        <v>2</v>
      </c>
      <c r="K101" s="191"/>
      <c r="S101" s="17"/>
      <c r="T101" s="17"/>
      <c r="U101" s="17"/>
      <c r="V101" s="17"/>
      <c r="W101" s="17"/>
      <c r="X101" s="17"/>
      <c r="Y101" s="17"/>
      <c r="AA101" s="45"/>
    </row>
    <row r="102" spans="1:27" x14ac:dyDescent="0.3">
      <c r="A102" s="24"/>
      <c r="B102" s="17"/>
      <c r="C102" s="17"/>
      <c r="D102" s="17"/>
      <c r="E102" s="17"/>
      <c r="F102" s="17"/>
      <c r="G102" s="18"/>
      <c r="H102" s="18"/>
      <c r="I102" s="18"/>
      <c r="J102" s="18"/>
      <c r="K102" s="108"/>
      <c r="S102" s="17"/>
      <c r="T102" s="17"/>
      <c r="U102" s="17"/>
      <c r="V102" s="17"/>
      <c r="W102" s="17"/>
      <c r="X102" s="17"/>
      <c r="Y102" s="17"/>
    </row>
    <row r="103" spans="1:27" ht="15" thickBot="1" x14ac:dyDescent="0.35">
      <c r="A103" s="192"/>
      <c r="B103" s="111"/>
      <c r="C103" s="111"/>
      <c r="D103" s="111"/>
      <c r="E103" s="111"/>
      <c r="F103" s="111"/>
      <c r="G103" s="112"/>
      <c r="H103" s="112"/>
      <c r="I103" s="112"/>
      <c r="J103" s="112"/>
      <c r="K103" s="193"/>
      <c r="S103" s="17"/>
      <c r="T103" s="17"/>
      <c r="U103" s="17"/>
      <c r="V103" s="17"/>
      <c r="W103" s="17"/>
      <c r="X103" s="17"/>
      <c r="Y103" s="17"/>
    </row>
    <row r="104" spans="1:27" ht="15" thickTop="1" x14ac:dyDescent="0.3">
      <c r="A104" s="10"/>
      <c r="B104" s="10"/>
      <c r="C104" s="10"/>
      <c r="D104" s="10"/>
      <c r="E104" s="10"/>
      <c r="F104" s="10"/>
      <c r="G104" s="12"/>
      <c r="H104" s="12"/>
      <c r="I104" s="12"/>
      <c r="J104" s="12"/>
      <c r="S104" s="17"/>
      <c r="T104" s="17"/>
      <c r="U104" s="17"/>
      <c r="V104" s="17"/>
      <c r="W104" s="17"/>
      <c r="X104" s="17"/>
      <c r="Y104" s="17"/>
    </row>
    <row r="105" spans="1:27" x14ac:dyDescent="0.3">
      <c r="A105" s="10"/>
      <c r="B105" s="10"/>
      <c r="C105" s="10"/>
      <c r="D105" s="10"/>
      <c r="E105" s="10"/>
      <c r="F105" s="10"/>
      <c r="G105" s="12"/>
      <c r="H105" s="12"/>
      <c r="I105" s="12"/>
      <c r="J105" s="12"/>
      <c r="S105" s="17"/>
      <c r="T105" s="17"/>
      <c r="U105" s="17"/>
      <c r="V105" s="17"/>
      <c r="W105" s="17"/>
      <c r="X105" s="17"/>
      <c r="Y105" s="17"/>
    </row>
    <row r="106" spans="1:27" x14ac:dyDescent="0.3">
      <c r="S106" s="17"/>
      <c r="T106" s="17"/>
      <c r="U106" s="17"/>
      <c r="V106" s="17"/>
      <c r="W106" s="17"/>
      <c r="X106" s="17"/>
      <c r="Y106" s="17"/>
    </row>
    <row r="107" spans="1:27" x14ac:dyDescent="0.3">
      <c r="S107" s="17"/>
      <c r="T107" s="17"/>
      <c r="U107" s="17"/>
      <c r="V107" s="17"/>
      <c r="W107" s="17"/>
      <c r="X107" s="17"/>
      <c r="Y107" s="17"/>
    </row>
    <row r="108" spans="1:27" x14ac:dyDescent="0.3">
      <c r="S108" s="17"/>
      <c r="T108" s="17"/>
      <c r="U108" s="17"/>
      <c r="V108" s="17"/>
      <c r="W108" s="17"/>
      <c r="X108" s="17"/>
      <c r="Y108" s="17"/>
    </row>
    <row r="109" spans="1:27" x14ac:dyDescent="0.3">
      <c r="S109" s="17"/>
      <c r="T109" s="17"/>
      <c r="U109" s="17"/>
      <c r="V109" s="17"/>
      <c r="W109" s="17"/>
      <c r="X109" s="17"/>
      <c r="Y109" s="17"/>
    </row>
    <row r="110" spans="1:27" x14ac:dyDescent="0.3">
      <c r="S110" s="17"/>
      <c r="T110" s="17"/>
      <c r="U110" s="17"/>
      <c r="V110" s="17"/>
      <c r="W110" s="17"/>
      <c r="X110" s="17"/>
      <c r="Y110" s="17"/>
    </row>
    <row r="111" spans="1:27" x14ac:dyDescent="0.3">
      <c r="S111" s="17"/>
      <c r="T111" s="17"/>
      <c r="U111" s="17"/>
      <c r="V111" s="17"/>
      <c r="W111" s="17"/>
      <c r="X111" s="17"/>
      <c r="Y111" s="17"/>
    </row>
    <row r="112" spans="1:27" x14ac:dyDescent="0.3">
      <c r="S112" s="17"/>
      <c r="T112" s="17"/>
      <c r="U112" s="17"/>
      <c r="V112" s="17"/>
      <c r="W112" s="17"/>
      <c r="X112" s="17"/>
      <c r="Y112" s="17"/>
    </row>
    <row r="113" spans="19:25" x14ac:dyDescent="0.3">
      <c r="S113" s="17"/>
      <c r="T113" s="17"/>
      <c r="U113" s="17"/>
      <c r="V113" s="17"/>
      <c r="W113" s="17"/>
      <c r="X113" s="17"/>
      <c r="Y113" s="17"/>
    </row>
    <row r="114" spans="19:25" x14ac:dyDescent="0.3">
      <c r="S114" s="17"/>
      <c r="T114" s="17"/>
      <c r="U114" s="17"/>
      <c r="V114" s="17"/>
      <c r="W114" s="17"/>
      <c r="X114" s="17"/>
      <c r="Y114" s="17"/>
    </row>
    <row r="115" spans="19:25" x14ac:dyDescent="0.3">
      <c r="S115" s="17"/>
      <c r="T115" s="17"/>
      <c r="U115" s="17"/>
      <c r="V115" s="17"/>
      <c r="W115" s="17"/>
      <c r="X115" s="17"/>
      <c r="Y115" s="17"/>
    </row>
    <row r="116" spans="19:25" x14ac:dyDescent="0.3">
      <c r="S116" s="17"/>
      <c r="T116" s="17"/>
      <c r="U116" s="17"/>
      <c r="V116" s="17"/>
      <c r="W116" s="17"/>
      <c r="X116" s="17"/>
      <c r="Y116" s="17"/>
    </row>
    <row r="117" spans="19:25" x14ac:dyDescent="0.3">
      <c r="S117" s="17"/>
      <c r="T117" s="17"/>
      <c r="U117" s="17"/>
      <c r="V117" s="17"/>
      <c r="W117" s="17"/>
      <c r="X117" s="17"/>
      <c r="Y117" s="17"/>
    </row>
  </sheetData>
  <sortState ref="A84:Y99">
    <sortCondition descending="1" ref="I84:I99"/>
    <sortCondition ref="J84:J99"/>
    <sortCondition descending="1" ref="G84:G99"/>
    <sortCondition ref="H84:H99"/>
  </sortState>
  <mergeCells count="6">
    <mergeCell ref="C68:I68"/>
    <mergeCell ref="C77:I77"/>
    <mergeCell ref="A2:K2"/>
    <mergeCell ref="A4:K4"/>
    <mergeCell ref="A5:K5"/>
    <mergeCell ref="A7:K7"/>
  </mergeCells>
  <pageMargins left="0.7" right="0.7" top="0.78740157499999996" bottom="0.78740157499999996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A122"/>
  <sheetViews>
    <sheetView topLeftCell="A91" workbookViewId="0">
      <selection activeCell="M113" sqref="M113"/>
    </sheetView>
  </sheetViews>
  <sheetFormatPr baseColWidth="10" defaultRowHeight="14.4" x14ac:dyDescent="0.3"/>
  <cols>
    <col min="1" max="6" width="11.77734375" style="1" customWidth="1"/>
    <col min="7" max="10" width="11.77734375" style="2" customWidth="1"/>
    <col min="11" max="18" width="11.77734375" customWidth="1"/>
    <col min="19" max="25" width="11.77734375" style="134" customWidth="1"/>
    <col min="27" max="27" width="11.5546875" style="357"/>
  </cols>
  <sheetData>
    <row r="1" spans="1:27" ht="15" thickTop="1" x14ac:dyDescent="0.3">
      <c r="A1" s="106"/>
      <c r="B1" s="25"/>
      <c r="C1" s="25"/>
      <c r="D1" s="25"/>
      <c r="E1" s="25"/>
      <c r="F1" s="25"/>
      <c r="G1" s="26"/>
      <c r="H1" s="26"/>
      <c r="I1" s="26"/>
      <c r="J1" s="26"/>
      <c r="K1" s="107"/>
      <c r="S1" s="114"/>
      <c r="T1" s="115"/>
      <c r="U1" s="115"/>
      <c r="V1" s="115"/>
      <c r="W1" s="115"/>
      <c r="X1" s="115"/>
      <c r="Y1" s="116"/>
    </row>
    <row r="2" spans="1:27" ht="46.2" x14ac:dyDescent="0.85">
      <c r="A2" s="425" t="s">
        <v>70</v>
      </c>
      <c r="B2" s="426"/>
      <c r="C2" s="426"/>
      <c r="D2" s="426"/>
      <c r="E2" s="426"/>
      <c r="F2" s="426"/>
      <c r="G2" s="426"/>
      <c r="H2" s="426"/>
      <c r="I2" s="426"/>
      <c r="J2" s="426"/>
      <c r="K2" s="437"/>
      <c r="S2" s="117"/>
      <c r="T2" s="133"/>
      <c r="U2" s="133"/>
      <c r="V2" s="133"/>
      <c r="W2" s="133"/>
      <c r="X2" s="133"/>
      <c r="Y2" s="118"/>
    </row>
    <row r="3" spans="1:27" x14ac:dyDescent="0.3">
      <c r="A3" s="176"/>
      <c r="B3" s="173"/>
      <c r="C3" s="173"/>
      <c r="D3" s="173"/>
      <c r="E3" s="173"/>
      <c r="F3" s="173"/>
      <c r="G3" s="5"/>
      <c r="H3" s="5"/>
      <c r="I3" s="5"/>
      <c r="J3" s="5"/>
      <c r="K3" s="108"/>
      <c r="S3" s="117"/>
      <c r="T3" s="133"/>
      <c r="U3" s="133"/>
      <c r="V3" s="133"/>
      <c r="W3" s="133"/>
      <c r="X3" s="133"/>
      <c r="Y3" s="118"/>
    </row>
    <row r="4" spans="1:27" ht="28.8" x14ac:dyDescent="0.55000000000000004">
      <c r="A4" s="428" t="s">
        <v>72</v>
      </c>
      <c r="B4" s="429"/>
      <c r="C4" s="429"/>
      <c r="D4" s="429"/>
      <c r="E4" s="429"/>
      <c r="F4" s="429"/>
      <c r="G4" s="429"/>
      <c r="H4" s="429"/>
      <c r="I4" s="429"/>
      <c r="J4" s="429"/>
      <c r="K4" s="438"/>
      <c r="S4" s="117"/>
      <c r="T4" s="133"/>
      <c r="U4" s="133"/>
      <c r="V4" s="133"/>
      <c r="W4" s="133"/>
      <c r="X4" s="133"/>
      <c r="Y4" s="118"/>
    </row>
    <row r="5" spans="1:27" ht="21" x14ac:dyDescent="0.4">
      <c r="A5" s="430" t="s">
        <v>275</v>
      </c>
      <c r="B5" s="431"/>
      <c r="C5" s="431"/>
      <c r="D5" s="431"/>
      <c r="E5" s="431"/>
      <c r="F5" s="431"/>
      <c r="G5" s="431"/>
      <c r="H5" s="431"/>
      <c r="I5" s="431"/>
      <c r="J5" s="431"/>
      <c r="K5" s="439"/>
      <c r="S5" s="117"/>
      <c r="T5" s="133"/>
      <c r="U5" s="133"/>
      <c r="V5" s="133"/>
      <c r="W5" s="133"/>
      <c r="X5" s="133"/>
      <c r="Y5" s="118"/>
    </row>
    <row r="6" spans="1:27" x14ac:dyDescent="0.3">
      <c r="A6" s="176"/>
      <c r="B6" s="173"/>
      <c r="C6" s="173"/>
      <c r="D6" s="173"/>
      <c r="E6" s="173"/>
      <c r="F6" s="173"/>
      <c r="G6" s="5"/>
      <c r="H6" s="5"/>
      <c r="I6" s="5"/>
      <c r="J6" s="5"/>
      <c r="K6" s="108"/>
      <c r="S6" s="117"/>
      <c r="T6" s="133"/>
      <c r="U6" s="133"/>
      <c r="V6" s="133"/>
      <c r="W6" s="133"/>
      <c r="X6" s="133"/>
      <c r="Y6" s="118"/>
    </row>
    <row r="7" spans="1:27" x14ac:dyDescent="0.3">
      <c r="A7" s="176"/>
      <c r="B7" s="173"/>
      <c r="C7" s="173"/>
      <c r="D7" s="173"/>
      <c r="E7" s="173"/>
      <c r="F7" s="173"/>
      <c r="G7" s="5"/>
      <c r="H7" s="5"/>
      <c r="I7" s="5"/>
      <c r="J7" s="5"/>
      <c r="K7" s="108"/>
      <c r="S7" s="117"/>
      <c r="T7" s="135"/>
      <c r="U7" s="135"/>
      <c r="V7" s="135"/>
      <c r="W7" s="135"/>
      <c r="X7" s="135"/>
      <c r="Y7" s="118"/>
    </row>
    <row r="8" spans="1:27" x14ac:dyDescent="0.3">
      <c r="A8" s="176"/>
      <c r="B8" s="173"/>
      <c r="C8" s="173"/>
      <c r="D8" s="173"/>
      <c r="E8" s="173"/>
      <c r="F8" s="173"/>
      <c r="G8" s="5"/>
      <c r="H8" s="5"/>
      <c r="I8" s="5"/>
      <c r="J8" s="5"/>
      <c r="K8" s="108"/>
      <c r="S8" s="117"/>
      <c r="T8" s="135"/>
      <c r="U8" s="135"/>
      <c r="V8" s="135"/>
      <c r="W8" s="135"/>
      <c r="X8" s="135"/>
      <c r="Y8" s="118"/>
    </row>
    <row r="9" spans="1:27" x14ac:dyDescent="0.3">
      <c r="A9" s="176"/>
      <c r="B9" s="173"/>
      <c r="C9" s="173"/>
      <c r="D9" s="173"/>
      <c r="E9" s="173"/>
      <c r="F9" s="173"/>
      <c r="G9" s="5"/>
      <c r="H9" s="5"/>
      <c r="I9" s="5"/>
      <c r="J9" s="5"/>
      <c r="K9" s="108"/>
      <c r="S9" s="117"/>
      <c r="T9" s="133"/>
      <c r="U9" s="133"/>
      <c r="V9" s="133"/>
      <c r="W9" s="133"/>
      <c r="X9" s="133"/>
      <c r="Y9" s="118"/>
    </row>
    <row r="10" spans="1:27" ht="21" x14ac:dyDescent="0.4">
      <c r="A10" s="176"/>
      <c r="B10" s="173"/>
      <c r="C10" s="173"/>
      <c r="D10" s="173"/>
      <c r="E10" s="173"/>
      <c r="F10" s="172" t="s">
        <v>2</v>
      </c>
      <c r="G10" s="5"/>
      <c r="H10" s="5"/>
      <c r="I10" s="5"/>
      <c r="J10" s="5"/>
      <c r="K10" s="108"/>
      <c r="S10" s="117"/>
      <c r="T10" s="133"/>
      <c r="U10" s="133"/>
      <c r="V10" s="133"/>
      <c r="W10" s="133"/>
      <c r="X10" s="133"/>
      <c r="Y10" s="118"/>
    </row>
    <row r="11" spans="1:27" x14ac:dyDescent="0.3">
      <c r="A11" s="176"/>
      <c r="B11" s="173"/>
      <c r="C11" s="173"/>
      <c r="D11" s="173"/>
      <c r="E11" s="173"/>
      <c r="F11" s="173"/>
      <c r="G11" s="5"/>
      <c r="H11" s="5"/>
      <c r="I11" s="5"/>
      <c r="J11" s="5"/>
      <c r="K11" s="108"/>
      <c r="S11" s="117"/>
      <c r="T11" s="133"/>
      <c r="U11" s="133"/>
      <c r="V11" s="133"/>
      <c r="W11" s="133"/>
      <c r="X11" s="133"/>
      <c r="Y11" s="118"/>
    </row>
    <row r="12" spans="1:27" x14ac:dyDescent="0.3">
      <c r="A12" s="176"/>
      <c r="B12" s="173"/>
      <c r="C12" s="40">
        <v>18438</v>
      </c>
      <c r="D12" s="33" t="s">
        <v>9</v>
      </c>
      <c r="E12" s="33" t="s">
        <v>4</v>
      </c>
      <c r="F12" s="33">
        <v>4</v>
      </c>
      <c r="G12" s="33">
        <v>0</v>
      </c>
      <c r="H12" s="33"/>
      <c r="I12" s="5" t="s">
        <v>77</v>
      </c>
      <c r="J12" s="5"/>
      <c r="K12" s="108"/>
      <c r="S12" s="122" t="s">
        <v>9</v>
      </c>
      <c r="T12" s="17" t="s">
        <v>4</v>
      </c>
      <c r="U12" s="17">
        <v>4</v>
      </c>
      <c r="V12" s="17">
        <v>0</v>
      </c>
      <c r="X12" s="126">
        <f>(IF(U12&gt;V12,3,IF(U12=V12,1,2)))</f>
        <v>3</v>
      </c>
      <c r="Y12" s="125">
        <f>(IF(V12&gt;U12,3,IF(U12=V12,1,2)))</f>
        <v>2</v>
      </c>
      <c r="AA12" s="357" t="s">
        <v>9</v>
      </c>
    </row>
    <row r="13" spans="1:27" ht="15" thickBot="1" x14ac:dyDescent="0.35">
      <c r="A13" s="176"/>
      <c r="B13" s="173"/>
      <c r="C13" s="58"/>
      <c r="D13" s="59"/>
      <c r="E13" s="59"/>
      <c r="F13" s="59" t="s">
        <v>172</v>
      </c>
      <c r="G13" s="59" t="s">
        <v>171</v>
      </c>
      <c r="H13" s="59"/>
      <c r="I13" s="8"/>
      <c r="J13" s="5"/>
      <c r="K13" s="108"/>
      <c r="S13" s="117" t="s">
        <v>8</v>
      </c>
      <c r="T13" s="133" t="s">
        <v>43</v>
      </c>
      <c r="U13" s="133">
        <v>3</v>
      </c>
      <c r="V13" s="133">
        <v>0</v>
      </c>
      <c r="X13" s="126">
        <f t="shared" ref="X13:X17" si="0">(IF(U13&gt;V13,3,IF(U13=V13,1,2)))</f>
        <v>3</v>
      </c>
      <c r="Y13" s="125">
        <f t="shared" ref="Y13:Y17" si="1">(IF(V13&gt;U13,3,IF(U13=V13,1,2)))</f>
        <v>2</v>
      </c>
      <c r="AA13" s="357" t="s">
        <v>18</v>
      </c>
    </row>
    <row r="14" spans="1:27" x14ac:dyDescent="0.3">
      <c r="A14" s="176"/>
      <c r="B14" s="173"/>
      <c r="C14" s="40">
        <v>18439</v>
      </c>
      <c r="D14" s="33" t="s">
        <v>8</v>
      </c>
      <c r="E14" s="33" t="s">
        <v>43</v>
      </c>
      <c r="F14" s="33">
        <v>3</v>
      </c>
      <c r="G14" s="33">
        <v>0</v>
      </c>
      <c r="H14" s="33"/>
      <c r="I14" s="5" t="s">
        <v>78</v>
      </c>
      <c r="J14" s="5"/>
      <c r="K14" s="108"/>
      <c r="S14" s="117" t="s">
        <v>9</v>
      </c>
      <c r="T14" s="133" t="s">
        <v>43</v>
      </c>
      <c r="U14" s="133">
        <v>2</v>
      </c>
      <c r="V14" s="133">
        <v>2</v>
      </c>
      <c r="X14" s="126">
        <f t="shared" si="0"/>
        <v>1</v>
      </c>
      <c r="Y14" s="125">
        <f t="shared" si="1"/>
        <v>1</v>
      </c>
      <c r="AA14" s="357" t="s">
        <v>35</v>
      </c>
    </row>
    <row r="15" spans="1:27" ht="15" thickBot="1" x14ac:dyDescent="0.35">
      <c r="A15" s="176"/>
      <c r="B15" s="173"/>
      <c r="C15" s="58"/>
      <c r="D15" s="59"/>
      <c r="E15" s="59"/>
      <c r="F15" s="59" t="s">
        <v>170</v>
      </c>
      <c r="G15" s="59" t="s">
        <v>171</v>
      </c>
      <c r="H15" s="59"/>
      <c r="I15" s="8"/>
      <c r="J15" s="5"/>
      <c r="K15" s="108"/>
      <c r="S15" s="117" t="s">
        <v>8</v>
      </c>
      <c r="T15" s="133" t="s">
        <v>4</v>
      </c>
      <c r="U15" s="133">
        <v>4</v>
      </c>
      <c r="V15" s="133">
        <v>1</v>
      </c>
      <c r="X15" s="126">
        <f t="shared" si="0"/>
        <v>3</v>
      </c>
      <c r="Y15" s="125">
        <f t="shared" si="1"/>
        <v>2</v>
      </c>
      <c r="AA15" s="357" t="s">
        <v>41</v>
      </c>
    </row>
    <row r="16" spans="1:27" x14ac:dyDescent="0.3">
      <c r="A16" s="176"/>
      <c r="B16" s="173"/>
      <c r="C16" s="40">
        <v>18442</v>
      </c>
      <c r="D16" s="33" t="s">
        <v>9</v>
      </c>
      <c r="E16" s="33" t="s">
        <v>43</v>
      </c>
      <c r="F16" s="33">
        <v>2</v>
      </c>
      <c r="G16" s="33">
        <v>2</v>
      </c>
      <c r="H16" s="33"/>
      <c r="I16" s="5" t="s">
        <v>76</v>
      </c>
      <c r="J16" s="5"/>
      <c r="K16" s="108"/>
      <c r="S16" s="117" t="s">
        <v>9</v>
      </c>
      <c r="T16" s="133" t="s">
        <v>8</v>
      </c>
      <c r="U16" s="133">
        <v>2</v>
      </c>
      <c r="V16" s="133">
        <v>0</v>
      </c>
      <c r="X16" s="126">
        <f t="shared" si="0"/>
        <v>3</v>
      </c>
      <c r="Y16" s="125">
        <f t="shared" si="1"/>
        <v>2</v>
      </c>
      <c r="AA16" s="357" t="s">
        <v>8</v>
      </c>
    </row>
    <row r="17" spans="1:27" ht="15" thickBot="1" x14ac:dyDescent="0.35">
      <c r="A17" s="176"/>
      <c r="B17" s="173"/>
      <c r="C17" s="58"/>
      <c r="D17" s="59"/>
      <c r="E17" s="59"/>
      <c r="F17" s="59" t="s">
        <v>215</v>
      </c>
      <c r="G17" s="59" t="s">
        <v>183</v>
      </c>
      <c r="H17" s="59"/>
      <c r="I17" s="8"/>
      <c r="J17" s="5"/>
      <c r="K17" s="108"/>
      <c r="S17" s="117" t="s">
        <v>43</v>
      </c>
      <c r="T17" s="133" t="s">
        <v>4</v>
      </c>
      <c r="U17" s="133">
        <v>2</v>
      </c>
      <c r="V17" s="133">
        <v>1</v>
      </c>
      <c r="X17" s="126">
        <f t="shared" si="0"/>
        <v>3</v>
      </c>
      <c r="Y17" s="125">
        <f t="shared" si="1"/>
        <v>2</v>
      </c>
      <c r="AA17" s="357" t="s">
        <v>43</v>
      </c>
    </row>
    <row r="18" spans="1:27" x14ac:dyDescent="0.3">
      <c r="A18" s="176"/>
      <c r="B18" s="173"/>
      <c r="C18" s="40">
        <v>18442</v>
      </c>
      <c r="D18" s="33" t="s">
        <v>8</v>
      </c>
      <c r="E18" s="33" t="s">
        <v>4</v>
      </c>
      <c r="F18" s="33">
        <v>4</v>
      </c>
      <c r="G18" s="33">
        <v>1</v>
      </c>
      <c r="H18" s="33"/>
      <c r="I18" s="5" t="s">
        <v>79</v>
      </c>
      <c r="J18" s="5"/>
      <c r="K18" s="108"/>
      <c r="S18" s="117"/>
      <c r="T18" s="135"/>
      <c r="U18" s="135"/>
      <c r="V18" s="135"/>
      <c r="W18" s="135"/>
      <c r="X18" s="135"/>
      <c r="Y18" s="118"/>
      <c r="AA18" s="357" t="s">
        <v>37</v>
      </c>
    </row>
    <row r="19" spans="1:27" ht="15" thickBot="1" x14ac:dyDescent="0.35">
      <c r="A19" s="176"/>
      <c r="B19" s="173"/>
      <c r="C19" s="58"/>
      <c r="D19" s="59"/>
      <c r="E19" s="59"/>
      <c r="F19" s="59" t="s">
        <v>215</v>
      </c>
      <c r="G19" s="59" t="s">
        <v>171</v>
      </c>
      <c r="H19" s="59"/>
      <c r="I19" s="8"/>
      <c r="J19" s="5"/>
      <c r="K19" s="108"/>
      <c r="S19" s="117"/>
      <c r="T19" s="135"/>
      <c r="U19" s="135"/>
      <c r="V19" s="135"/>
      <c r="W19" s="135"/>
      <c r="X19" s="135"/>
      <c r="Y19" s="118"/>
      <c r="AA19" s="357" t="s">
        <v>6</v>
      </c>
    </row>
    <row r="20" spans="1:27" x14ac:dyDescent="0.3">
      <c r="A20" s="176"/>
      <c r="B20" s="173"/>
      <c r="C20" s="40">
        <v>18445</v>
      </c>
      <c r="D20" s="33" t="s">
        <v>9</v>
      </c>
      <c r="E20" s="33" t="s">
        <v>8</v>
      </c>
      <c r="F20" s="33">
        <v>2</v>
      </c>
      <c r="G20" s="33">
        <v>0</v>
      </c>
      <c r="H20" s="33"/>
      <c r="I20" s="5" t="s">
        <v>77</v>
      </c>
      <c r="J20" s="5"/>
      <c r="K20" s="108"/>
      <c r="S20" s="117"/>
      <c r="T20" s="135"/>
      <c r="U20" s="135"/>
      <c r="V20" s="135"/>
      <c r="W20" s="135"/>
      <c r="X20" s="135"/>
      <c r="Y20" s="118"/>
      <c r="AA20" s="357" t="s">
        <v>20</v>
      </c>
    </row>
    <row r="21" spans="1:27" ht="15" thickBot="1" x14ac:dyDescent="0.35">
      <c r="A21" s="176"/>
      <c r="B21" s="173"/>
      <c r="C21" s="58"/>
      <c r="D21" s="59"/>
      <c r="E21" s="59"/>
      <c r="F21" s="59" t="s">
        <v>172</v>
      </c>
      <c r="G21" s="59" t="s">
        <v>171</v>
      </c>
      <c r="H21" s="59"/>
      <c r="I21" s="8"/>
      <c r="J21" s="5"/>
      <c r="K21" s="108"/>
      <c r="S21" s="117"/>
      <c r="T21" s="133"/>
      <c r="U21" s="133"/>
      <c r="V21" s="133"/>
      <c r="W21" s="133"/>
      <c r="X21" s="133"/>
      <c r="Y21" s="118"/>
      <c r="AA21" s="357" t="s">
        <v>74</v>
      </c>
    </row>
    <row r="22" spans="1:27" x14ac:dyDescent="0.3">
      <c r="A22" s="176"/>
      <c r="B22" s="173"/>
      <c r="C22" s="40">
        <v>18446</v>
      </c>
      <c r="D22" s="33" t="s">
        <v>43</v>
      </c>
      <c r="E22" s="33" t="s">
        <v>4</v>
      </c>
      <c r="F22" s="33">
        <v>2</v>
      </c>
      <c r="G22" s="33">
        <v>1</v>
      </c>
      <c r="H22" s="33"/>
      <c r="I22" s="5" t="s">
        <v>79</v>
      </c>
      <c r="J22" s="5"/>
      <c r="K22" s="108"/>
      <c r="S22" s="117"/>
      <c r="T22" s="133"/>
      <c r="U22" s="133"/>
      <c r="V22" s="133"/>
      <c r="W22" s="133"/>
      <c r="X22" s="133"/>
      <c r="Y22" s="118"/>
      <c r="AA22" s="357" t="s">
        <v>22</v>
      </c>
    </row>
    <row r="23" spans="1:27" x14ac:dyDescent="0.3">
      <c r="A23" s="176"/>
      <c r="B23" s="173"/>
      <c r="C23" s="173"/>
      <c r="D23" s="173"/>
      <c r="E23" s="173"/>
      <c r="F23" s="173" t="s">
        <v>215</v>
      </c>
      <c r="G23" s="5" t="s">
        <v>171</v>
      </c>
      <c r="H23" s="5"/>
      <c r="I23" s="5"/>
      <c r="J23" s="5"/>
      <c r="K23" s="108"/>
      <c r="S23" s="117"/>
      <c r="T23" s="133"/>
      <c r="U23" s="133"/>
      <c r="V23" s="133"/>
      <c r="W23" s="133"/>
      <c r="X23" s="133"/>
      <c r="Y23" s="118"/>
      <c r="AA23" s="357" t="s">
        <v>10</v>
      </c>
    </row>
    <row r="24" spans="1:27" x14ac:dyDescent="0.3">
      <c r="A24" s="176"/>
      <c r="B24" s="173"/>
      <c r="C24" s="173"/>
      <c r="D24" s="173"/>
      <c r="E24" s="173"/>
      <c r="F24" s="173"/>
      <c r="G24" s="5"/>
      <c r="H24" s="5"/>
      <c r="I24" s="5"/>
      <c r="J24" s="5"/>
      <c r="K24" s="108"/>
      <c r="S24" s="117"/>
      <c r="T24" s="133"/>
      <c r="U24" s="133"/>
      <c r="V24" s="133"/>
      <c r="W24" s="133"/>
      <c r="X24" s="133"/>
      <c r="Y24" s="118"/>
      <c r="AA24" s="357" t="s">
        <v>4</v>
      </c>
    </row>
    <row r="25" spans="1:27" ht="15" thickBot="1" x14ac:dyDescent="0.35">
      <c r="A25" s="176"/>
      <c r="B25" s="173"/>
      <c r="C25" s="173" t="s">
        <v>12</v>
      </c>
      <c r="D25" s="173" t="s">
        <v>13</v>
      </c>
      <c r="E25" s="173" t="s">
        <v>14</v>
      </c>
      <c r="F25" s="173" t="s">
        <v>15</v>
      </c>
      <c r="G25" s="5" t="s">
        <v>24</v>
      </c>
      <c r="H25" s="5" t="s">
        <v>25</v>
      </c>
      <c r="I25" s="5" t="s">
        <v>26</v>
      </c>
      <c r="J25" s="5" t="s">
        <v>27</v>
      </c>
      <c r="K25" s="108"/>
      <c r="S25" s="117"/>
      <c r="T25" s="133"/>
      <c r="U25" s="133"/>
      <c r="V25" s="133"/>
      <c r="W25" s="133"/>
      <c r="X25" s="133"/>
      <c r="Y25" s="118"/>
    </row>
    <row r="26" spans="1:27" s="13" customFormat="1" x14ac:dyDescent="0.3">
      <c r="A26" s="24"/>
      <c r="B26" s="14" t="s">
        <v>9</v>
      </c>
      <c r="C26" s="177">
        <f>COUNTIF($S$12:$T$17,"Brasilien")</f>
        <v>3</v>
      </c>
      <c r="D26" s="124">
        <f>SUMPRODUCT(($S$12:$T$17=B26)*($X$12:$Y$17=3))</f>
        <v>2</v>
      </c>
      <c r="E26" s="124">
        <f>SUMPRODUCT(($S$12:$T$17=B26)*($X$12:$Y$17=1))</f>
        <v>1</v>
      </c>
      <c r="F26" s="124">
        <f>SUMPRODUCT(($S$12:$T$17=B26)*($X$12:$Y$17=2))</f>
        <v>0</v>
      </c>
      <c r="G26" s="124">
        <f>SUMPRODUCT(($S$12:$S$17=B26)*($U$12:$U$17))+SUMPRODUCT(($T$12:$T$17=B26)*($V$12:$V$17))</f>
        <v>8</v>
      </c>
      <c r="H26" s="124">
        <f>SUMPRODUCT(($S$12:$S$17=B26)*($V$12:$V$17))+SUMPRODUCT(($T$12:$T$17=B26)*($U$12:$U$17))</f>
        <v>2</v>
      </c>
      <c r="I26" s="15">
        <f>(D26*2)+E26</f>
        <v>5</v>
      </c>
      <c r="J26" s="16">
        <f>(F26*2)+E26</f>
        <v>1</v>
      </c>
      <c r="K26" s="109"/>
      <c r="S26" s="117"/>
      <c r="T26" s="133"/>
      <c r="U26" s="133"/>
      <c r="V26" s="133"/>
      <c r="W26" s="133"/>
      <c r="X26" s="133"/>
      <c r="Y26" s="118"/>
      <c r="AA26" s="10"/>
    </row>
    <row r="27" spans="1:27" x14ac:dyDescent="0.3">
      <c r="A27" s="176"/>
      <c r="B27" s="3" t="s">
        <v>8</v>
      </c>
      <c r="C27" s="173">
        <f>COUNTIF($S$12:$T$17,"Jugoslawien")</f>
        <v>3</v>
      </c>
      <c r="D27" s="43">
        <f>SUMPRODUCT(($S$12:$T$17=B27)*($X$12:$Y$17=3))</f>
        <v>2</v>
      </c>
      <c r="E27" s="43">
        <f>SUMPRODUCT(($S$12:$T$17=B27)*($X$12:$Y$17=1))</f>
        <v>0</v>
      </c>
      <c r="F27" s="43">
        <f>SUMPRODUCT(($S$12:$T$17=B27)*($X$12:$Y$17=2))</f>
        <v>1</v>
      </c>
      <c r="G27" s="43">
        <f>SUMPRODUCT(($S$12:$S$17=B27)*($U$12:$U$17))+SUMPRODUCT(($T$12:$T$17=B27)*($V$12:$V$17))</f>
        <v>7</v>
      </c>
      <c r="H27" s="43">
        <f>SUMPRODUCT(($S$12:$S$17=B27)*($V$12:$V$17))+SUMPRODUCT(($T$12:$T$17=B27)*($U$12:$U$17))</f>
        <v>3</v>
      </c>
      <c r="I27" s="18">
        <f>(D27*2)+E27</f>
        <v>4</v>
      </c>
      <c r="J27" s="22">
        <f>(F27*2)+E27</f>
        <v>2</v>
      </c>
      <c r="K27" s="108"/>
      <c r="S27" s="122"/>
      <c r="T27" s="17"/>
      <c r="U27" s="17"/>
      <c r="V27" s="17"/>
      <c r="W27" s="17"/>
      <c r="X27" s="18"/>
      <c r="Y27" s="128"/>
    </row>
    <row r="28" spans="1:27" x14ac:dyDescent="0.3">
      <c r="A28" s="176"/>
      <c r="B28" s="3" t="s">
        <v>43</v>
      </c>
      <c r="C28" s="173">
        <f>COUNTIF($S$12:$T$17,"Schweiz")</f>
        <v>3</v>
      </c>
      <c r="D28" s="43">
        <f>SUMPRODUCT(($S$12:$T$17=B28)*($X$12:$Y$17=3))</f>
        <v>1</v>
      </c>
      <c r="E28" s="43">
        <f>SUMPRODUCT(($S$12:$T$17=B28)*($X$12:$Y$17=1))</f>
        <v>1</v>
      </c>
      <c r="F28" s="43">
        <f>SUMPRODUCT(($S$12:$T$17=B28)*($X$12:$Y$17=2))</f>
        <v>1</v>
      </c>
      <c r="G28" s="43">
        <f>SUMPRODUCT(($S$12:$S$17=B28)*($U$12:$U$17))+SUMPRODUCT(($T$12:$T$17=B28)*($V$12:$V$17))</f>
        <v>4</v>
      </c>
      <c r="H28" s="43">
        <f>SUMPRODUCT(($S$12:$S$17=B28)*($V$12:$V$17))+SUMPRODUCT(($T$12:$T$17=B28)*($U$12:$U$17))</f>
        <v>6</v>
      </c>
      <c r="I28" s="18">
        <f>(D28*2)+E28</f>
        <v>3</v>
      </c>
      <c r="J28" s="22">
        <f>(F28*2)+E28</f>
        <v>3</v>
      </c>
      <c r="K28" s="108"/>
      <c r="S28" s="122"/>
      <c r="T28" s="17"/>
      <c r="U28" s="17"/>
      <c r="V28" s="17"/>
      <c r="W28" s="17"/>
      <c r="X28" s="18"/>
      <c r="Y28" s="128"/>
    </row>
    <row r="29" spans="1:27" ht="15" thickBot="1" x14ac:dyDescent="0.35">
      <c r="A29" s="176"/>
      <c r="B29" s="7" t="s">
        <v>4</v>
      </c>
      <c r="C29" s="178">
        <f>COUNTIF($S$12:$T$17,"Mexiko")</f>
        <v>3</v>
      </c>
      <c r="D29" s="80">
        <f>SUMPRODUCT(($S$12:$T$17=B29)*($X$12:$Y$17=3))</f>
        <v>0</v>
      </c>
      <c r="E29" s="80">
        <f>SUMPRODUCT(($S$12:$T$17=B29)*($X$12:$Y$17=1))</f>
        <v>0</v>
      </c>
      <c r="F29" s="80">
        <f>SUMPRODUCT(($S$12:$T$17=B29)*($X$12:$Y$17=2))</f>
        <v>3</v>
      </c>
      <c r="G29" s="80">
        <f>SUMPRODUCT(($S$12:$S$17=B29)*($U$12:$U$17))+SUMPRODUCT(($T$12:$T$17=B29)*($V$12:$V$17))</f>
        <v>2</v>
      </c>
      <c r="H29" s="80">
        <f>SUMPRODUCT(($S$12:$S$17=B29)*($V$12:$V$17))+SUMPRODUCT(($T$12:$T$17=B29)*($U$12:$U$17))</f>
        <v>10</v>
      </c>
      <c r="I29" s="31">
        <f>(D29*2)+E29</f>
        <v>0</v>
      </c>
      <c r="J29" s="32">
        <f>(F29*2)+E29</f>
        <v>6</v>
      </c>
      <c r="K29" s="108"/>
      <c r="S29" s="117"/>
      <c r="T29" s="146"/>
      <c r="U29" s="146"/>
      <c r="V29" s="146"/>
      <c r="W29" s="146"/>
      <c r="X29" s="5"/>
      <c r="Y29" s="127"/>
    </row>
    <row r="30" spans="1:27" ht="15" thickBot="1" x14ac:dyDescent="0.35">
      <c r="A30" s="110"/>
      <c r="B30" s="36"/>
      <c r="C30" s="36"/>
      <c r="D30" s="36"/>
      <c r="E30" s="36"/>
      <c r="F30" s="36"/>
      <c r="G30" s="37"/>
      <c r="H30" s="37"/>
      <c r="I30" s="37"/>
      <c r="J30" s="37"/>
      <c r="K30" s="193"/>
      <c r="S30" s="122"/>
      <c r="T30" s="17"/>
      <c r="U30" s="17"/>
      <c r="V30" s="17"/>
      <c r="W30" s="17"/>
      <c r="X30" s="18"/>
      <c r="Y30" s="128"/>
    </row>
    <row r="31" spans="1:27" ht="15" thickTop="1" x14ac:dyDescent="0.3">
      <c r="A31" s="176"/>
      <c r="B31" s="173"/>
      <c r="C31" s="173"/>
      <c r="D31" s="173"/>
      <c r="E31" s="173"/>
      <c r="F31" s="173"/>
      <c r="G31" s="5"/>
      <c r="H31" s="5"/>
      <c r="I31" s="5"/>
      <c r="J31" s="5"/>
      <c r="K31" s="108"/>
      <c r="S31" s="122"/>
      <c r="T31" s="17"/>
      <c r="U31" s="17"/>
      <c r="V31" s="17"/>
      <c r="W31" s="17"/>
      <c r="X31" s="18"/>
      <c r="Y31" s="128"/>
    </row>
    <row r="32" spans="1:27" ht="21" x14ac:dyDescent="0.4">
      <c r="A32" s="176"/>
      <c r="B32" s="173"/>
      <c r="C32" s="173"/>
      <c r="D32" s="173"/>
      <c r="E32" s="173"/>
      <c r="F32" s="172" t="s">
        <v>7</v>
      </c>
      <c r="G32" s="5"/>
      <c r="H32" s="5"/>
      <c r="I32" s="5"/>
      <c r="J32" s="5"/>
      <c r="K32" s="108"/>
      <c r="S32" s="117"/>
      <c r="T32" s="133"/>
      <c r="U32" s="133"/>
      <c r="V32" s="133"/>
      <c r="W32" s="133"/>
      <c r="X32" s="133"/>
      <c r="Y32" s="118"/>
    </row>
    <row r="33" spans="1:25" x14ac:dyDescent="0.3">
      <c r="A33" s="176"/>
      <c r="B33" s="173"/>
      <c r="C33" s="173"/>
      <c r="D33" s="173"/>
      <c r="E33" s="173"/>
      <c r="F33" s="173"/>
      <c r="G33" s="5"/>
      <c r="H33" s="5"/>
      <c r="I33" s="5"/>
      <c r="J33" s="5"/>
      <c r="K33" s="108"/>
      <c r="S33" s="117"/>
      <c r="T33" s="133"/>
      <c r="U33" s="133"/>
      <c r="V33" s="133"/>
      <c r="W33" s="133"/>
      <c r="X33" s="133"/>
      <c r="Y33" s="118"/>
    </row>
    <row r="34" spans="1:25" x14ac:dyDescent="0.3">
      <c r="A34" s="176"/>
      <c r="B34" s="173"/>
      <c r="C34" s="40">
        <v>18439</v>
      </c>
      <c r="D34" s="33" t="s">
        <v>6</v>
      </c>
      <c r="E34" s="33" t="s">
        <v>74</v>
      </c>
      <c r="F34" s="33">
        <v>0</v>
      </c>
      <c r="G34" s="33">
        <v>2</v>
      </c>
      <c r="H34" s="33"/>
      <c r="I34" s="5" t="s">
        <v>77</v>
      </c>
      <c r="J34" s="5"/>
      <c r="K34" s="108"/>
      <c r="S34" s="117" t="s">
        <v>6</v>
      </c>
      <c r="T34" s="133" t="s">
        <v>74</v>
      </c>
      <c r="U34" s="133">
        <v>0</v>
      </c>
      <c r="V34" s="133">
        <v>2</v>
      </c>
      <c r="W34" s="133"/>
      <c r="X34" s="126">
        <f t="shared" ref="X34:X37" si="2">(IF(U34&gt;V34,3,IF(U34=V34,1,2)))</f>
        <v>2</v>
      </c>
      <c r="Y34" s="125">
        <f t="shared" ref="Y34:Y37" si="3">(IF(V34&gt;U34,3,IF(U34=V34,1,2)))</f>
        <v>3</v>
      </c>
    </row>
    <row r="35" spans="1:25" ht="15" thickBot="1" x14ac:dyDescent="0.35">
      <c r="A35" s="176"/>
      <c r="B35" s="173"/>
      <c r="C35" s="58"/>
      <c r="D35" s="59"/>
      <c r="E35" s="59"/>
      <c r="F35" s="59" t="s">
        <v>170</v>
      </c>
      <c r="G35" s="59" t="s">
        <v>183</v>
      </c>
      <c r="H35" s="59"/>
      <c r="I35" s="8"/>
      <c r="J35" s="5"/>
      <c r="K35" s="108"/>
      <c r="S35" s="117" t="s">
        <v>20</v>
      </c>
      <c r="T35" s="133" t="s">
        <v>35</v>
      </c>
      <c r="U35" s="133">
        <v>1</v>
      </c>
      <c r="V35" s="133">
        <v>3</v>
      </c>
      <c r="W35" s="133"/>
      <c r="X35" s="126">
        <f t="shared" si="2"/>
        <v>2</v>
      </c>
      <c r="Y35" s="125">
        <f t="shared" si="3"/>
        <v>3</v>
      </c>
    </row>
    <row r="36" spans="1:25" x14ac:dyDescent="0.3">
      <c r="A36" s="176"/>
      <c r="B36" s="173"/>
      <c r="C36" s="40">
        <v>18439</v>
      </c>
      <c r="D36" s="33" t="s">
        <v>20</v>
      </c>
      <c r="E36" s="33" t="s">
        <v>35</v>
      </c>
      <c r="F36" s="33">
        <v>1</v>
      </c>
      <c r="G36" s="33">
        <v>3</v>
      </c>
      <c r="H36" s="33"/>
      <c r="I36" s="5" t="s">
        <v>75</v>
      </c>
      <c r="J36" s="5"/>
      <c r="K36" s="108"/>
      <c r="S36" s="117" t="s">
        <v>20</v>
      </c>
      <c r="T36" s="133" t="s">
        <v>74</v>
      </c>
      <c r="U36" s="133">
        <v>1</v>
      </c>
      <c r="V36" s="133">
        <v>0</v>
      </c>
      <c r="W36" s="133"/>
      <c r="X36" s="126">
        <f t="shared" si="2"/>
        <v>3</v>
      </c>
      <c r="Y36" s="125">
        <f t="shared" si="3"/>
        <v>2</v>
      </c>
    </row>
    <row r="37" spans="1:25" ht="15" thickBot="1" x14ac:dyDescent="0.35">
      <c r="A37" s="176"/>
      <c r="B37" s="173"/>
      <c r="C37" s="58"/>
      <c r="D37" s="59"/>
      <c r="E37" s="59"/>
      <c r="F37" s="59" t="s">
        <v>172</v>
      </c>
      <c r="G37" s="59" t="s">
        <v>171</v>
      </c>
      <c r="H37" s="59"/>
      <c r="I37" s="8"/>
      <c r="J37" s="5"/>
      <c r="K37" s="108"/>
      <c r="S37" s="117" t="s">
        <v>6</v>
      </c>
      <c r="T37" s="133" t="s">
        <v>35</v>
      </c>
      <c r="U37" s="133">
        <v>0</v>
      </c>
      <c r="V37" s="133">
        <v>2</v>
      </c>
      <c r="W37" s="133"/>
      <c r="X37" s="126">
        <f t="shared" si="2"/>
        <v>2</v>
      </c>
      <c r="Y37" s="125">
        <f t="shared" si="3"/>
        <v>3</v>
      </c>
    </row>
    <row r="38" spans="1:25" x14ac:dyDescent="0.3">
      <c r="A38" s="176"/>
      <c r="B38" s="173"/>
      <c r="C38" s="40">
        <v>18443</v>
      </c>
      <c r="D38" s="33" t="s">
        <v>20</v>
      </c>
      <c r="E38" s="33" t="s">
        <v>74</v>
      </c>
      <c r="F38" s="33">
        <v>1</v>
      </c>
      <c r="G38" s="33">
        <v>0</v>
      </c>
      <c r="H38" s="33"/>
      <c r="I38" s="5" t="s">
        <v>78</v>
      </c>
      <c r="J38" s="5"/>
      <c r="K38" s="108"/>
      <c r="S38" s="117" t="s">
        <v>74</v>
      </c>
      <c r="T38" s="133" t="s">
        <v>35</v>
      </c>
      <c r="U38" s="133">
        <v>0</v>
      </c>
      <c r="V38" s="133">
        <v>1</v>
      </c>
      <c r="W38" s="133"/>
      <c r="X38" s="126">
        <f t="shared" ref="X38:X39" si="4">(IF(U38&gt;V38,3,IF(U38=V38,1,2)))</f>
        <v>2</v>
      </c>
      <c r="Y38" s="125">
        <f t="shared" ref="Y38:Y39" si="5">(IF(V38&gt;U38,3,IF(U38=V38,1,2)))</f>
        <v>3</v>
      </c>
    </row>
    <row r="39" spans="1:25" ht="15" thickBot="1" x14ac:dyDescent="0.35">
      <c r="A39" s="176"/>
      <c r="B39" s="173"/>
      <c r="C39" s="58"/>
      <c r="D39" s="59"/>
      <c r="E39" s="59"/>
      <c r="F39" s="59" t="s">
        <v>172</v>
      </c>
      <c r="G39" s="59" t="s">
        <v>171</v>
      </c>
      <c r="H39" s="59"/>
      <c r="I39" s="8"/>
      <c r="J39" s="5"/>
      <c r="K39" s="108"/>
      <c r="S39" s="117" t="s">
        <v>6</v>
      </c>
      <c r="T39" s="133" t="s">
        <v>20</v>
      </c>
      <c r="U39" s="133">
        <v>5</v>
      </c>
      <c r="V39" s="133">
        <v>2</v>
      </c>
      <c r="W39" s="133"/>
      <c r="X39" s="126">
        <f t="shared" si="4"/>
        <v>3</v>
      </c>
      <c r="Y39" s="125">
        <f t="shared" si="5"/>
        <v>2</v>
      </c>
    </row>
    <row r="40" spans="1:25" x14ac:dyDescent="0.3">
      <c r="A40" s="176"/>
      <c r="B40" s="173"/>
      <c r="C40" s="40">
        <v>18443</v>
      </c>
      <c r="D40" s="33" t="s">
        <v>6</v>
      </c>
      <c r="E40" s="33" t="s">
        <v>35</v>
      </c>
      <c r="F40" s="33">
        <v>0</v>
      </c>
      <c r="G40" s="33">
        <v>2</v>
      </c>
      <c r="H40" s="33"/>
      <c r="I40" s="5" t="s">
        <v>77</v>
      </c>
      <c r="J40" s="5"/>
      <c r="K40" s="108"/>
      <c r="S40" s="117"/>
      <c r="T40" s="133"/>
      <c r="U40" s="133"/>
      <c r="V40" s="133"/>
      <c r="W40" s="133"/>
      <c r="X40" s="133"/>
      <c r="Y40" s="118"/>
    </row>
    <row r="41" spans="1:25" ht="15" thickBot="1" x14ac:dyDescent="0.35">
      <c r="A41" s="176"/>
      <c r="B41" s="173"/>
      <c r="C41" s="58"/>
      <c r="D41" s="59"/>
      <c r="E41" s="59"/>
      <c r="F41" s="59" t="s">
        <v>170</v>
      </c>
      <c r="G41" s="59" t="s">
        <v>173</v>
      </c>
      <c r="H41" s="59"/>
      <c r="I41" s="8"/>
      <c r="J41" s="5"/>
      <c r="K41" s="108"/>
      <c r="S41" s="117"/>
      <c r="T41" s="133"/>
      <c r="U41" s="133"/>
      <c r="V41" s="133"/>
      <c r="W41" s="133"/>
      <c r="X41" s="133"/>
      <c r="Y41" s="118"/>
    </row>
    <row r="42" spans="1:25" x14ac:dyDescent="0.3">
      <c r="A42" s="176"/>
      <c r="B42" s="173"/>
      <c r="C42" s="40">
        <v>18446</v>
      </c>
      <c r="D42" s="33" t="s">
        <v>74</v>
      </c>
      <c r="E42" s="33" t="s">
        <v>35</v>
      </c>
      <c r="F42" s="33">
        <v>0</v>
      </c>
      <c r="G42" s="33">
        <v>1</v>
      </c>
      <c r="H42" s="33"/>
      <c r="I42" s="5" t="s">
        <v>77</v>
      </c>
      <c r="J42" s="5"/>
      <c r="K42" s="108"/>
      <c r="S42" s="117"/>
      <c r="T42" s="133"/>
      <c r="U42" s="133"/>
      <c r="V42" s="133"/>
      <c r="W42" s="133"/>
      <c r="X42" s="133"/>
      <c r="Y42" s="118"/>
    </row>
    <row r="43" spans="1:25" ht="15" thickBot="1" x14ac:dyDescent="0.35">
      <c r="A43" s="176"/>
      <c r="B43" s="173"/>
      <c r="C43" s="58"/>
      <c r="D43" s="59"/>
      <c r="E43" s="59"/>
      <c r="F43" s="59" t="s">
        <v>170</v>
      </c>
      <c r="G43" s="59" t="s">
        <v>171</v>
      </c>
      <c r="H43" s="59"/>
      <c r="I43" s="8"/>
      <c r="J43" s="5"/>
      <c r="K43" s="108"/>
      <c r="S43" s="117"/>
      <c r="T43" s="133"/>
      <c r="U43" s="133"/>
      <c r="V43" s="133"/>
      <c r="W43" s="133"/>
      <c r="X43" s="133"/>
      <c r="Y43" s="118"/>
    </row>
    <row r="44" spans="1:25" x14ac:dyDescent="0.3">
      <c r="A44" s="176"/>
      <c r="B44" s="173"/>
      <c r="C44" s="40">
        <v>18446</v>
      </c>
      <c r="D44" s="33" t="s">
        <v>6</v>
      </c>
      <c r="E44" s="33" t="s">
        <v>20</v>
      </c>
      <c r="F44" s="33">
        <v>5</v>
      </c>
      <c r="G44" s="33">
        <v>2</v>
      </c>
      <c r="H44" s="33"/>
      <c r="I44" s="5" t="s">
        <v>80</v>
      </c>
      <c r="J44" s="5"/>
      <c r="K44" s="108"/>
      <c r="S44" s="117"/>
      <c r="T44" s="133"/>
      <c r="U44" s="133"/>
      <c r="V44" s="133"/>
      <c r="W44" s="133"/>
      <c r="X44" s="133"/>
      <c r="Y44" s="118"/>
    </row>
    <row r="45" spans="1:25" x14ac:dyDescent="0.3">
      <c r="A45" s="176"/>
      <c r="B45" s="173"/>
      <c r="C45" s="173"/>
      <c r="D45" s="33"/>
      <c r="E45" s="33"/>
      <c r="F45" s="33" t="s">
        <v>215</v>
      </c>
      <c r="G45" s="309" t="s">
        <v>171</v>
      </c>
      <c r="H45" s="309"/>
      <c r="I45" s="5"/>
      <c r="J45" s="5"/>
      <c r="K45" s="108"/>
      <c r="S45" s="117"/>
      <c r="T45" s="133"/>
      <c r="U45" s="133"/>
      <c r="V45" s="133"/>
      <c r="W45" s="133"/>
      <c r="X45" s="126"/>
      <c r="Y45" s="125"/>
    </row>
    <row r="46" spans="1:25" x14ac:dyDescent="0.3">
      <c r="A46" s="176"/>
      <c r="B46" s="173"/>
      <c r="C46" s="173"/>
      <c r="D46" s="173"/>
      <c r="E46" s="173"/>
      <c r="F46" s="173"/>
      <c r="G46" s="5"/>
      <c r="H46" s="5"/>
      <c r="I46" s="5"/>
      <c r="J46" s="5"/>
      <c r="K46" s="108"/>
      <c r="S46" s="117"/>
      <c r="T46" s="133"/>
      <c r="U46" s="133"/>
      <c r="V46" s="133"/>
      <c r="W46" s="133"/>
      <c r="X46" s="126"/>
      <c r="Y46" s="125"/>
    </row>
    <row r="47" spans="1:25" ht="15" thickBot="1" x14ac:dyDescent="0.35">
      <c r="A47" s="176"/>
      <c r="B47" s="173"/>
      <c r="C47" s="173" t="s">
        <v>12</v>
      </c>
      <c r="D47" s="173" t="s">
        <v>13</v>
      </c>
      <c r="E47" s="173" t="s">
        <v>14</v>
      </c>
      <c r="F47" s="173" t="s">
        <v>15</v>
      </c>
      <c r="G47" s="5" t="s">
        <v>24</v>
      </c>
      <c r="H47" s="5" t="s">
        <v>25</v>
      </c>
      <c r="I47" s="5" t="s">
        <v>26</v>
      </c>
      <c r="J47" s="5" t="s">
        <v>27</v>
      </c>
      <c r="K47" s="108"/>
      <c r="S47" s="117"/>
      <c r="T47" s="133"/>
      <c r="U47" s="133"/>
      <c r="V47" s="133"/>
      <c r="W47" s="133"/>
      <c r="X47" s="126"/>
      <c r="Y47" s="125"/>
    </row>
    <row r="48" spans="1:25" x14ac:dyDescent="0.3">
      <c r="A48" s="176"/>
      <c r="B48" s="19" t="s">
        <v>35</v>
      </c>
      <c r="C48" s="177">
        <f>COUNTIF($S$34:$T$39,"Spanien")</f>
        <v>3</v>
      </c>
      <c r="D48" s="124">
        <f>SUMPRODUCT(($S$34:$T$39=B48)*($X$34:$Y$39=3))</f>
        <v>3</v>
      </c>
      <c r="E48" s="124">
        <f>SUMPRODUCT(($S$34:$T$39=B48)*($X$34:$Y$39=1))</f>
        <v>0</v>
      </c>
      <c r="F48" s="124">
        <f>SUMPRODUCT(($S$34:$T$39=B48)*($X$34:$Y$39=2))</f>
        <v>0</v>
      </c>
      <c r="G48" s="124">
        <f>SUMPRODUCT(($S$34:$S$39=B48)*($U$34:$U$39))+SUMPRODUCT(($T$34:$T$39=B48)*($V$34:$V$39))</f>
        <v>6</v>
      </c>
      <c r="H48" s="124">
        <f>SUMPRODUCT(($S$34:$S$39=B48)*($V$34:$V$39))+SUMPRODUCT(($T$34:$T$39=B48)*($U$34:$U$39))</f>
        <v>1</v>
      </c>
      <c r="I48" s="15">
        <f>(D48*2)+E48</f>
        <v>6</v>
      </c>
      <c r="J48" s="16">
        <f>(F48*2)+E48</f>
        <v>0</v>
      </c>
      <c r="K48" s="108"/>
      <c r="S48" s="117"/>
      <c r="T48" s="133"/>
      <c r="U48" s="133"/>
      <c r="V48" s="133"/>
      <c r="W48" s="133"/>
      <c r="X48" s="126"/>
      <c r="Y48" s="125"/>
    </row>
    <row r="49" spans="1:27" x14ac:dyDescent="0.3">
      <c r="A49" s="176"/>
      <c r="B49" s="3" t="s">
        <v>6</v>
      </c>
      <c r="C49" s="173">
        <f>COUNTIF($S$34:$T$39,"Chile")</f>
        <v>3</v>
      </c>
      <c r="D49" s="43">
        <f>SUMPRODUCT(($S$34:$T$39=B49)*($X$34:$Y$39=3))</f>
        <v>1</v>
      </c>
      <c r="E49" s="43">
        <f>SUMPRODUCT(($S$34:$T$39=B49)*($X$34:$Y$39=1))</f>
        <v>0</v>
      </c>
      <c r="F49" s="43">
        <f>SUMPRODUCT(($S$34:$T$39=B49)*($X$34:$Y$39=2))</f>
        <v>2</v>
      </c>
      <c r="G49" s="43">
        <f>SUMPRODUCT(($S$34:$S$39=B49)*($U$34:$U$39))+SUMPRODUCT(($T$34:$T$39=B49)*($V$34:$V$39))</f>
        <v>5</v>
      </c>
      <c r="H49" s="43">
        <f>SUMPRODUCT(($S$34:$S$39=B49)*($V$34:$V$39))+SUMPRODUCT(($T$34:$T$39=B49)*($U$34:$U$39))</f>
        <v>6</v>
      </c>
      <c r="I49" s="18">
        <f>(D49*2)+E49</f>
        <v>2</v>
      </c>
      <c r="J49" s="22">
        <f>(F49*2)+E49</f>
        <v>4</v>
      </c>
      <c r="K49" s="108"/>
      <c r="S49" s="117"/>
      <c r="T49" s="133"/>
      <c r="U49" s="133"/>
      <c r="V49" s="133"/>
      <c r="W49" s="133"/>
      <c r="X49" s="126"/>
      <c r="Y49" s="125"/>
    </row>
    <row r="50" spans="1:27" x14ac:dyDescent="0.3">
      <c r="A50" s="176"/>
      <c r="B50" s="3" t="s">
        <v>20</v>
      </c>
      <c r="C50" s="173">
        <f>COUNTIF($S$34:$T$39,"USA")</f>
        <v>3</v>
      </c>
      <c r="D50" s="43">
        <f>SUMPRODUCT(($S$34:$T$39=B50)*($X$34:$Y$39=3))</f>
        <v>1</v>
      </c>
      <c r="E50" s="43">
        <f>SUMPRODUCT(($S$34:$T$39=B50)*($X$34:$Y$39=1))</f>
        <v>0</v>
      </c>
      <c r="F50" s="43">
        <f>SUMPRODUCT(($S$34:$T$39=B50)*($X$34:$Y$39=2))</f>
        <v>2</v>
      </c>
      <c r="G50" s="43">
        <f>SUMPRODUCT(($S$34:$S$39=B50)*($U$34:$U$39))+SUMPRODUCT(($T$34:$T$39=B50)*($V$34:$V$39))</f>
        <v>4</v>
      </c>
      <c r="H50" s="43">
        <f>SUMPRODUCT(($S$34:$S$39=B50)*($V$34:$V$39))+SUMPRODUCT(($T$34:$T$39=B50)*($U$34:$U$39))</f>
        <v>8</v>
      </c>
      <c r="I50" s="18">
        <f>(D50*2)+E50</f>
        <v>2</v>
      </c>
      <c r="J50" s="22">
        <f>(F50*2)+E50</f>
        <v>4</v>
      </c>
      <c r="K50" s="108"/>
      <c r="S50" s="117"/>
      <c r="T50" s="133"/>
      <c r="U50" s="133"/>
      <c r="V50" s="133"/>
      <c r="W50" s="133"/>
      <c r="X50" s="133"/>
      <c r="Y50" s="118"/>
    </row>
    <row r="51" spans="1:27" ht="15" thickBot="1" x14ac:dyDescent="0.35">
      <c r="A51" s="176"/>
      <c r="B51" s="29" t="s">
        <v>74</v>
      </c>
      <c r="C51" s="178">
        <f>COUNTIF($S$34:$T$39,"England")</f>
        <v>3</v>
      </c>
      <c r="D51" s="80">
        <f>SUMPRODUCT(($S$34:$T$39=B51)*($X$34:$Y$39=3))</f>
        <v>1</v>
      </c>
      <c r="E51" s="80">
        <f>SUMPRODUCT(($S$34:$T$39=B51)*($X$34:$Y$39=1))</f>
        <v>0</v>
      </c>
      <c r="F51" s="80">
        <f>SUMPRODUCT(($S$34:$T$39=B51)*($X$34:$Y$39=2))</f>
        <v>2</v>
      </c>
      <c r="G51" s="80">
        <f>SUMPRODUCT(($S$34:$S$39=B51)*($U$34:$U$39))+SUMPRODUCT(($T$34:$T$39=B51)*($V$34:$V$39))</f>
        <v>2</v>
      </c>
      <c r="H51" s="80">
        <f>SUMPRODUCT(($S$34:$S$39=B51)*($V$34:$V$39))+SUMPRODUCT(($T$34:$T$39=B51)*($U$34:$U$39))</f>
        <v>2</v>
      </c>
      <c r="I51" s="31">
        <f>(D51*2)+E51</f>
        <v>2</v>
      </c>
      <c r="J51" s="32">
        <f>(F51*2)+E51</f>
        <v>4</v>
      </c>
      <c r="K51" s="108"/>
      <c r="S51" s="117"/>
      <c r="T51" s="133"/>
      <c r="U51" s="133"/>
      <c r="V51" s="133"/>
      <c r="W51" s="133"/>
      <c r="X51" s="146"/>
      <c r="Y51" s="118"/>
    </row>
    <row r="52" spans="1:27" ht="15" thickBot="1" x14ac:dyDescent="0.35">
      <c r="A52" s="110"/>
      <c r="B52" s="36"/>
      <c r="C52" s="36"/>
      <c r="D52" s="36"/>
      <c r="E52" s="36"/>
      <c r="F52" s="36"/>
      <c r="G52" s="37"/>
      <c r="H52" s="37"/>
      <c r="I52" s="37"/>
      <c r="J52" s="37"/>
      <c r="K52" s="193"/>
      <c r="S52" s="117"/>
      <c r="T52" s="133"/>
      <c r="U52" s="133"/>
      <c r="V52" s="133"/>
      <c r="W52" s="133"/>
      <c r="X52" s="126"/>
      <c r="Y52" s="125"/>
    </row>
    <row r="53" spans="1:27" ht="15" thickTop="1" x14ac:dyDescent="0.3">
      <c r="A53" s="176"/>
      <c r="B53" s="173"/>
      <c r="C53" s="173"/>
      <c r="D53" s="173"/>
      <c r="E53" s="173"/>
      <c r="F53" s="173"/>
      <c r="G53" s="5"/>
      <c r="H53" s="5"/>
      <c r="I53" s="5"/>
      <c r="J53" s="5"/>
      <c r="K53" s="108"/>
      <c r="S53" s="117"/>
      <c r="T53" s="133"/>
      <c r="U53" s="133"/>
      <c r="V53" s="133"/>
      <c r="W53" s="133"/>
      <c r="X53" s="126"/>
      <c r="Y53" s="125"/>
    </row>
    <row r="54" spans="1:27" ht="21" x14ac:dyDescent="0.4">
      <c r="A54" s="176"/>
      <c r="B54" s="173"/>
      <c r="C54" s="173"/>
      <c r="D54" s="173"/>
      <c r="E54" s="173"/>
      <c r="F54" s="172" t="s">
        <v>11</v>
      </c>
      <c r="G54" s="5"/>
      <c r="H54" s="5"/>
      <c r="I54" s="5"/>
      <c r="J54" s="5"/>
      <c r="K54" s="108"/>
      <c r="S54" s="117"/>
      <c r="T54" s="133"/>
      <c r="U54" s="133"/>
      <c r="V54" s="133"/>
      <c r="W54" s="133"/>
      <c r="X54" s="126"/>
      <c r="Y54" s="125"/>
    </row>
    <row r="55" spans="1:27" x14ac:dyDescent="0.3">
      <c r="A55" s="176"/>
      <c r="B55" s="173"/>
      <c r="C55" s="173"/>
      <c r="D55" s="173"/>
      <c r="E55" s="173"/>
      <c r="F55" s="173"/>
      <c r="G55" s="5"/>
      <c r="H55" s="5"/>
      <c r="I55" s="5"/>
      <c r="J55" s="5"/>
      <c r="K55" s="108"/>
      <c r="S55" s="117"/>
      <c r="T55" s="133"/>
      <c r="U55" s="133"/>
      <c r="V55" s="133"/>
      <c r="W55" s="133"/>
      <c r="X55" s="126"/>
      <c r="Y55" s="125"/>
    </row>
    <row r="56" spans="1:27" x14ac:dyDescent="0.3">
      <c r="A56" s="176"/>
      <c r="B56" s="173"/>
      <c r="C56" s="40">
        <v>18439</v>
      </c>
      <c r="D56" s="33" t="s">
        <v>41</v>
      </c>
      <c r="E56" s="33" t="s">
        <v>37</v>
      </c>
      <c r="F56" s="33">
        <v>3</v>
      </c>
      <c r="G56" s="33">
        <v>2</v>
      </c>
      <c r="H56" s="33"/>
      <c r="I56" s="5" t="s">
        <v>76</v>
      </c>
      <c r="J56" s="5"/>
      <c r="K56" s="108"/>
      <c r="S56" s="117" t="s">
        <v>41</v>
      </c>
      <c r="T56" s="133" t="s">
        <v>37</v>
      </c>
      <c r="U56" s="133">
        <v>3</v>
      </c>
      <c r="V56" s="133">
        <v>2</v>
      </c>
      <c r="W56" s="133"/>
      <c r="X56" s="126">
        <f t="shared" ref="X56:X57" si="6">(IF(U56&gt;V56,3,IF(U56=V56,1,2)))</f>
        <v>3</v>
      </c>
      <c r="Y56" s="125">
        <f t="shared" ref="Y56:Y57" si="7">(IF(V56&gt;U56,3,IF(U56=V56,1,2)))</f>
        <v>2</v>
      </c>
    </row>
    <row r="57" spans="1:27" ht="15" thickBot="1" x14ac:dyDescent="0.35">
      <c r="A57" s="176"/>
      <c r="B57" s="173"/>
      <c r="C57" s="58"/>
      <c r="D57" s="59"/>
      <c r="E57" s="59"/>
      <c r="F57" s="59" t="s">
        <v>215</v>
      </c>
      <c r="G57" s="59" t="s">
        <v>183</v>
      </c>
      <c r="H57" s="59"/>
      <c r="I57" s="8"/>
      <c r="J57" s="5"/>
      <c r="K57" s="108"/>
      <c r="S57" s="117" t="s">
        <v>22</v>
      </c>
      <c r="T57" s="133" t="s">
        <v>41</v>
      </c>
      <c r="U57" s="133">
        <v>2</v>
      </c>
      <c r="V57" s="133">
        <v>2</v>
      </c>
      <c r="W57" s="133"/>
      <c r="X57" s="126">
        <f t="shared" si="6"/>
        <v>1</v>
      </c>
      <c r="Y57" s="125">
        <f t="shared" si="7"/>
        <v>1</v>
      </c>
    </row>
    <row r="58" spans="1:27" x14ac:dyDescent="0.3">
      <c r="A58" s="176"/>
      <c r="B58" s="173"/>
      <c r="C58" s="40">
        <v>18443</v>
      </c>
      <c r="D58" s="33" t="s">
        <v>22</v>
      </c>
      <c r="E58" s="33" t="s">
        <v>41</v>
      </c>
      <c r="F58" s="33">
        <v>2</v>
      </c>
      <c r="G58" s="33">
        <v>2</v>
      </c>
      <c r="H58" s="33"/>
      <c r="I58" s="5" t="s">
        <v>75</v>
      </c>
      <c r="J58" s="5"/>
      <c r="K58" s="108"/>
      <c r="S58" s="117" t="s">
        <v>22</v>
      </c>
      <c r="T58" s="133" t="s">
        <v>37</v>
      </c>
      <c r="U58" s="133">
        <v>0</v>
      </c>
      <c r="V58" s="133">
        <v>2</v>
      </c>
      <c r="W58" s="133"/>
      <c r="X58" s="126">
        <f t="shared" ref="X58" si="8">(IF(U58&gt;V58,3,IF(U58=V58,1,2)))</f>
        <v>2</v>
      </c>
      <c r="Y58" s="125">
        <f t="shared" ref="Y58" si="9">(IF(V58&gt;U58,3,IF(U58=V58,1,2)))</f>
        <v>3</v>
      </c>
    </row>
    <row r="59" spans="1:27" ht="15" thickBot="1" x14ac:dyDescent="0.35">
      <c r="A59" s="176"/>
      <c r="B59" s="173"/>
      <c r="C59" s="58"/>
      <c r="D59" s="59"/>
      <c r="E59" s="59"/>
      <c r="F59" s="59" t="s">
        <v>172</v>
      </c>
      <c r="G59" s="59" t="s">
        <v>173</v>
      </c>
      <c r="H59" s="59"/>
      <c r="I59" s="8"/>
      <c r="J59" s="5"/>
      <c r="K59" s="108"/>
      <c r="S59" s="117"/>
      <c r="T59" s="133"/>
      <c r="U59" s="133"/>
      <c r="V59" s="133"/>
      <c r="W59" s="133"/>
      <c r="X59" s="133"/>
      <c r="Y59" s="118"/>
    </row>
    <row r="60" spans="1:27" x14ac:dyDescent="0.3">
      <c r="A60" s="176"/>
      <c r="B60" s="173"/>
      <c r="C60" s="40">
        <v>18446</v>
      </c>
      <c r="D60" s="33" t="s">
        <v>22</v>
      </c>
      <c r="E60" s="33" t="s">
        <v>37</v>
      </c>
      <c r="F60" s="33">
        <v>0</v>
      </c>
      <c r="G60" s="33">
        <v>2</v>
      </c>
      <c r="H60" s="33"/>
      <c r="I60" s="5" t="s">
        <v>76</v>
      </c>
      <c r="J60" s="5"/>
      <c r="K60" s="108"/>
      <c r="S60" s="117"/>
      <c r="T60" s="133"/>
      <c r="U60" s="133"/>
      <c r="V60" s="133"/>
      <c r="W60" s="133"/>
      <c r="X60" s="133"/>
      <c r="Y60" s="118"/>
    </row>
    <row r="61" spans="1:27" x14ac:dyDescent="0.3">
      <c r="A61" s="176"/>
      <c r="B61" s="173"/>
      <c r="C61" s="40"/>
      <c r="D61" s="33"/>
      <c r="E61" s="33"/>
      <c r="F61" s="33" t="s">
        <v>170</v>
      </c>
      <c r="G61" s="33" t="s">
        <v>183</v>
      </c>
      <c r="H61" s="33"/>
      <c r="I61" s="5"/>
      <c r="J61" s="5"/>
      <c r="K61" s="108"/>
      <c r="S61" s="117"/>
      <c r="T61" s="133"/>
      <c r="U61" s="133"/>
      <c r="V61" s="133"/>
      <c r="W61" s="133"/>
      <c r="X61" s="126"/>
      <c r="Y61" s="125"/>
    </row>
    <row r="62" spans="1:27" x14ac:dyDescent="0.3">
      <c r="A62" s="176"/>
      <c r="B62" s="173"/>
      <c r="C62" s="40"/>
      <c r="D62" s="173"/>
      <c r="E62" s="173"/>
      <c r="F62" s="173"/>
      <c r="G62" s="173"/>
      <c r="H62" s="173"/>
      <c r="I62" s="5"/>
      <c r="J62" s="5"/>
      <c r="K62" s="108"/>
      <c r="S62" s="117"/>
      <c r="T62" s="133"/>
      <c r="U62" s="133"/>
      <c r="V62" s="133"/>
      <c r="W62" s="133"/>
      <c r="X62" s="133"/>
      <c r="Y62" s="118"/>
    </row>
    <row r="63" spans="1:27" ht="15" thickBot="1" x14ac:dyDescent="0.35">
      <c r="A63" s="176"/>
      <c r="B63" s="173"/>
      <c r="C63" s="173" t="s">
        <v>12</v>
      </c>
      <c r="D63" s="173" t="s">
        <v>13</v>
      </c>
      <c r="E63" s="173" t="s">
        <v>14</v>
      </c>
      <c r="F63" s="173" t="s">
        <v>15</v>
      </c>
      <c r="G63" s="5" t="s">
        <v>24</v>
      </c>
      <c r="H63" s="5" t="s">
        <v>25</v>
      </c>
      <c r="I63" s="5" t="s">
        <v>26</v>
      </c>
      <c r="J63" s="5" t="s">
        <v>27</v>
      </c>
      <c r="K63" s="108"/>
      <c r="S63" s="117"/>
      <c r="T63" s="133"/>
      <c r="U63" s="133"/>
      <c r="V63" s="133"/>
      <c r="W63" s="133"/>
      <c r="X63" s="133"/>
      <c r="Y63" s="118"/>
    </row>
    <row r="64" spans="1:27" s="13" customFormat="1" x14ac:dyDescent="0.3">
      <c r="A64" s="24"/>
      <c r="B64" s="14" t="s">
        <v>41</v>
      </c>
      <c r="C64" s="177">
        <f>COUNTIF($S$56:$T$58,"Schweden")</f>
        <v>2</v>
      </c>
      <c r="D64" s="124">
        <f>SUMPRODUCT(($S$56:$T$58=B64)*($X$56:$Y$58=3))</f>
        <v>1</v>
      </c>
      <c r="E64" s="124">
        <f>SUMPRODUCT(($S$56:$T$58=B64)*($X$56:$Y$58=1))</f>
        <v>1</v>
      </c>
      <c r="F64" s="124">
        <f>SUMPRODUCT(($S$56:$T$58=B64)*($X$56:$Y$58=2))</f>
        <v>0</v>
      </c>
      <c r="G64" s="124">
        <f>SUMPRODUCT(($S$56:$S$58=B64)*($U$56:$U$58))+SUMPRODUCT(($T$56:$T$58=B64)*($V$56:$V$58))</f>
        <v>5</v>
      </c>
      <c r="H64" s="124">
        <f>SUMPRODUCT(($S$56:$S$58=B64)*($V$56:$V$58))+SUMPRODUCT(($T$56:$T$58=B64)*($U$56:$U$58))</f>
        <v>4</v>
      </c>
      <c r="I64" s="15">
        <f t="shared" ref="I64" si="10">(D64*2)+E64</f>
        <v>3</v>
      </c>
      <c r="J64" s="16">
        <f t="shared" ref="J64" si="11">(F64*2)+E64</f>
        <v>1</v>
      </c>
      <c r="K64" s="109"/>
      <c r="S64" s="117"/>
      <c r="T64" s="133"/>
      <c r="U64" s="133"/>
      <c r="V64" s="133"/>
      <c r="W64" s="133"/>
      <c r="X64" s="126"/>
      <c r="Y64" s="125"/>
      <c r="AA64" s="10"/>
    </row>
    <row r="65" spans="1:25" x14ac:dyDescent="0.3">
      <c r="A65" s="176"/>
      <c r="B65" s="3" t="s">
        <v>37</v>
      </c>
      <c r="C65" s="173">
        <f>COUNTIF($S$56:$T$58,"Italien")</f>
        <v>2</v>
      </c>
      <c r="D65" s="43">
        <f t="shared" ref="D65:D66" si="12">SUMPRODUCT(($S$56:$T$58=B65)*($X$56:$Y$58=3))</f>
        <v>1</v>
      </c>
      <c r="E65" s="43">
        <f t="shared" ref="E65:E66" si="13">SUMPRODUCT(($S$56:$T$58=B65)*($X$56:$Y$58=1))</f>
        <v>0</v>
      </c>
      <c r="F65" s="43">
        <f t="shared" ref="F65:F66" si="14">SUMPRODUCT(($S$56:$T$58=B65)*($X$56:$Y$58=2))</f>
        <v>1</v>
      </c>
      <c r="G65" s="43">
        <f t="shared" ref="G65:G66" si="15">SUMPRODUCT(($S$56:$S$58=B65)*($U$56:$U$58))+SUMPRODUCT(($T$56:$T$58=B65)*($V$56:$V$58))</f>
        <v>4</v>
      </c>
      <c r="H65" s="43">
        <f t="shared" ref="H65:H66" si="16">SUMPRODUCT(($S$56:$S$58=B65)*($V$56:$V$58))+SUMPRODUCT(($T$56:$T$58=B65)*($U$56:$U$58))</f>
        <v>3</v>
      </c>
      <c r="I65" s="18">
        <f t="shared" ref="I65:I66" si="17">(D65*2)+E65</f>
        <v>2</v>
      </c>
      <c r="J65" s="22">
        <f t="shared" ref="J65:J66" si="18">(F65*2)+E65</f>
        <v>2</v>
      </c>
      <c r="K65" s="108"/>
      <c r="S65" s="117"/>
      <c r="T65" s="133"/>
      <c r="U65" s="133"/>
      <c r="V65" s="133"/>
      <c r="W65" s="133"/>
      <c r="X65" s="126"/>
      <c r="Y65" s="125"/>
    </row>
    <row r="66" spans="1:25" x14ac:dyDescent="0.3">
      <c r="A66" s="176"/>
      <c r="B66" s="3" t="s">
        <v>22</v>
      </c>
      <c r="C66" s="173">
        <f>COUNTIF($S$56:$T$58,"Paraguay")</f>
        <v>2</v>
      </c>
      <c r="D66" s="43">
        <f t="shared" si="12"/>
        <v>0</v>
      </c>
      <c r="E66" s="43">
        <f t="shared" si="13"/>
        <v>1</v>
      </c>
      <c r="F66" s="43">
        <f t="shared" si="14"/>
        <v>1</v>
      </c>
      <c r="G66" s="43">
        <f t="shared" si="15"/>
        <v>2</v>
      </c>
      <c r="H66" s="43">
        <f t="shared" si="16"/>
        <v>4</v>
      </c>
      <c r="I66" s="18">
        <f t="shared" si="17"/>
        <v>1</v>
      </c>
      <c r="J66" s="22">
        <f t="shared" si="18"/>
        <v>3</v>
      </c>
      <c r="K66" s="108"/>
      <c r="S66" s="117"/>
      <c r="T66" s="133"/>
      <c r="U66" s="133"/>
      <c r="V66" s="133"/>
      <c r="W66" s="133"/>
      <c r="X66" s="126"/>
      <c r="Y66" s="125"/>
    </row>
    <row r="67" spans="1:25" ht="15" thickBot="1" x14ac:dyDescent="0.35">
      <c r="A67" s="176"/>
      <c r="B67" s="7" t="s">
        <v>277</v>
      </c>
      <c r="C67" s="441" t="s">
        <v>83</v>
      </c>
      <c r="D67" s="441"/>
      <c r="E67" s="441"/>
      <c r="F67" s="441"/>
      <c r="G67" s="441"/>
      <c r="H67" s="441"/>
      <c r="I67" s="441"/>
      <c r="J67" s="442"/>
      <c r="K67" s="108"/>
      <c r="S67" s="117"/>
      <c r="T67" s="133"/>
      <c r="U67" s="133"/>
      <c r="V67" s="133"/>
      <c r="W67" s="133"/>
      <c r="X67" s="126"/>
      <c r="Y67" s="125"/>
    </row>
    <row r="68" spans="1:25" ht="15" thickBot="1" x14ac:dyDescent="0.35">
      <c r="A68" s="110"/>
      <c r="B68" s="36"/>
      <c r="C68" s="36"/>
      <c r="D68" s="36"/>
      <c r="E68" s="36"/>
      <c r="F68" s="36"/>
      <c r="G68" s="37"/>
      <c r="H68" s="37"/>
      <c r="I68" s="37"/>
      <c r="J68" s="37"/>
      <c r="K68" s="193"/>
      <c r="S68" s="117"/>
      <c r="T68" s="133"/>
      <c r="U68" s="133"/>
      <c r="V68" s="133"/>
      <c r="W68" s="133"/>
      <c r="X68" s="126"/>
      <c r="Y68" s="125"/>
    </row>
    <row r="69" spans="1:25" ht="15" thickTop="1" x14ac:dyDescent="0.3">
      <c r="A69" s="176"/>
      <c r="B69" s="173"/>
      <c r="C69" s="173"/>
      <c r="D69" s="173"/>
      <c r="E69" s="173"/>
      <c r="F69" s="173"/>
      <c r="G69" s="5"/>
      <c r="H69" s="5"/>
      <c r="I69" s="5"/>
      <c r="J69" s="5"/>
      <c r="K69" s="108"/>
      <c r="S69" s="117"/>
      <c r="T69" s="133"/>
      <c r="U69" s="133"/>
      <c r="V69" s="133"/>
      <c r="W69" s="133"/>
      <c r="X69" s="126"/>
      <c r="Y69" s="125"/>
    </row>
    <row r="70" spans="1:25" ht="21" x14ac:dyDescent="0.4">
      <c r="A70" s="176"/>
      <c r="B70" s="173"/>
      <c r="C70" s="173"/>
      <c r="D70" s="173"/>
      <c r="E70" s="173"/>
      <c r="F70" s="172" t="s">
        <v>19</v>
      </c>
      <c r="G70" s="5"/>
      <c r="H70" s="5"/>
      <c r="I70" s="5"/>
      <c r="J70" s="5"/>
      <c r="K70" s="108"/>
      <c r="S70" s="117"/>
      <c r="T70" s="133"/>
      <c r="U70" s="133"/>
      <c r="V70" s="133"/>
      <c r="W70" s="133"/>
      <c r="X70" s="133"/>
      <c r="Y70" s="118"/>
    </row>
    <row r="71" spans="1:25" x14ac:dyDescent="0.3">
      <c r="A71" s="176"/>
      <c r="B71" s="173"/>
      <c r="C71" s="173"/>
      <c r="D71" s="173"/>
      <c r="E71" s="173"/>
      <c r="F71" s="173"/>
      <c r="G71" s="5"/>
      <c r="H71" s="5"/>
      <c r="I71" s="5"/>
      <c r="J71" s="5"/>
      <c r="K71" s="108"/>
      <c r="S71" s="117"/>
      <c r="T71" s="133"/>
      <c r="U71" s="133"/>
      <c r="V71" s="133"/>
      <c r="W71" s="133"/>
      <c r="X71" s="126"/>
      <c r="Y71" s="125"/>
    </row>
    <row r="72" spans="1:25" x14ac:dyDescent="0.3">
      <c r="A72" s="176"/>
      <c r="B72" s="173"/>
      <c r="C72" s="40">
        <v>18446</v>
      </c>
      <c r="D72" s="33" t="s">
        <v>18</v>
      </c>
      <c r="E72" s="33" t="s">
        <v>10</v>
      </c>
      <c r="F72" s="33">
        <v>8</v>
      </c>
      <c r="G72" s="173">
        <v>0</v>
      </c>
      <c r="H72" s="173"/>
      <c r="I72" s="5" t="s">
        <v>78</v>
      </c>
      <c r="J72" s="5"/>
      <c r="K72" s="108"/>
      <c r="S72" s="117" t="s">
        <v>18</v>
      </c>
      <c r="T72" s="133" t="s">
        <v>10</v>
      </c>
      <c r="U72" s="133">
        <v>8</v>
      </c>
      <c r="V72" s="133">
        <v>0</v>
      </c>
      <c r="W72" s="133"/>
      <c r="X72" s="126">
        <f t="shared" ref="X72" si="19">(IF(U72&gt;V72,3,IF(U72=V72,1,2)))</f>
        <v>3</v>
      </c>
      <c r="Y72" s="125">
        <f t="shared" ref="Y72" si="20">(IF(V72&gt;U72,3,IF(U72=V72,1,2)))</f>
        <v>2</v>
      </c>
    </row>
    <row r="73" spans="1:25" x14ac:dyDescent="0.3">
      <c r="A73" s="176"/>
      <c r="B73" s="173"/>
      <c r="C73" s="173"/>
      <c r="D73" s="173"/>
      <c r="E73" s="173"/>
      <c r="F73" s="173" t="s">
        <v>268</v>
      </c>
      <c r="G73" s="5" t="s">
        <v>171</v>
      </c>
      <c r="H73" s="5"/>
      <c r="I73" s="5"/>
      <c r="J73" s="5"/>
      <c r="K73" s="108"/>
      <c r="S73" s="117"/>
      <c r="T73" s="133"/>
      <c r="U73" s="133"/>
      <c r="V73" s="133"/>
      <c r="W73" s="133"/>
      <c r="X73" s="133"/>
      <c r="Y73" s="118"/>
    </row>
    <row r="74" spans="1:25" x14ac:dyDescent="0.3">
      <c r="A74" s="176"/>
      <c r="B74" s="173"/>
      <c r="C74" s="173"/>
      <c r="D74" s="173"/>
      <c r="E74" s="173"/>
      <c r="F74" s="173"/>
      <c r="G74" s="5"/>
      <c r="H74" s="5"/>
      <c r="I74" s="5"/>
      <c r="J74" s="5"/>
      <c r="K74" s="108"/>
      <c r="S74" s="117"/>
      <c r="T74" s="133"/>
      <c r="U74" s="133"/>
      <c r="V74" s="133"/>
      <c r="W74" s="133"/>
      <c r="X74" s="133"/>
      <c r="Y74" s="118"/>
    </row>
    <row r="75" spans="1:25" ht="15" thickBot="1" x14ac:dyDescent="0.35">
      <c r="A75" s="176"/>
      <c r="B75" s="173"/>
      <c r="C75" s="173" t="s">
        <v>12</v>
      </c>
      <c r="D75" s="173" t="s">
        <v>13</v>
      </c>
      <c r="E75" s="173" t="s">
        <v>14</v>
      </c>
      <c r="F75" s="173" t="s">
        <v>15</v>
      </c>
      <c r="G75" s="5" t="s">
        <v>24</v>
      </c>
      <c r="H75" s="5" t="s">
        <v>25</v>
      </c>
      <c r="I75" s="5" t="s">
        <v>26</v>
      </c>
      <c r="J75" s="5" t="s">
        <v>27</v>
      </c>
      <c r="K75" s="108"/>
      <c r="S75" s="117"/>
      <c r="T75" s="133"/>
      <c r="U75" s="133"/>
      <c r="V75" s="133"/>
      <c r="W75" s="133"/>
      <c r="X75" s="133"/>
      <c r="Y75" s="118"/>
    </row>
    <row r="76" spans="1:25" x14ac:dyDescent="0.3">
      <c r="A76" s="176"/>
      <c r="B76" s="14" t="s">
        <v>18</v>
      </c>
      <c r="C76" s="177">
        <f>COUNTIF($S$72:$T$72,"Uruguay")</f>
        <v>1</v>
      </c>
      <c r="D76" s="124">
        <f>SUMPRODUCT(($S$72:$T$72=B76)*($X$72:$Y$72=3))</f>
        <v>1</v>
      </c>
      <c r="E76" s="124">
        <f>SUMPRODUCT(($S$72:$T$72=B76)*($X$72:$Y$72=1))</f>
        <v>0</v>
      </c>
      <c r="F76" s="124">
        <f>SUMPRODUCT(($S$72:$T$72=B76)*($X$72:$Y$72=2))</f>
        <v>0</v>
      </c>
      <c r="G76" s="124">
        <f>SUMPRODUCT(($S$72:$S$72=B76)*($U$72:$U$72))+SUMPRODUCT(($T$72:$T$72=B76)*($V$72:$V$72))</f>
        <v>8</v>
      </c>
      <c r="H76" s="124">
        <f>SUMPRODUCT(($S$72:$S$72=B76)*($V$72:$V$72))+SUMPRODUCT(($T$72:$T$72=B76)*($U$72:$U$72))</f>
        <v>0</v>
      </c>
      <c r="I76" s="15">
        <f t="shared" ref="I76" si="21">(D76*2)+E76</f>
        <v>2</v>
      </c>
      <c r="J76" s="16">
        <f t="shared" ref="J76" si="22">(F76*2)+E76</f>
        <v>0</v>
      </c>
      <c r="K76" s="108"/>
      <c r="S76" s="117"/>
      <c r="T76" s="133"/>
      <c r="U76" s="133"/>
      <c r="V76" s="133"/>
      <c r="W76" s="133"/>
      <c r="X76" s="133"/>
      <c r="Y76" s="118"/>
    </row>
    <row r="77" spans="1:25" x14ac:dyDescent="0.3">
      <c r="A77" s="176"/>
      <c r="B77" s="3" t="s">
        <v>10</v>
      </c>
      <c r="C77" s="173">
        <f>COUNTIF($S$72:$T$72,"Bolivien")</f>
        <v>1</v>
      </c>
      <c r="D77" s="43">
        <f>SUMPRODUCT(($S$72:$T$72=B77)*($X$72:$Y$72=3))</f>
        <v>0</v>
      </c>
      <c r="E77" s="43">
        <f>SUMPRODUCT(($S$72:$T$72=B77)*($X$72:$Y$72=1))</f>
        <v>0</v>
      </c>
      <c r="F77" s="43">
        <f>SUMPRODUCT(($S$72:$T$72=B77)*($X$72:$Y$72=2))</f>
        <v>1</v>
      </c>
      <c r="G77" s="43">
        <f>SUMPRODUCT(($S$72:$S$72=B77)*($U$72:$U$72))+SUMPRODUCT(($T$72:$T$72=B77)*($V$72:$V$72))</f>
        <v>0</v>
      </c>
      <c r="H77" s="43">
        <f>SUMPRODUCT(($S$72:$S$72=B77)*($V$72:$V$72))+SUMPRODUCT(($T$72:$T$72=B77)*($U$72:$U$72))</f>
        <v>8</v>
      </c>
      <c r="I77" s="18">
        <f t="shared" ref="I77" si="23">(D77*2)+E77</f>
        <v>0</v>
      </c>
      <c r="J77" s="22">
        <f t="shared" ref="J77" si="24">(F77*2)+E77</f>
        <v>2</v>
      </c>
      <c r="K77" s="108"/>
      <c r="S77" s="117"/>
      <c r="T77" s="133"/>
      <c r="U77" s="133"/>
      <c r="V77" s="133"/>
      <c r="W77" s="133"/>
      <c r="X77" s="133"/>
      <c r="Y77" s="118"/>
    </row>
    <row r="78" spans="1:25" x14ac:dyDescent="0.3">
      <c r="A78" s="176"/>
      <c r="B78" s="3" t="s">
        <v>81</v>
      </c>
      <c r="C78" s="424" t="s">
        <v>83</v>
      </c>
      <c r="D78" s="424"/>
      <c r="E78" s="424"/>
      <c r="F78" s="424"/>
      <c r="G78" s="424"/>
      <c r="H78" s="424"/>
      <c r="I78" s="424"/>
      <c r="J78" s="440"/>
      <c r="K78" s="108"/>
      <c r="S78" s="117"/>
      <c r="T78" s="133"/>
      <c r="U78" s="133"/>
      <c r="V78" s="133"/>
      <c r="W78" s="133"/>
      <c r="X78" s="133"/>
      <c r="Y78" s="118"/>
    </row>
    <row r="79" spans="1:25" ht="15" thickBot="1" x14ac:dyDescent="0.35">
      <c r="A79" s="176"/>
      <c r="B79" s="7" t="s">
        <v>82</v>
      </c>
      <c r="C79" s="441" t="s">
        <v>83</v>
      </c>
      <c r="D79" s="441"/>
      <c r="E79" s="441"/>
      <c r="F79" s="441"/>
      <c r="G79" s="441"/>
      <c r="H79" s="441"/>
      <c r="I79" s="441"/>
      <c r="J79" s="442"/>
      <c r="K79" s="108"/>
      <c r="S79" s="117"/>
      <c r="T79" s="133"/>
      <c r="U79" s="133"/>
      <c r="V79" s="133"/>
      <c r="W79" s="133"/>
      <c r="X79" s="126"/>
      <c r="Y79" s="125"/>
    </row>
    <row r="80" spans="1:25" ht="15" thickBot="1" x14ac:dyDescent="0.35">
      <c r="A80" s="110"/>
      <c r="B80" s="36"/>
      <c r="C80" s="36"/>
      <c r="D80" s="36"/>
      <c r="E80" s="36"/>
      <c r="F80" s="36"/>
      <c r="G80" s="37"/>
      <c r="H80" s="37"/>
      <c r="I80" s="37"/>
      <c r="J80" s="37"/>
      <c r="K80" s="193"/>
      <c r="S80" s="117"/>
      <c r="T80" s="133"/>
      <c r="U80" s="133"/>
      <c r="V80" s="133"/>
      <c r="W80" s="133"/>
      <c r="X80" s="133"/>
      <c r="Y80" s="118"/>
    </row>
    <row r="81" spans="1:27" ht="15" thickTop="1" x14ac:dyDescent="0.3">
      <c r="A81" s="176"/>
      <c r="B81" s="173"/>
      <c r="C81" s="173"/>
      <c r="D81" s="173"/>
      <c r="E81" s="173"/>
      <c r="F81" s="173"/>
      <c r="G81" s="5"/>
      <c r="H81" s="5"/>
      <c r="I81" s="5"/>
      <c r="J81" s="5"/>
      <c r="K81" s="108"/>
      <c r="S81" s="117"/>
      <c r="T81" s="133"/>
      <c r="U81" s="133"/>
      <c r="V81" s="133"/>
      <c r="W81" s="133"/>
      <c r="X81" s="126"/>
      <c r="Y81" s="125"/>
    </row>
    <row r="82" spans="1:27" ht="21" x14ac:dyDescent="0.4">
      <c r="A82" s="176"/>
      <c r="B82" s="173"/>
      <c r="C82" s="173"/>
      <c r="D82" s="173"/>
      <c r="E82" s="173"/>
      <c r="F82" s="172" t="s">
        <v>276</v>
      </c>
      <c r="G82" s="5"/>
      <c r="H82" s="5"/>
      <c r="I82" s="5"/>
      <c r="J82" s="5"/>
      <c r="K82" s="108"/>
      <c r="S82" s="117"/>
      <c r="T82" s="133"/>
      <c r="U82" s="133"/>
      <c r="V82" s="133"/>
      <c r="W82" s="133"/>
      <c r="X82" s="126"/>
      <c r="Y82" s="125"/>
    </row>
    <row r="83" spans="1:27" x14ac:dyDescent="0.3">
      <c r="A83" s="176"/>
      <c r="B83" s="173"/>
      <c r="C83" s="173"/>
      <c r="D83" s="173"/>
      <c r="E83" s="173"/>
      <c r="F83" s="173"/>
      <c r="G83" s="5"/>
      <c r="H83" s="5"/>
      <c r="I83" s="5"/>
      <c r="J83" s="5"/>
      <c r="K83" s="108"/>
      <c r="S83" s="117"/>
      <c r="T83" s="133"/>
      <c r="U83" s="133"/>
      <c r="V83" s="133"/>
      <c r="W83" s="133"/>
      <c r="X83" s="133"/>
      <c r="Y83" s="118"/>
    </row>
    <row r="84" spans="1:27" x14ac:dyDescent="0.3">
      <c r="A84" s="176"/>
      <c r="B84" s="173"/>
      <c r="C84" s="165">
        <v>18453</v>
      </c>
      <c r="D84" s="66" t="s">
        <v>9</v>
      </c>
      <c r="E84" s="66" t="s">
        <v>41</v>
      </c>
      <c r="F84" s="66">
        <v>7</v>
      </c>
      <c r="G84" s="66">
        <v>1</v>
      </c>
      <c r="H84" s="66"/>
      <c r="I84" s="18" t="s">
        <v>77</v>
      </c>
      <c r="J84" s="5"/>
      <c r="K84" s="108"/>
      <c r="S84" s="117" t="s">
        <v>9</v>
      </c>
      <c r="T84" s="133" t="s">
        <v>41</v>
      </c>
      <c r="U84" s="133">
        <v>7</v>
      </c>
      <c r="V84" s="133">
        <v>1</v>
      </c>
      <c r="W84" s="133"/>
      <c r="X84" s="126">
        <f t="shared" ref="X84:X89" si="25">(IF(U84&gt;V84,3,IF(U84=V84,1,2)))</f>
        <v>3</v>
      </c>
      <c r="Y84" s="125">
        <f t="shared" ref="Y84:Y89" si="26">(IF(V84&gt;U84,3,IF(U84=V84,1,2)))</f>
        <v>2</v>
      </c>
    </row>
    <row r="85" spans="1:27" ht="15" thickBot="1" x14ac:dyDescent="0.35">
      <c r="A85" s="176"/>
      <c r="B85" s="173"/>
      <c r="C85" s="62"/>
      <c r="D85" s="367"/>
      <c r="E85" s="367"/>
      <c r="F85" s="367" t="s">
        <v>264</v>
      </c>
      <c r="G85" s="367" t="s">
        <v>171</v>
      </c>
      <c r="H85" s="367"/>
      <c r="I85" s="31"/>
      <c r="J85" s="5"/>
      <c r="K85" s="108"/>
      <c r="S85" s="117" t="s">
        <v>18</v>
      </c>
      <c r="T85" s="133" t="s">
        <v>35</v>
      </c>
      <c r="U85" s="133">
        <v>2</v>
      </c>
      <c r="V85" s="133">
        <v>2</v>
      </c>
      <c r="W85" s="133"/>
      <c r="X85" s="126">
        <f t="shared" si="25"/>
        <v>1</v>
      </c>
      <c r="Y85" s="125">
        <f t="shared" si="26"/>
        <v>1</v>
      </c>
    </row>
    <row r="86" spans="1:27" s="13" customFormat="1" x14ac:dyDescent="0.3">
      <c r="A86" s="186"/>
      <c r="B86" s="95"/>
      <c r="C86" s="40">
        <v>18453</v>
      </c>
      <c r="D86" s="33" t="s">
        <v>18</v>
      </c>
      <c r="E86" s="33" t="s">
        <v>35</v>
      </c>
      <c r="F86" s="33">
        <v>2</v>
      </c>
      <c r="G86" s="33">
        <v>2</v>
      </c>
      <c r="H86" s="33"/>
      <c r="I86" s="5" t="s">
        <v>76</v>
      </c>
      <c r="J86" s="18"/>
      <c r="K86" s="109"/>
      <c r="S86" s="117" t="s">
        <v>9</v>
      </c>
      <c r="T86" s="133" t="s">
        <v>35</v>
      </c>
      <c r="U86" s="133">
        <v>6</v>
      </c>
      <c r="V86" s="133">
        <v>1</v>
      </c>
      <c r="W86" s="133"/>
      <c r="X86" s="126">
        <f t="shared" si="25"/>
        <v>3</v>
      </c>
      <c r="Y86" s="125">
        <f t="shared" si="26"/>
        <v>2</v>
      </c>
      <c r="AA86" s="10"/>
    </row>
    <row r="87" spans="1:27" s="13" customFormat="1" ht="15" thickBot="1" x14ac:dyDescent="0.35">
      <c r="A87" s="186"/>
      <c r="B87" s="95"/>
      <c r="C87" s="58"/>
      <c r="D87" s="59"/>
      <c r="E87" s="59"/>
      <c r="F87" s="59" t="s">
        <v>172</v>
      </c>
      <c r="G87" s="59" t="s">
        <v>173</v>
      </c>
      <c r="H87" s="59"/>
      <c r="I87" s="8"/>
      <c r="J87" s="18"/>
      <c r="K87" s="109"/>
      <c r="S87" s="122" t="s">
        <v>18</v>
      </c>
      <c r="T87" s="17" t="s">
        <v>41</v>
      </c>
      <c r="U87" s="17">
        <v>3</v>
      </c>
      <c r="V87" s="17">
        <v>2</v>
      </c>
      <c r="W87" s="17"/>
      <c r="X87" s="126">
        <f t="shared" si="25"/>
        <v>3</v>
      </c>
      <c r="Y87" s="125">
        <f t="shared" si="26"/>
        <v>2</v>
      </c>
      <c r="AA87" s="10"/>
    </row>
    <row r="88" spans="1:27" x14ac:dyDescent="0.3">
      <c r="A88" s="176"/>
      <c r="B88" s="173"/>
      <c r="C88" s="40">
        <v>18457</v>
      </c>
      <c r="D88" s="33" t="s">
        <v>9</v>
      </c>
      <c r="E88" s="33" t="s">
        <v>35</v>
      </c>
      <c r="F88" s="33">
        <v>6</v>
      </c>
      <c r="G88" s="33">
        <v>1</v>
      </c>
      <c r="H88" s="33"/>
      <c r="I88" s="5" t="s">
        <v>77</v>
      </c>
      <c r="J88" s="5"/>
      <c r="K88" s="108"/>
      <c r="S88" s="122" t="s">
        <v>35</v>
      </c>
      <c r="T88" s="17" t="s">
        <v>41</v>
      </c>
      <c r="U88" s="17">
        <v>1</v>
      </c>
      <c r="V88" s="17">
        <v>3</v>
      </c>
      <c r="W88" s="17"/>
      <c r="X88" s="126">
        <f t="shared" si="25"/>
        <v>2</v>
      </c>
      <c r="Y88" s="125">
        <f t="shared" si="26"/>
        <v>3</v>
      </c>
      <c r="Z88" s="13"/>
    </row>
    <row r="89" spans="1:27" ht="15" thickBot="1" x14ac:dyDescent="0.35">
      <c r="A89" s="176"/>
      <c r="B89" s="173"/>
      <c r="C89" s="58"/>
      <c r="D89" s="59"/>
      <c r="E89" s="59"/>
      <c r="F89" s="59" t="s">
        <v>264</v>
      </c>
      <c r="G89" s="59" t="s">
        <v>171</v>
      </c>
      <c r="H89" s="59"/>
      <c r="I89" s="8"/>
      <c r="J89" s="5"/>
      <c r="K89" s="108"/>
      <c r="S89" s="122" t="s">
        <v>9</v>
      </c>
      <c r="T89" s="17" t="s">
        <v>18</v>
      </c>
      <c r="U89" s="17">
        <v>1</v>
      </c>
      <c r="V89" s="17">
        <v>2</v>
      </c>
      <c r="W89" s="17"/>
      <c r="X89" s="126">
        <f t="shared" si="25"/>
        <v>2</v>
      </c>
      <c r="Y89" s="125">
        <f t="shared" si="26"/>
        <v>3</v>
      </c>
      <c r="Z89" s="13"/>
    </row>
    <row r="90" spans="1:27" x14ac:dyDescent="0.3">
      <c r="A90" s="176"/>
      <c r="B90" s="173"/>
      <c r="C90" s="40">
        <v>18457</v>
      </c>
      <c r="D90" s="33" t="s">
        <v>18</v>
      </c>
      <c r="E90" s="33" t="s">
        <v>41</v>
      </c>
      <c r="F90" s="33">
        <v>3</v>
      </c>
      <c r="G90" s="33">
        <v>2</v>
      </c>
      <c r="H90" s="33"/>
      <c r="I90" s="5" t="s">
        <v>76</v>
      </c>
      <c r="J90" s="5"/>
      <c r="K90" s="108"/>
      <c r="S90" s="117"/>
      <c r="T90" s="133"/>
      <c r="U90" s="133"/>
      <c r="V90" s="133"/>
      <c r="W90" s="133"/>
      <c r="X90" s="133"/>
      <c r="Y90" s="118"/>
    </row>
    <row r="91" spans="1:27" ht="15" thickBot="1" x14ac:dyDescent="0.35">
      <c r="A91" s="176"/>
      <c r="B91" s="173"/>
      <c r="C91" s="58"/>
      <c r="D91" s="59"/>
      <c r="E91" s="59"/>
      <c r="F91" s="59" t="s">
        <v>172</v>
      </c>
      <c r="G91" s="59" t="s">
        <v>173</v>
      </c>
      <c r="H91" s="59"/>
      <c r="I91" s="8"/>
      <c r="J91" s="5"/>
      <c r="K91" s="108"/>
      <c r="S91" s="122"/>
      <c r="T91" s="17"/>
      <c r="U91" s="17"/>
      <c r="V91" s="17"/>
      <c r="W91" s="17"/>
      <c r="X91" s="17"/>
      <c r="Y91" s="123"/>
    </row>
    <row r="92" spans="1:27" x14ac:dyDescent="0.3">
      <c r="A92" s="176"/>
      <c r="B92" s="173"/>
      <c r="C92" s="40">
        <v>18460</v>
      </c>
      <c r="D92" s="33" t="s">
        <v>35</v>
      </c>
      <c r="E92" s="33" t="s">
        <v>41</v>
      </c>
      <c r="F92" s="33">
        <v>1</v>
      </c>
      <c r="G92" s="33">
        <v>3</v>
      </c>
      <c r="H92" s="33"/>
      <c r="I92" s="5" t="s">
        <v>76</v>
      </c>
      <c r="J92" s="5"/>
      <c r="K92" s="108"/>
      <c r="S92" s="115"/>
      <c r="T92" s="115"/>
      <c r="U92" s="115"/>
      <c r="V92" s="115"/>
      <c r="W92" s="115"/>
      <c r="X92" s="115"/>
      <c r="Y92" s="115"/>
    </row>
    <row r="93" spans="1:27" ht="15" thickBot="1" x14ac:dyDescent="0.35">
      <c r="A93" s="176"/>
      <c r="B93" s="173"/>
      <c r="C93" s="58"/>
      <c r="D93" s="59"/>
      <c r="E93" s="59"/>
      <c r="F93" s="59" t="s">
        <v>170</v>
      </c>
      <c r="G93" s="59" t="s">
        <v>173</v>
      </c>
      <c r="H93" s="59"/>
      <c r="I93" s="8"/>
      <c r="J93" s="5"/>
      <c r="K93" s="108"/>
      <c r="S93" s="135"/>
      <c r="T93" s="135"/>
      <c r="U93" s="135"/>
      <c r="V93" s="135"/>
      <c r="W93" s="135"/>
      <c r="X93" s="135"/>
      <c r="Y93" s="135"/>
    </row>
    <row r="94" spans="1:27" x14ac:dyDescent="0.3">
      <c r="A94" s="176"/>
      <c r="B94" s="173"/>
      <c r="C94" s="40">
        <v>18460</v>
      </c>
      <c r="D94" s="33" t="s">
        <v>9</v>
      </c>
      <c r="E94" s="33" t="s">
        <v>18</v>
      </c>
      <c r="F94" s="33">
        <v>1</v>
      </c>
      <c r="G94" s="33">
        <v>2</v>
      </c>
      <c r="H94" s="33"/>
      <c r="I94" s="5" t="s">
        <v>77</v>
      </c>
      <c r="J94" s="5"/>
      <c r="K94" s="108"/>
      <c r="S94" s="135"/>
      <c r="T94" s="135"/>
      <c r="U94" s="135"/>
      <c r="V94" s="135"/>
      <c r="W94" s="135"/>
      <c r="X94" s="126"/>
      <c r="Y94" s="126"/>
    </row>
    <row r="95" spans="1:27" x14ac:dyDescent="0.3">
      <c r="A95" s="176"/>
      <c r="B95" s="173"/>
      <c r="C95" s="173"/>
      <c r="D95" s="173"/>
      <c r="E95" s="173"/>
      <c r="F95" s="173" t="s">
        <v>170</v>
      </c>
      <c r="G95" s="5" t="s">
        <v>171</v>
      </c>
      <c r="H95" s="5"/>
      <c r="I95" s="5"/>
      <c r="J95" s="5"/>
      <c r="K95" s="108"/>
      <c r="S95" s="135"/>
      <c r="T95" s="135"/>
      <c r="U95" s="135"/>
      <c r="V95" s="135"/>
      <c r="W95" s="135"/>
      <c r="X95" s="135"/>
      <c r="Y95" s="135"/>
    </row>
    <row r="96" spans="1:27" x14ac:dyDescent="0.3">
      <c r="A96" s="176"/>
      <c r="B96" s="173"/>
      <c r="C96" s="173"/>
      <c r="D96" s="173"/>
      <c r="E96" s="173"/>
      <c r="F96" s="173"/>
      <c r="G96" s="5"/>
      <c r="H96" s="5"/>
      <c r="I96" s="5"/>
      <c r="J96" s="5"/>
      <c r="K96" s="108"/>
      <c r="S96" s="135"/>
      <c r="T96" s="135"/>
      <c r="U96" s="135"/>
      <c r="V96" s="135"/>
      <c r="W96" s="135"/>
      <c r="X96" s="135"/>
      <c r="Y96" s="135"/>
    </row>
    <row r="97" spans="1:27" ht="15" thickBot="1" x14ac:dyDescent="0.35">
      <c r="A97" s="156"/>
      <c r="B97" s="173"/>
      <c r="C97" s="173" t="s">
        <v>12</v>
      </c>
      <c r="D97" s="173" t="s">
        <v>13</v>
      </c>
      <c r="E97" s="173" t="s">
        <v>14</v>
      </c>
      <c r="F97" s="173" t="s">
        <v>15</v>
      </c>
      <c r="G97" s="5" t="s">
        <v>24</v>
      </c>
      <c r="H97" s="5" t="s">
        <v>25</v>
      </c>
      <c r="I97" s="5" t="s">
        <v>26</v>
      </c>
      <c r="J97" s="5" t="s">
        <v>27</v>
      </c>
      <c r="K97" s="108"/>
      <c r="S97" s="135"/>
      <c r="T97" s="135"/>
      <c r="U97" s="135"/>
      <c r="V97" s="135"/>
      <c r="W97" s="135"/>
      <c r="X97" s="135"/>
      <c r="Y97" s="135"/>
    </row>
    <row r="98" spans="1:27" x14ac:dyDescent="0.3">
      <c r="A98" s="194"/>
      <c r="B98" s="14" t="s">
        <v>18</v>
      </c>
      <c r="C98" s="177">
        <f>COUNTIF($S$84:$T$89,"Uruguay")</f>
        <v>3</v>
      </c>
      <c r="D98" s="124">
        <f>SUMPRODUCT(($S$84:$T$89=B98)*($X$84:$Y$89=3))</f>
        <v>2</v>
      </c>
      <c r="E98" s="124">
        <f>SUMPRODUCT(($S$84:$T$89=B98)*($X$84:$Y$89=1))</f>
        <v>1</v>
      </c>
      <c r="F98" s="124">
        <f>SUMPRODUCT(($S$84:$T$89=B98)*($X$84:$Y$89=2))</f>
        <v>0</v>
      </c>
      <c r="G98" s="124">
        <f>SUMPRODUCT(($S$84:$S$89=B98)*($U$84:$U$89))+SUMPRODUCT(($T$84:$T$89=B98)*($V$84:$V$89))</f>
        <v>7</v>
      </c>
      <c r="H98" s="124">
        <f>SUMPRODUCT(($S$84:$S$89=B98)*($V$84:$V$89))+SUMPRODUCT(($T$84:$T$89=B98)*($U$84:$U$89))</f>
        <v>5</v>
      </c>
      <c r="I98" s="15">
        <f>(D98*2)+E98</f>
        <v>5</v>
      </c>
      <c r="J98" s="16">
        <f>(F98*2)+E98</f>
        <v>1</v>
      </c>
      <c r="K98" s="109"/>
      <c r="L98" s="13"/>
      <c r="M98" s="13"/>
      <c r="N98" s="13"/>
      <c r="O98" s="13"/>
      <c r="P98" s="13"/>
      <c r="Q98" s="13"/>
      <c r="R98" s="13"/>
      <c r="S98" s="135"/>
      <c r="T98" s="135"/>
      <c r="U98" s="135"/>
      <c r="V98" s="135"/>
      <c r="W98" s="135"/>
      <c r="X98" s="135"/>
      <c r="Y98" s="135"/>
      <c r="Z98" s="13"/>
    </row>
    <row r="99" spans="1:27" s="13" customFormat="1" x14ac:dyDescent="0.3">
      <c r="A99" s="156"/>
      <c r="B99" s="3" t="s">
        <v>9</v>
      </c>
      <c r="C99" s="173">
        <f>COUNTIF($S$84:$T$89,"Brasilien")</f>
        <v>3</v>
      </c>
      <c r="D99" s="43">
        <f>SUMPRODUCT(($S$84:$T$89=B99)*($X$84:$Y$89=3))</f>
        <v>2</v>
      </c>
      <c r="E99" s="43">
        <f>SUMPRODUCT(($S$84:$T$89=B99)*($X$84:$Y$89=1))</f>
        <v>0</v>
      </c>
      <c r="F99" s="43">
        <f>SUMPRODUCT(($S$84:$T$89=B99)*($X$84:$Y$89=2))</f>
        <v>1</v>
      </c>
      <c r="G99" s="43">
        <f>SUMPRODUCT(($S$84:$S$89=B99)*($U$84:$U$89))+SUMPRODUCT(($T$84:$T$89=B99)*($V$84:$V$89))</f>
        <v>14</v>
      </c>
      <c r="H99" s="43">
        <f>SUMPRODUCT(($S$84:$S$89=B99)*($V$84:$V$89))+SUMPRODUCT(($T$84:$T$89=B99)*($U$84:$U$89))</f>
        <v>4</v>
      </c>
      <c r="I99" s="18">
        <f>(D99*2)+E99</f>
        <v>4</v>
      </c>
      <c r="J99" s="22">
        <f>(F99*2)+E99</f>
        <v>2</v>
      </c>
      <c r="K99" s="108"/>
      <c r="L99"/>
      <c r="M99"/>
      <c r="N99"/>
      <c r="O99"/>
      <c r="P99"/>
      <c r="Q99"/>
      <c r="R99"/>
      <c r="S99" s="135"/>
      <c r="T99" s="135"/>
      <c r="U99" s="135"/>
      <c r="V99" s="135"/>
      <c r="W99" s="135"/>
      <c r="X99" s="135"/>
      <c r="Y99" s="135"/>
      <c r="Z99"/>
      <c r="AA99" s="10"/>
    </row>
    <row r="100" spans="1:27" s="13" customFormat="1" x14ac:dyDescent="0.3">
      <c r="A100" s="194"/>
      <c r="B100" s="21" t="s">
        <v>41</v>
      </c>
      <c r="C100" s="173">
        <f>COUNTIF($S$84:$T$89,"Schweden")</f>
        <v>3</v>
      </c>
      <c r="D100" s="43">
        <f>SUMPRODUCT(($S$84:$T$89=B100)*($X$84:$Y$89=3))</f>
        <v>1</v>
      </c>
      <c r="E100" s="43">
        <f>SUMPRODUCT(($S$84:$T$89=B100)*($X$84:$Y$89=1))</f>
        <v>0</v>
      </c>
      <c r="F100" s="43">
        <f>SUMPRODUCT(($S$84:$T$89=B100)*($X$84:$Y$89=2))</f>
        <v>2</v>
      </c>
      <c r="G100" s="43">
        <f>SUMPRODUCT(($S$84:$S$89=B100)*($U$84:$U$89))+SUMPRODUCT(($T$84:$T$89=B100)*($V$84:$V$89))</f>
        <v>6</v>
      </c>
      <c r="H100" s="43">
        <f>SUMPRODUCT(($S$84:$S$89=B100)*($V$84:$V$89))+SUMPRODUCT(($T$84:$T$89=B100)*($U$84:$U$89))</f>
        <v>11</v>
      </c>
      <c r="I100" s="18">
        <f>(D100*2)+E100</f>
        <v>2</v>
      </c>
      <c r="J100" s="22">
        <f>(F100*2)+E100</f>
        <v>4</v>
      </c>
      <c r="K100" s="109"/>
      <c r="S100" s="135"/>
      <c r="T100" s="135"/>
      <c r="U100" s="135"/>
      <c r="V100" s="135"/>
      <c r="W100" s="135"/>
      <c r="X100" s="135"/>
      <c r="Y100" s="135"/>
      <c r="AA100" s="10"/>
    </row>
    <row r="101" spans="1:27" s="13" customFormat="1" ht="15" thickBot="1" x14ac:dyDescent="0.35">
      <c r="A101" s="194"/>
      <c r="B101" s="29" t="s">
        <v>35</v>
      </c>
      <c r="C101" s="178">
        <f>COUNTIF($S$84:$T$89,"Spanien")</f>
        <v>3</v>
      </c>
      <c r="D101" s="80">
        <f>SUMPRODUCT(($S$84:$T$89=B101)*($X$84:$Y$89=3))</f>
        <v>0</v>
      </c>
      <c r="E101" s="80">
        <f>SUMPRODUCT(($S$84:$T$89=B101)*($X$84:$Y$89=1))</f>
        <v>1</v>
      </c>
      <c r="F101" s="80">
        <f>SUMPRODUCT(($S$84:$T$89=B101)*($X$84:$Y$89=2))</f>
        <v>2</v>
      </c>
      <c r="G101" s="80">
        <f>SUMPRODUCT(($S$84:$S$89=B101)*($U$84:$U$89))+SUMPRODUCT(($T$84:$T$89=B101)*($V$84:$V$89))</f>
        <v>4</v>
      </c>
      <c r="H101" s="80">
        <f>SUMPRODUCT(($S$84:$S$89=B101)*($V$84:$V$89))+SUMPRODUCT(($T$84:$T$89=B101)*($U$84:$U$89))</f>
        <v>11</v>
      </c>
      <c r="I101" s="31">
        <f>(D101*2)+E101</f>
        <v>1</v>
      </c>
      <c r="J101" s="32">
        <f>(F101*2)+E101</f>
        <v>5</v>
      </c>
      <c r="K101" s="109"/>
      <c r="S101" s="135"/>
      <c r="T101" s="135"/>
      <c r="U101" s="135"/>
      <c r="V101" s="135"/>
      <c r="W101" s="135"/>
      <c r="X101" s="135"/>
      <c r="Y101" s="135"/>
      <c r="AA101" s="10"/>
    </row>
    <row r="102" spans="1:27" s="13" customFormat="1" x14ac:dyDescent="0.3">
      <c r="A102" s="194"/>
      <c r="B102" s="17"/>
      <c r="C102" s="17"/>
      <c r="D102" s="17"/>
      <c r="E102" s="17"/>
      <c r="F102" s="17"/>
      <c r="G102" s="18"/>
      <c r="H102" s="18"/>
      <c r="I102" s="18"/>
      <c r="J102" s="18"/>
      <c r="K102" s="109"/>
      <c r="S102" s="17"/>
      <c r="T102" s="17"/>
      <c r="U102" s="17"/>
      <c r="V102" s="17"/>
      <c r="W102" s="17"/>
      <c r="X102" s="17"/>
      <c r="Y102" s="17"/>
      <c r="AA102" s="10"/>
    </row>
    <row r="103" spans="1:27" s="13" customFormat="1" x14ac:dyDescent="0.3">
      <c r="A103" s="194"/>
      <c r="B103" s="17"/>
      <c r="C103" s="17"/>
      <c r="D103" s="17"/>
      <c r="E103" s="42"/>
      <c r="F103" s="42"/>
      <c r="G103" s="349"/>
      <c r="H103" s="18"/>
      <c r="I103" s="18"/>
      <c r="J103" s="18"/>
      <c r="K103" s="109"/>
      <c r="S103" s="135"/>
      <c r="T103" s="135"/>
      <c r="U103" s="135"/>
      <c r="V103" s="135"/>
      <c r="W103" s="135"/>
      <c r="X103" s="135"/>
      <c r="Y103" s="135"/>
      <c r="AA103" s="10"/>
    </row>
    <row r="104" spans="1:27" s="13" customFormat="1" x14ac:dyDescent="0.3">
      <c r="A104" s="194"/>
      <c r="B104" s="17"/>
      <c r="C104" s="17"/>
      <c r="D104" s="17"/>
      <c r="E104" s="17"/>
      <c r="F104" s="17"/>
      <c r="G104" s="18"/>
      <c r="H104" s="18"/>
      <c r="I104" s="18"/>
      <c r="J104" s="18"/>
      <c r="K104" s="109"/>
      <c r="S104" s="135"/>
      <c r="T104" s="135"/>
      <c r="U104" s="135"/>
      <c r="V104" s="135"/>
      <c r="W104" s="135"/>
      <c r="X104" s="135"/>
      <c r="Y104" s="135"/>
      <c r="AA104" s="10"/>
    </row>
    <row r="105" spans="1:27" s="13" customFormat="1" x14ac:dyDescent="0.3">
      <c r="A105" s="24"/>
      <c r="B105" s="17"/>
      <c r="C105" s="17"/>
      <c r="D105" s="17"/>
      <c r="E105" s="17"/>
      <c r="F105" s="17"/>
      <c r="G105" s="18"/>
      <c r="H105" s="18"/>
      <c r="I105" s="18"/>
      <c r="J105" s="18"/>
      <c r="K105" s="109"/>
      <c r="S105" s="135"/>
      <c r="T105" s="135"/>
      <c r="U105" s="135"/>
      <c r="V105" s="135"/>
      <c r="W105" s="135"/>
      <c r="X105" s="135"/>
      <c r="Y105" s="135"/>
      <c r="AA105" s="10"/>
    </row>
    <row r="106" spans="1:27" s="13" customFormat="1" ht="15" thickBot="1" x14ac:dyDescent="0.35">
      <c r="A106" s="24"/>
      <c r="B106" s="17" t="s">
        <v>298</v>
      </c>
      <c r="C106" s="17" t="s">
        <v>12</v>
      </c>
      <c r="D106" s="17" t="s">
        <v>13</v>
      </c>
      <c r="E106" s="17" t="s">
        <v>14</v>
      </c>
      <c r="F106" s="17" t="s">
        <v>15</v>
      </c>
      <c r="G106" s="18" t="s">
        <v>24</v>
      </c>
      <c r="H106" s="18" t="s">
        <v>25</v>
      </c>
      <c r="I106" s="18" t="s">
        <v>26</v>
      </c>
      <c r="J106" s="18" t="s">
        <v>27</v>
      </c>
      <c r="K106" s="109"/>
      <c r="S106" s="135"/>
      <c r="T106" s="135"/>
      <c r="U106" s="135"/>
      <c r="V106" s="135"/>
      <c r="W106" s="135"/>
      <c r="X106" s="135"/>
      <c r="Y106" s="135"/>
      <c r="AA106" s="10"/>
    </row>
    <row r="107" spans="1:27" s="13" customFormat="1" x14ac:dyDescent="0.3">
      <c r="A107" s="24"/>
      <c r="B107" s="14" t="s">
        <v>9</v>
      </c>
      <c r="C107" s="248">
        <f>COUNTIF($S$12:$T$89,"Brasilien")</f>
        <v>6</v>
      </c>
      <c r="D107" s="124">
        <f t="shared" ref="D107:D119" si="27">SUMPRODUCT(($S$12:$T$89=B107)*($X$12:$Y$89=3))</f>
        <v>4</v>
      </c>
      <c r="E107" s="124">
        <f t="shared" ref="E107:E119" si="28">SUMPRODUCT(($S$12:$T$89=B107)*($X$12:$Y$89=1))</f>
        <v>1</v>
      </c>
      <c r="F107" s="124">
        <f t="shared" ref="F107:F119" si="29">SUMPRODUCT(($S$12:$T$89=B107)*($X$12:$Y$89=2))</f>
        <v>1</v>
      </c>
      <c r="G107" s="124">
        <f t="shared" ref="G107:G119" si="30">SUMPRODUCT(($S$12:$S$89=B107)*($U$12:$U$89))+SUMPRODUCT(($T$12:$T$89=B107)*($V$12:$V$89))</f>
        <v>22</v>
      </c>
      <c r="H107" s="124">
        <f t="shared" ref="H107:H119" si="31">SUMPRODUCT(($S$12:$S$89=B107)*($V$12:$V$89))+SUMPRODUCT(($T$12:$T$89=B107)*($U$12:$U$89))</f>
        <v>6</v>
      </c>
      <c r="I107" s="15">
        <f t="shared" ref="I107:I119" si="32">(D107*2)+E107</f>
        <v>9</v>
      </c>
      <c r="J107" s="16">
        <f t="shared" ref="J107:J119" si="33">(F107*2)+E107</f>
        <v>3</v>
      </c>
      <c r="K107" s="109"/>
      <c r="S107" s="17"/>
      <c r="T107" s="17"/>
      <c r="U107" s="17"/>
      <c r="V107" s="17"/>
      <c r="W107" s="17"/>
      <c r="X107" s="17"/>
      <c r="Y107" s="17"/>
      <c r="AA107" s="10"/>
    </row>
    <row r="108" spans="1:27" s="13" customFormat="1" x14ac:dyDescent="0.3">
      <c r="A108" s="176"/>
      <c r="B108" s="21" t="s">
        <v>18</v>
      </c>
      <c r="C108" s="17">
        <f>COUNTIF($S$12:$T$89,"Uruguay")</f>
        <v>4</v>
      </c>
      <c r="D108" s="43">
        <f t="shared" si="27"/>
        <v>3</v>
      </c>
      <c r="E108" s="43">
        <f t="shared" si="28"/>
        <v>1</v>
      </c>
      <c r="F108" s="43">
        <f t="shared" si="29"/>
        <v>0</v>
      </c>
      <c r="G108" s="43">
        <f t="shared" si="30"/>
        <v>15</v>
      </c>
      <c r="H108" s="43">
        <f t="shared" si="31"/>
        <v>5</v>
      </c>
      <c r="I108" s="18">
        <f t="shared" si="32"/>
        <v>7</v>
      </c>
      <c r="J108" s="22">
        <f t="shared" si="33"/>
        <v>1</v>
      </c>
      <c r="K108" s="108"/>
      <c r="L108"/>
      <c r="M108"/>
      <c r="N108"/>
      <c r="O108"/>
      <c r="P108"/>
      <c r="Q108"/>
      <c r="R108"/>
      <c r="S108" s="135"/>
      <c r="T108" s="135"/>
      <c r="U108" s="135"/>
      <c r="V108" s="135"/>
      <c r="W108" s="135"/>
      <c r="X108" s="135"/>
      <c r="Y108" s="135"/>
      <c r="Z108"/>
      <c r="AA108" s="10"/>
    </row>
    <row r="109" spans="1:27" x14ac:dyDescent="0.3">
      <c r="A109" s="176"/>
      <c r="B109" s="3" t="s">
        <v>35</v>
      </c>
      <c r="C109" s="17">
        <f>COUNTIF($S$12:$T$89,"Spanien")</f>
        <v>6</v>
      </c>
      <c r="D109" s="43">
        <f t="shared" si="27"/>
        <v>3</v>
      </c>
      <c r="E109" s="43">
        <f t="shared" si="28"/>
        <v>1</v>
      </c>
      <c r="F109" s="43">
        <f t="shared" si="29"/>
        <v>2</v>
      </c>
      <c r="G109" s="43">
        <f t="shared" si="30"/>
        <v>10</v>
      </c>
      <c r="H109" s="43">
        <f t="shared" si="31"/>
        <v>12</v>
      </c>
      <c r="I109" s="18">
        <f t="shared" si="32"/>
        <v>7</v>
      </c>
      <c r="J109" s="22">
        <f t="shared" si="33"/>
        <v>5</v>
      </c>
      <c r="K109" s="108"/>
      <c r="S109" s="135"/>
      <c r="T109" s="135"/>
      <c r="U109" s="135"/>
      <c r="V109" s="135"/>
      <c r="W109" s="135"/>
      <c r="X109" s="135"/>
      <c r="Y109" s="135"/>
    </row>
    <row r="110" spans="1:27" s="13" customFormat="1" x14ac:dyDescent="0.3">
      <c r="A110" s="176"/>
      <c r="B110" s="21" t="s">
        <v>41</v>
      </c>
      <c r="C110" s="17">
        <f>COUNTIF($S$12:$T$89,"Schweden")</f>
        <v>5</v>
      </c>
      <c r="D110" s="43">
        <f t="shared" si="27"/>
        <v>2</v>
      </c>
      <c r="E110" s="43">
        <f t="shared" si="28"/>
        <v>1</v>
      </c>
      <c r="F110" s="43">
        <f t="shared" si="29"/>
        <v>2</v>
      </c>
      <c r="G110" s="43">
        <f t="shared" si="30"/>
        <v>11</v>
      </c>
      <c r="H110" s="43">
        <f t="shared" si="31"/>
        <v>15</v>
      </c>
      <c r="I110" s="18">
        <f t="shared" si="32"/>
        <v>5</v>
      </c>
      <c r="J110" s="22">
        <f t="shared" si="33"/>
        <v>5</v>
      </c>
      <c r="K110" s="108"/>
      <c r="L110"/>
      <c r="M110"/>
      <c r="N110"/>
      <c r="O110"/>
      <c r="P110"/>
      <c r="Q110"/>
      <c r="R110"/>
      <c r="S110" s="135"/>
      <c r="T110" s="135"/>
      <c r="U110" s="135"/>
      <c r="V110" s="135"/>
      <c r="W110" s="135"/>
      <c r="X110" s="135"/>
      <c r="Y110" s="135"/>
      <c r="Z110"/>
      <c r="AA110" s="10"/>
    </row>
    <row r="111" spans="1:27" x14ac:dyDescent="0.3">
      <c r="A111" s="176"/>
      <c r="B111" s="21" t="s">
        <v>8</v>
      </c>
      <c r="C111" s="17">
        <f>COUNTIF($S$12:$T$89,"Jugoslawien")</f>
        <v>3</v>
      </c>
      <c r="D111" s="43">
        <f t="shared" si="27"/>
        <v>2</v>
      </c>
      <c r="E111" s="43">
        <f t="shared" si="28"/>
        <v>0</v>
      </c>
      <c r="F111" s="43">
        <f t="shared" si="29"/>
        <v>1</v>
      </c>
      <c r="G111" s="43">
        <f t="shared" si="30"/>
        <v>7</v>
      </c>
      <c r="H111" s="43">
        <f t="shared" si="31"/>
        <v>3</v>
      </c>
      <c r="I111" s="18">
        <f t="shared" si="32"/>
        <v>4</v>
      </c>
      <c r="J111" s="22">
        <f t="shared" si="33"/>
        <v>2</v>
      </c>
      <c r="K111" s="108"/>
      <c r="S111" s="135"/>
      <c r="T111" s="135"/>
      <c r="U111" s="135"/>
      <c r="V111" s="135"/>
      <c r="W111" s="135"/>
      <c r="X111" s="135"/>
      <c r="Y111" s="135"/>
    </row>
    <row r="112" spans="1:27" x14ac:dyDescent="0.3">
      <c r="A112" s="24"/>
      <c r="B112" s="21" t="s">
        <v>43</v>
      </c>
      <c r="C112" s="17">
        <f>COUNTIF($S$12:$T$89,"Schweiz")</f>
        <v>3</v>
      </c>
      <c r="D112" s="43">
        <f t="shared" si="27"/>
        <v>1</v>
      </c>
      <c r="E112" s="43">
        <f t="shared" si="28"/>
        <v>1</v>
      </c>
      <c r="F112" s="43">
        <f t="shared" si="29"/>
        <v>1</v>
      </c>
      <c r="G112" s="43">
        <f t="shared" si="30"/>
        <v>4</v>
      </c>
      <c r="H112" s="43">
        <f t="shared" si="31"/>
        <v>6</v>
      </c>
      <c r="I112" s="18">
        <f t="shared" si="32"/>
        <v>3</v>
      </c>
      <c r="J112" s="22">
        <f t="shared" si="33"/>
        <v>3</v>
      </c>
      <c r="K112" s="109"/>
      <c r="L112" s="13"/>
      <c r="M112" s="13"/>
      <c r="N112" s="13"/>
      <c r="O112" s="13"/>
      <c r="P112" s="13"/>
      <c r="Q112" s="13"/>
      <c r="R112" s="13"/>
      <c r="S112" s="135"/>
      <c r="T112" s="135"/>
      <c r="U112" s="135"/>
      <c r="V112" s="135"/>
      <c r="W112" s="135"/>
      <c r="X112" s="135"/>
      <c r="Y112" s="135"/>
      <c r="Z112" s="13"/>
    </row>
    <row r="113" spans="1:26" x14ac:dyDescent="0.3">
      <c r="A113" s="176"/>
      <c r="B113" s="21" t="s">
        <v>37</v>
      </c>
      <c r="C113" s="17">
        <f>COUNTIF($S$12:$T$89,"Italien")</f>
        <v>2</v>
      </c>
      <c r="D113" s="43">
        <f t="shared" si="27"/>
        <v>1</v>
      </c>
      <c r="E113" s="43">
        <f t="shared" si="28"/>
        <v>0</v>
      </c>
      <c r="F113" s="43">
        <f t="shared" si="29"/>
        <v>1</v>
      </c>
      <c r="G113" s="43">
        <f t="shared" si="30"/>
        <v>4</v>
      </c>
      <c r="H113" s="43">
        <f t="shared" si="31"/>
        <v>3</v>
      </c>
      <c r="I113" s="18">
        <f t="shared" si="32"/>
        <v>2</v>
      </c>
      <c r="J113" s="22">
        <f t="shared" si="33"/>
        <v>2</v>
      </c>
      <c r="K113" s="108"/>
      <c r="S113" s="135"/>
      <c r="T113" s="135"/>
      <c r="U113" s="135"/>
      <c r="V113" s="135"/>
      <c r="W113" s="135"/>
      <c r="X113" s="135"/>
      <c r="Y113" s="135"/>
    </row>
    <row r="114" spans="1:26" x14ac:dyDescent="0.3">
      <c r="A114" s="176"/>
      <c r="B114" s="21" t="s">
        <v>6</v>
      </c>
      <c r="C114" s="17">
        <f>COUNTIF($S$12:$T$89,"Chile")</f>
        <v>3</v>
      </c>
      <c r="D114" s="43">
        <f t="shared" si="27"/>
        <v>1</v>
      </c>
      <c r="E114" s="43">
        <f t="shared" si="28"/>
        <v>0</v>
      </c>
      <c r="F114" s="43">
        <f t="shared" si="29"/>
        <v>2</v>
      </c>
      <c r="G114" s="43">
        <f t="shared" si="30"/>
        <v>5</v>
      </c>
      <c r="H114" s="43">
        <f t="shared" si="31"/>
        <v>6</v>
      </c>
      <c r="I114" s="18">
        <f t="shared" si="32"/>
        <v>2</v>
      </c>
      <c r="J114" s="22">
        <f t="shared" si="33"/>
        <v>4</v>
      </c>
      <c r="K114" s="108"/>
      <c r="S114" s="135"/>
      <c r="T114" s="135"/>
      <c r="U114" s="135"/>
      <c r="V114" s="135"/>
      <c r="W114" s="135"/>
      <c r="X114" s="135"/>
      <c r="Y114" s="135"/>
    </row>
    <row r="115" spans="1:26" x14ac:dyDescent="0.3">
      <c r="A115" s="176"/>
      <c r="B115" s="3" t="s">
        <v>20</v>
      </c>
      <c r="C115" s="17">
        <f>COUNTIF($S$12:$T$89,"USA")</f>
        <v>3</v>
      </c>
      <c r="D115" s="43">
        <f t="shared" si="27"/>
        <v>1</v>
      </c>
      <c r="E115" s="43">
        <f t="shared" si="28"/>
        <v>0</v>
      </c>
      <c r="F115" s="43">
        <f t="shared" si="29"/>
        <v>2</v>
      </c>
      <c r="G115" s="43">
        <f t="shared" si="30"/>
        <v>4</v>
      </c>
      <c r="H115" s="43">
        <f t="shared" si="31"/>
        <v>8</v>
      </c>
      <c r="I115" s="18">
        <f t="shared" si="32"/>
        <v>2</v>
      </c>
      <c r="J115" s="22">
        <f t="shared" si="33"/>
        <v>4</v>
      </c>
      <c r="K115" s="108"/>
      <c r="S115" s="135"/>
      <c r="T115" s="135"/>
      <c r="U115" s="135"/>
      <c r="V115" s="135"/>
      <c r="W115" s="135"/>
      <c r="X115" s="135"/>
      <c r="Y115" s="135"/>
    </row>
    <row r="116" spans="1:26" x14ac:dyDescent="0.3">
      <c r="A116" s="176"/>
      <c r="B116" s="21" t="s">
        <v>74</v>
      </c>
      <c r="C116" s="17">
        <f>COUNTIF($S$12:$T$89,"England")</f>
        <v>3</v>
      </c>
      <c r="D116" s="43">
        <f t="shared" si="27"/>
        <v>1</v>
      </c>
      <c r="E116" s="43">
        <f t="shared" si="28"/>
        <v>0</v>
      </c>
      <c r="F116" s="43">
        <f t="shared" si="29"/>
        <v>2</v>
      </c>
      <c r="G116" s="43">
        <f t="shared" si="30"/>
        <v>2</v>
      </c>
      <c r="H116" s="43">
        <f t="shared" si="31"/>
        <v>2</v>
      </c>
      <c r="I116" s="18">
        <f t="shared" si="32"/>
        <v>2</v>
      </c>
      <c r="J116" s="22">
        <f t="shared" si="33"/>
        <v>4</v>
      </c>
      <c r="K116" s="108"/>
      <c r="S116" s="135"/>
      <c r="T116" s="135"/>
      <c r="U116" s="135"/>
      <c r="V116" s="135"/>
      <c r="W116" s="135"/>
      <c r="X116" s="135"/>
      <c r="Y116" s="135"/>
    </row>
    <row r="117" spans="1:26" x14ac:dyDescent="0.3">
      <c r="A117" s="176"/>
      <c r="B117" s="21" t="s">
        <v>22</v>
      </c>
      <c r="C117" s="17">
        <f>COUNTIF($S$12:$T$89,"Paraguay")</f>
        <v>2</v>
      </c>
      <c r="D117" s="43">
        <f t="shared" si="27"/>
        <v>0</v>
      </c>
      <c r="E117" s="43">
        <f t="shared" si="28"/>
        <v>1</v>
      </c>
      <c r="F117" s="43">
        <f t="shared" si="29"/>
        <v>1</v>
      </c>
      <c r="G117" s="43">
        <f t="shared" si="30"/>
        <v>2</v>
      </c>
      <c r="H117" s="43">
        <f t="shared" si="31"/>
        <v>4</v>
      </c>
      <c r="I117" s="18">
        <f t="shared" si="32"/>
        <v>1</v>
      </c>
      <c r="J117" s="22">
        <f t="shared" si="33"/>
        <v>3</v>
      </c>
      <c r="K117" s="108"/>
    </row>
    <row r="118" spans="1:26" x14ac:dyDescent="0.3">
      <c r="A118" s="176"/>
      <c r="B118" s="21" t="s">
        <v>10</v>
      </c>
      <c r="C118" s="17">
        <f>COUNTIF($S$12:$T$89,"Bolivien")</f>
        <v>1</v>
      </c>
      <c r="D118" s="43">
        <f t="shared" si="27"/>
        <v>0</v>
      </c>
      <c r="E118" s="43">
        <f t="shared" si="28"/>
        <v>0</v>
      </c>
      <c r="F118" s="43">
        <f t="shared" si="29"/>
        <v>1</v>
      </c>
      <c r="G118" s="43">
        <f t="shared" si="30"/>
        <v>0</v>
      </c>
      <c r="H118" s="43">
        <f t="shared" si="31"/>
        <v>8</v>
      </c>
      <c r="I118" s="18">
        <f t="shared" si="32"/>
        <v>0</v>
      </c>
      <c r="J118" s="22">
        <f t="shared" si="33"/>
        <v>2</v>
      </c>
      <c r="K118" s="108"/>
    </row>
    <row r="119" spans="1:26" ht="15" thickBot="1" x14ac:dyDescent="0.35">
      <c r="A119" s="24"/>
      <c r="B119" s="29" t="s">
        <v>4</v>
      </c>
      <c r="C119" s="30">
        <f>COUNTIF($S$12:$T$89,"Mexiko")</f>
        <v>3</v>
      </c>
      <c r="D119" s="80">
        <f t="shared" si="27"/>
        <v>0</v>
      </c>
      <c r="E119" s="80">
        <f t="shared" si="28"/>
        <v>0</v>
      </c>
      <c r="F119" s="80">
        <f t="shared" si="29"/>
        <v>3</v>
      </c>
      <c r="G119" s="80">
        <f t="shared" si="30"/>
        <v>2</v>
      </c>
      <c r="H119" s="80">
        <f t="shared" si="31"/>
        <v>10</v>
      </c>
      <c r="I119" s="31">
        <f t="shared" si="32"/>
        <v>0</v>
      </c>
      <c r="J119" s="32">
        <f t="shared" si="33"/>
        <v>6</v>
      </c>
      <c r="K119" s="109"/>
      <c r="L119" s="13"/>
      <c r="M119" s="13"/>
      <c r="N119" s="13"/>
      <c r="O119" s="13"/>
      <c r="P119" s="13"/>
      <c r="Q119" s="13"/>
      <c r="R119" s="13"/>
      <c r="S119" s="17"/>
      <c r="T119" s="17"/>
      <c r="U119" s="17"/>
      <c r="V119" s="17"/>
      <c r="W119" s="17"/>
      <c r="X119" s="17"/>
      <c r="Y119" s="17"/>
      <c r="Z119" s="13"/>
    </row>
    <row r="120" spans="1:26" x14ac:dyDescent="0.3">
      <c r="A120" s="176"/>
      <c r="B120" s="17"/>
      <c r="C120" s="173"/>
      <c r="D120" s="173"/>
      <c r="E120" s="173"/>
      <c r="F120" s="173"/>
      <c r="G120" s="5"/>
      <c r="H120" s="5"/>
      <c r="I120" s="5"/>
      <c r="J120" s="5"/>
      <c r="K120" s="108"/>
    </row>
    <row r="121" spans="1:26" ht="15" thickBot="1" x14ac:dyDescent="0.35">
      <c r="A121" s="110"/>
      <c r="B121" s="36"/>
      <c r="C121" s="36"/>
      <c r="D121" s="36"/>
      <c r="E121" s="36"/>
      <c r="F121" s="36"/>
      <c r="G121" s="37"/>
      <c r="H121" s="37"/>
      <c r="I121" s="37"/>
      <c r="J121" s="37"/>
      <c r="K121" s="193"/>
    </row>
    <row r="122" spans="1:26" ht="15" thickTop="1" x14ac:dyDescent="0.3"/>
  </sheetData>
  <sortState ref="A97:Z101">
    <sortCondition descending="1" ref="I97:I101"/>
    <sortCondition ref="J97:J101"/>
    <sortCondition descending="1" ref="G97:G101"/>
    <sortCondition ref="H97:H101"/>
  </sortState>
  <mergeCells count="6">
    <mergeCell ref="A2:K2"/>
    <mergeCell ref="A4:K4"/>
    <mergeCell ref="A5:K5"/>
    <mergeCell ref="C78:J78"/>
    <mergeCell ref="C79:J79"/>
    <mergeCell ref="C67:J67"/>
  </mergeCells>
  <pageMargins left="0.7" right="0.7" top="0.78740157499999996" bottom="0.78740157499999996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A154"/>
  <sheetViews>
    <sheetView topLeftCell="A131" workbookViewId="0">
      <selection activeCell="M146" sqref="M146"/>
    </sheetView>
  </sheetViews>
  <sheetFormatPr baseColWidth="10" defaultRowHeight="14.4" x14ac:dyDescent="0.3"/>
  <cols>
    <col min="1" max="6" width="11.5546875" style="1"/>
    <col min="7" max="7" width="13.109375" style="2" bestFit="1" customWidth="1"/>
    <col min="8" max="10" width="11.5546875" style="2"/>
    <col min="19" max="25" width="11.77734375" style="136" customWidth="1"/>
  </cols>
  <sheetData>
    <row r="1" spans="1:27" ht="15" thickTop="1" x14ac:dyDescent="0.3">
      <c r="A1" s="106"/>
      <c r="B1" s="25"/>
      <c r="C1" s="25"/>
      <c r="D1" s="25"/>
      <c r="E1" s="25"/>
      <c r="F1" s="25"/>
      <c r="G1" s="26"/>
      <c r="H1" s="26"/>
      <c r="I1" s="26"/>
      <c r="J1" s="26"/>
      <c r="K1" s="107"/>
      <c r="S1" s="114"/>
      <c r="T1" s="115"/>
      <c r="U1" s="115"/>
      <c r="V1" s="115"/>
      <c r="W1" s="115"/>
      <c r="X1" s="115"/>
      <c r="Y1" s="116"/>
    </row>
    <row r="2" spans="1:27" ht="46.2" x14ac:dyDescent="0.85">
      <c r="A2" s="425" t="s">
        <v>84</v>
      </c>
      <c r="B2" s="426"/>
      <c r="C2" s="426"/>
      <c r="D2" s="426"/>
      <c r="E2" s="426"/>
      <c r="F2" s="426"/>
      <c r="G2" s="426"/>
      <c r="H2" s="426"/>
      <c r="I2" s="426"/>
      <c r="J2" s="426"/>
      <c r="K2" s="437"/>
      <c r="S2" s="117"/>
      <c r="T2" s="135"/>
      <c r="U2" s="135"/>
      <c r="V2" s="135"/>
      <c r="W2" s="135"/>
      <c r="X2" s="135"/>
      <c r="Y2" s="118"/>
    </row>
    <row r="3" spans="1:27" x14ac:dyDescent="0.3">
      <c r="A3" s="176"/>
      <c r="B3" s="173"/>
      <c r="C3" s="173"/>
      <c r="D3" s="173"/>
      <c r="E3" s="173"/>
      <c r="F3" s="173"/>
      <c r="G3" s="5"/>
      <c r="H3" s="5"/>
      <c r="I3" s="5"/>
      <c r="J3" s="5"/>
      <c r="K3" s="108"/>
      <c r="S3" s="117"/>
      <c r="T3" s="135"/>
      <c r="U3" s="135"/>
      <c r="V3" s="135"/>
      <c r="W3" s="135"/>
      <c r="X3" s="135"/>
      <c r="Y3" s="118"/>
    </row>
    <row r="4" spans="1:27" ht="28.8" x14ac:dyDescent="0.55000000000000004">
      <c r="A4" s="428" t="s">
        <v>85</v>
      </c>
      <c r="B4" s="429"/>
      <c r="C4" s="429"/>
      <c r="D4" s="429"/>
      <c r="E4" s="429"/>
      <c r="F4" s="429"/>
      <c r="G4" s="429"/>
      <c r="H4" s="429"/>
      <c r="I4" s="429"/>
      <c r="J4" s="429"/>
      <c r="K4" s="438"/>
      <c r="S4" s="117"/>
      <c r="T4" s="135"/>
      <c r="U4" s="135"/>
      <c r="V4" s="135"/>
      <c r="W4" s="135"/>
      <c r="X4" s="135"/>
      <c r="Y4" s="118"/>
    </row>
    <row r="5" spans="1:27" ht="21" x14ac:dyDescent="0.4">
      <c r="A5" s="430" t="s">
        <v>278</v>
      </c>
      <c r="B5" s="431"/>
      <c r="C5" s="431"/>
      <c r="D5" s="431"/>
      <c r="E5" s="431"/>
      <c r="F5" s="431"/>
      <c r="G5" s="431"/>
      <c r="H5" s="431"/>
      <c r="I5" s="431"/>
      <c r="J5" s="431"/>
      <c r="K5" s="439"/>
      <c r="S5" s="117"/>
      <c r="T5" s="135"/>
      <c r="U5" s="135"/>
      <c r="V5" s="135"/>
      <c r="W5" s="135"/>
      <c r="X5" s="135"/>
      <c r="Y5" s="118"/>
    </row>
    <row r="6" spans="1:27" x14ac:dyDescent="0.3">
      <c r="A6" s="176"/>
      <c r="B6" s="173"/>
      <c r="C6" s="173"/>
      <c r="D6" s="173"/>
      <c r="E6" s="173"/>
      <c r="F6" s="173"/>
      <c r="G6" s="5"/>
      <c r="H6" s="5"/>
      <c r="I6" s="5"/>
      <c r="J6" s="5"/>
      <c r="K6" s="108"/>
      <c r="S6" s="117"/>
      <c r="T6" s="135"/>
      <c r="U6" s="135"/>
      <c r="V6" s="135"/>
      <c r="W6" s="135"/>
      <c r="X6" s="135"/>
      <c r="Y6" s="118"/>
    </row>
    <row r="7" spans="1:27" x14ac:dyDescent="0.3">
      <c r="A7" s="176"/>
      <c r="B7" s="173"/>
      <c r="C7" s="173"/>
      <c r="D7" s="173"/>
      <c r="E7" s="173"/>
      <c r="F7" s="173"/>
      <c r="G7" s="5"/>
      <c r="H7" s="5"/>
      <c r="I7" s="5"/>
      <c r="J7" s="5"/>
      <c r="K7" s="108"/>
      <c r="S7" s="117"/>
      <c r="T7" s="135"/>
      <c r="U7" s="135"/>
      <c r="V7" s="135"/>
      <c r="W7" s="135"/>
      <c r="X7" s="135"/>
      <c r="Y7" s="118"/>
    </row>
    <row r="8" spans="1:27" x14ac:dyDescent="0.3">
      <c r="A8" s="176"/>
      <c r="B8" s="173"/>
      <c r="C8" s="173"/>
      <c r="D8" s="173"/>
      <c r="E8" s="173"/>
      <c r="F8" s="173"/>
      <c r="G8" s="5"/>
      <c r="H8" s="5"/>
      <c r="I8" s="5"/>
      <c r="J8" s="5"/>
      <c r="K8" s="108"/>
      <c r="S8" s="117"/>
      <c r="T8" s="135"/>
      <c r="U8" s="135"/>
      <c r="V8" s="135"/>
      <c r="W8" s="135"/>
      <c r="X8" s="135"/>
      <c r="Y8" s="118"/>
    </row>
    <row r="9" spans="1:27" x14ac:dyDescent="0.3">
      <c r="A9" s="176"/>
      <c r="B9" s="173"/>
      <c r="C9" s="173"/>
      <c r="D9" s="173"/>
      <c r="E9" s="173"/>
      <c r="F9" s="173"/>
      <c r="G9" s="5"/>
      <c r="H9" s="5"/>
      <c r="I9" s="5"/>
      <c r="J9" s="5"/>
      <c r="K9" s="108"/>
      <c r="S9" s="117"/>
      <c r="T9" s="135"/>
      <c r="U9" s="135"/>
      <c r="V9" s="135"/>
      <c r="W9" s="135"/>
      <c r="X9" s="135"/>
      <c r="Y9" s="118"/>
    </row>
    <row r="10" spans="1:27" ht="21" x14ac:dyDescent="0.4">
      <c r="A10" s="176"/>
      <c r="B10" s="173"/>
      <c r="C10" s="173"/>
      <c r="D10" s="173"/>
      <c r="E10" s="173"/>
      <c r="F10" s="172" t="s">
        <v>2</v>
      </c>
      <c r="G10" s="5"/>
      <c r="H10" s="5"/>
      <c r="I10" s="5"/>
      <c r="J10" s="5"/>
      <c r="K10" s="108"/>
      <c r="S10" s="117"/>
      <c r="T10" s="135"/>
      <c r="U10" s="135"/>
      <c r="V10" s="135"/>
      <c r="W10" s="135"/>
      <c r="X10" s="135"/>
      <c r="Y10" s="118"/>
    </row>
    <row r="11" spans="1:27" x14ac:dyDescent="0.3">
      <c r="A11" s="176"/>
      <c r="B11" s="173"/>
      <c r="C11" s="173"/>
      <c r="D11" s="173"/>
      <c r="E11" s="173"/>
      <c r="F11" s="173"/>
      <c r="G11" s="5"/>
      <c r="H11" s="5"/>
      <c r="I11" s="5"/>
      <c r="J11" s="5"/>
      <c r="K11" s="108"/>
      <c r="S11" s="117"/>
      <c r="T11" s="135"/>
      <c r="U11" s="135"/>
      <c r="V11" s="135"/>
      <c r="W11" s="135"/>
      <c r="X11" s="135"/>
      <c r="Y11" s="118"/>
    </row>
    <row r="12" spans="1:27" x14ac:dyDescent="0.3">
      <c r="A12" s="176"/>
      <c r="B12" s="173"/>
      <c r="C12" s="40">
        <v>19891</v>
      </c>
      <c r="D12" s="33" t="s">
        <v>3</v>
      </c>
      <c r="E12" s="33" t="s">
        <v>8</v>
      </c>
      <c r="F12" s="33">
        <v>0</v>
      </c>
      <c r="G12" s="33">
        <v>1</v>
      </c>
      <c r="H12" s="173"/>
      <c r="I12" s="5" t="s">
        <v>86</v>
      </c>
      <c r="J12" s="5"/>
      <c r="K12" s="108"/>
      <c r="S12" s="117" t="s">
        <v>3</v>
      </c>
      <c r="T12" s="135" t="s">
        <v>8</v>
      </c>
      <c r="U12" s="135">
        <v>0</v>
      </c>
      <c r="V12" s="135">
        <v>1</v>
      </c>
      <c r="W12" s="135"/>
      <c r="X12" s="126">
        <f t="shared" ref="X12:X13" si="0">(IF(U12&gt;V12,3,IF(U12=V12,1,2)))</f>
        <v>2</v>
      </c>
      <c r="Y12" s="125">
        <f t="shared" ref="Y12:Y13" si="1">(IF(V12&gt;U12,3,IF(U12=V12,1,2)))</f>
        <v>3</v>
      </c>
      <c r="AA12" t="s">
        <v>88</v>
      </c>
    </row>
    <row r="13" spans="1:27" ht="15" thickBot="1" x14ac:dyDescent="0.35">
      <c r="A13" s="176"/>
      <c r="B13" s="173"/>
      <c r="C13" s="58"/>
      <c r="D13" s="59"/>
      <c r="E13" s="59"/>
      <c r="F13" s="59" t="s">
        <v>170</v>
      </c>
      <c r="G13" s="59" t="s">
        <v>183</v>
      </c>
      <c r="H13" s="178"/>
      <c r="I13" s="8"/>
      <c r="J13" s="5"/>
      <c r="K13" s="108"/>
      <c r="S13" s="117" t="s">
        <v>9</v>
      </c>
      <c r="T13" s="135" t="s">
        <v>4</v>
      </c>
      <c r="U13" s="135">
        <v>5</v>
      </c>
      <c r="V13" s="135">
        <v>0</v>
      </c>
      <c r="W13" s="135"/>
      <c r="X13" s="126">
        <f t="shared" si="0"/>
        <v>3</v>
      </c>
      <c r="Y13" s="125">
        <f t="shared" si="1"/>
        <v>2</v>
      </c>
      <c r="AA13" t="s">
        <v>32</v>
      </c>
    </row>
    <row r="14" spans="1:27" x14ac:dyDescent="0.3">
      <c r="A14" s="176"/>
      <c r="B14" s="173"/>
      <c r="C14" s="40">
        <v>19891</v>
      </c>
      <c r="D14" s="33" t="s">
        <v>9</v>
      </c>
      <c r="E14" s="33" t="s">
        <v>4</v>
      </c>
      <c r="F14" s="33">
        <v>5</v>
      </c>
      <c r="G14" s="33">
        <v>0</v>
      </c>
      <c r="H14" s="173"/>
      <c r="I14" s="5" t="s">
        <v>87</v>
      </c>
      <c r="J14" s="5"/>
      <c r="K14" s="108"/>
      <c r="S14" s="122" t="s">
        <v>3</v>
      </c>
      <c r="T14" s="17" t="s">
        <v>4</v>
      </c>
      <c r="U14" s="17">
        <v>3</v>
      </c>
      <c r="V14" s="17">
        <v>2</v>
      </c>
      <c r="X14" s="126">
        <f>(IF(U14&gt;V14,3,IF(U14=V14,1,2)))</f>
        <v>3</v>
      </c>
      <c r="Y14" s="125">
        <f>(IF(V14&gt;U14,3,IF(U14=V14,1,2)))</f>
        <v>2</v>
      </c>
      <c r="AA14" t="s">
        <v>29</v>
      </c>
    </row>
    <row r="15" spans="1:27" ht="15" thickBot="1" x14ac:dyDescent="0.35">
      <c r="A15" s="176"/>
      <c r="B15" s="173"/>
      <c r="C15" s="58"/>
      <c r="D15" s="59"/>
      <c r="E15" s="59"/>
      <c r="F15" s="59" t="s">
        <v>268</v>
      </c>
      <c r="G15" s="59" t="s">
        <v>171</v>
      </c>
      <c r="H15" s="178"/>
      <c r="I15" s="8"/>
      <c r="J15" s="5"/>
      <c r="K15" s="108"/>
      <c r="S15" s="117" t="s">
        <v>9</v>
      </c>
      <c r="T15" s="135" t="s">
        <v>8</v>
      </c>
      <c r="U15" s="135">
        <v>1</v>
      </c>
      <c r="V15" s="135">
        <v>1</v>
      </c>
      <c r="X15" s="126">
        <f t="shared" ref="X15" si="2">(IF(U15&gt;V15,3,IF(U15=V15,1,2)))</f>
        <v>1</v>
      </c>
      <c r="Y15" s="125">
        <f t="shared" ref="Y15" si="3">(IF(V15&gt;U15,3,IF(U15=V15,1,2)))</f>
        <v>1</v>
      </c>
      <c r="AA15" t="s">
        <v>18</v>
      </c>
    </row>
    <row r="16" spans="1:27" x14ac:dyDescent="0.3">
      <c r="A16" s="176"/>
      <c r="B16" s="173"/>
      <c r="C16" s="40">
        <v>19894</v>
      </c>
      <c r="D16" s="33" t="s">
        <v>3</v>
      </c>
      <c r="E16" s="33" t="s">
        <v>4</v>
      </c>
      <c r="F16" s="33">
        <v>3</v>
      </c>
      <c r="G16" s="33">
        <v>2</v>
      </c>
      <c r="H16" s="173"/>
      <c r="I16" s="5" t="s">
        <v>87</v>
      </c>
      <c r="J16" s="5"/>
      <c r="K16" s="108"/>
      <c r="S16" s="117"/>
      <c r="T16" s="135"/>
      <c r="U16" s="135"/>
      <c r="V16" s="135"/>
      <c r="X16" s="126"/>
      <c r="Y16" s="125"/>
      <c r="AA16" t="s">
        <v>43</v>
      </c>
    </row>
    <row r="17" spans="1:27" ht="15" thickBot="1" x14ac:dyDescent="0.35">
      <c r="A17" s="176"/>
      <c r="B17" s="173"/>
      <c r="C17" s="58"/>
      <c r="D17" s="59"/>
      <c r="E17" s="59"/>
      <c r="F17" s="59" t="s">
        <v>172</v>
      </c>
      <c r="G17" s="59" t="s">
        <v>171</v>
      </c>
      <c r="H17" s="178"/>
      <c r="I17" s="8"/>
      <c r="J17" s="5"/>
      <c r="K17" s="108"/>
      <c r="S17" s="117"/>
      <c r="T17" s="135"/>
      <c r="U17" s="135"/>
      <c r="V17" s="135"/>
      <c r="X17" s="126"/>
      <c r="Y17" s="125"/>
      <c r="AA17" t="s">
        <v>9</v>
      </c>
    </row>
    <row r="18" spans="1:27" x14ac:dyDescent="0.3">
      <c r="A18" s="176"/>
      <c r="B18" s="173"/>
      <c r="C18" s="40">
        <v>19894</v>
      </c>
      <c r="D18" s="33" t="s">
        <v>9</v>
      </c>
      <c r="E18" s="33" t="s">
        <v>8</v>
      </c>
      <c r="F18" s="33">
        <v>1</v>
      </c>
      <c r="G18" s="33">
        <v>1</v>
      </c>
      <c r="H18" s="173" t="s">
        <v>30</v>
      </c>
      <c r="I18" s="5" t="s">
        <v>86</v>
      </c>
      <c r="J18" s="5"/>
      <c r="K18" s="108"/>
      <c r="S18" s="117"/>
      <c r="T18" s="135"/>
      <c r="U18" s="135"/>
      <c r="V18" s="135"/>
      <c r="X18" s="126"/>
      <c r="Y18" s="125"/>
      <c r="AA18" t="s">
        <v>74</v>
      </c>
    </row>
    <row r="19" spans="1:27" x14ac:dyDescent="0.3">
      <c r="A19" s="176"/>
      <c r="B19" s="173"/>
      <c r="C19" s="40"/>
      <c r="D19" s="33"/>
      <c r="E19" s="33"/>
      <c r="F19" s="33">
        <v>1</v>
      </c>
      <c r="G19" s="33">
        <v>1</v>
      </c>
      <c r="H19" s="173"/>
      <c r="I19" s="5"/>
      <c r="J19" s="5"/>
      <c r="K19" s="108"/>
      <c r="S19" s="117"/>
      <c r="T19" s="135"/>
      <c r="U19" s="135"/>
      <c r="V19" s="135"/>
      <c r="X19" s="126"/>
      <c r="Y19" s="125"/>
      <c r="AA19" t="s">
        <v>8</v>
      </c>
    </row>
    <row r="20" spans="1:27" x14ac:dyDescent="0.3">
      <c r="A20" s="176"/>
      <c r="B20" s="173"/>
      <c r="C20" s="40"/>
      <c r="D20" s="33"/>
      <c r="E20" s="33"/>
      <c r="F20" s="33" t="s">
        <v>170</v>
      </c>
      <c r="G20" s="33" t="s">
        <v>171</v>
      </c>
      <c r="H20" s="173"/>
      <c r="I20" s="5"/>
      <c r="J20" s="5"/>
      <c r="K20" s="108"/>
      <c r="S20" s="117"/>
      <c r="T20" s="135"/>
      <c r="U20" s="135"/>
      <c r="V20" s="135"/>
      <c r="W20" s="135"/>
      <c r="X20" s="135"/>
      <c r="Y20" s="118"/>
      <c r="AA20" t="s">
        <v>3</v>
      </c>
    </row>
    <row r="21" spans="1:27" x14ac:dyDescent="0.3">
      <c r="A21" s="176"/>
      <c r="B21" s="173"/>
      <c r="C21" s="173"/>
      <c r="D21" s="173"/>
      <c r="E21" s="173"/>
      <c r="F21" s="173"/>
      <c r="G21" s="5"/>
      <c r="H21" s="5"/>
      <c r="I21" s="5"/>
      <c r="J21" s="5"/>
      <c r="K21" s="108"/>
      <c r="S21" s="117"/>
      <c r="T21" s="135"/>
      <c r="U21" s="135"/>
      <c r="V21" s="135"/>
      <c r="W21" s="135"/>
      <c r="X21" s="135"/>
      <c r="Y21" s="118"/>
      <c r="AA21" t="s">
        <v>82</v>
      </c>
    </row>
    <row r="22" spans="1:27" ht="15" thickBot="1" x14ac:dyDescent="0.35">
      <c r="A22" s="176"/>
      <c r="B22" s="173"/>
      <c r="C22" s="173" t="s">
        <v>12</v>
      </c>
      <c r="D22" s="173" t="s">
        <v>13</v>
      </c>
      <c r="E22" s="173" t="s">
        <v>14</v>
      </c>
      <c r="F22" s="173" t="s">
        <v>15</v>
      </c>
      <c r="G22" s="5" t="s">
        <v>24</v>
      </c>
      <c r="H22" s="5" t="s">
        <v>25</v>
      </c>
      <c r="I22" s="5" t="s">
        <v>26</v>
      </c>
      <c r="J22" s="5" t="s">
        <v>27</v>
      </c>
      <c r="K22" s="108"/>
      <c r="S22" s="117"/>
      <c r="T22" s="135"/>
      <c r="U22" s="135"/>
      <c r="V22" s="135"/>
      <c r="W22" s="135"/>
      <c r="X22" s="135"/>
      <c r="Y22" s="118"/>
      <c r="AA22" t="s">
        <v>37</v>
      </c>
    </row>
    <row r="23" spans="1:27" x14ac:dyDescent="0.3">
      <c r="A23" s="176"/>
      <c r="B23" s="19" t="s">
        <v>9</v>
      </c>
      <c r="C23" s="354">
        <f>COUNTIF($S$12:$T$15,"Brasilien")</f>
        <v>2</v>
      </c>
      <c r="D23" s="124">
        <f>SUMPRODUCT(($S$12:$T$15=B23)*($X$12:$Y$15=3))</f>
        <v>1</v>
      </c>
      <c r="E23" s="124">
        <f>SUMPRODUCT(($S$12:$T$15=B23)*($X$12:$Y$15=1))</f>
        <v>1</v>
      </c>
      <c r="F23" s="124">
        <f>SUMPRODUCT(($S$12:$T$15=B23)*($X$12:$Y$15=2))</f>
        <v>0</v>
      </c>
      <c r="G23" s="124">
        <f>SUMPRODUCT(($S$12:$S$15=B23)*($U$12:$U$15))+SUMPRODUCT(($T$12:$T$15=B23)*($V$12:$V$15))</f>
        <v>6</v>
      </c>
      <c r="H23" s="124">
        <f>SUMPRODUCT(($S$12:$S$15=B23)*($V$12:$V$15))+SUMPRODUCT(($T$12:$T$15=B23)*($U$12:$U$15))</f>
        <v>1</v>
      </c>
      <c r="I23" s="15">
        <f>(D23*2)+E23</f>
        <v>3</v>
      </c>
      <c r="J23" s="16">
        <f>(F23*2)+E23</f>
        <v>1</v>
      </c>
      <c r="K23" s="108"/>
      <c r="S23" s="117"/>
      <c r="T23" s="135"/>
      <c r="U23" s="135"/>
      <c r="V23" s="135"/>
      <c r="W23" s="135"/>
      <c r="X23" s="135"/>
      <c r="Y23" s="118"/>
      <c r="AA23" t="s">
        <v>21</v>
      </c>
    </row>
    <row r="24" spans="1:27" s="13" customFormat="1" x14ac:dyDescent="0.3">
      <c r="A24" s="24"/>
      <c r="B24" s="21" t="s">
        <v>8</v>
      </c>
      <c r="C24" s="352">
        <f>COUNTIF($S$12:$T$15,"Jugoslawien")</f>
        <v>2</v>
      </c>
      <c r="D24" s="43">
        <f>SUMPRODUCT(($S$12:$T$15=B24)*($X$12:$Y$15=3))</f>
        <v>1</v>
      </c>
      <c r="E24" s="43">
        <f>SUMPRODUCT(($S$12:$T$15=B24)*($X$12:$Y$15=1))</f>
        <v>1</v>
      </c>
      <c r="F24" s="43">
        <f>SUMPRODUCT(($S$12:$T$15=B24)*($X$12:$Y$15=2))</f>
        <v>0</v>
      </c>
      <c r="G24" s="43">
        <f>SUMPRODUCT(($S$12:$S$15=B24)*($U$12:$U$15))+SUMPRODUCT(($T$12:$T$15=B24)*($V$12:$V$15))</f>
        <v>2</v>
      </c>
      <c r="H24" s="43">
        <f>SUMPRODUCT(($S$12:$S$15=B24)*($V$12:$V$15))+SUMPRODUCT(($T$12:$T$15=B24)*($U$12:$U$15))</f>
        <v>1</v>
      </c>
      <c r="I24" s="18">
        <f>(D24*2)+E24</f>
        <v>3</v>
      </c>
      <c r="J24" s="22">
        <f>(F24*2)+E24</f>
        <v>1</v>
      </c>
      <c r="K24" s="109"/>
      <c r="S24" s="117"/>
      <c r="T24" s="135"/>
      <c r="U24" s="135"/>
      <c r="V24" s="135"/>
      <c r="W24" s="135"/>
      <c r="X24" s="135"/>
      <c r="Y24" s="118"/>
      <c r="AA24" s="13" t="s">
        <v>4</v>
      </c>
    </row>
    <row r="25" spans="1:27" x14ac:dyDescent="0.3">
      <c r="A25" s="176"/>
      <c r="B25" s="21" t="s">
        <v>3</v>
      </c>
      <c r="C25" s="352">
        <f>COUNTIF($S$12:$T$15,"Frankreich")</f>
        <v>2</v>
      </c>
      <c r="D25" s="43">
        <f>SUMPRODUCT(($S$12:$T$15=B25)*($X$12:$Y$15=3))</f>
        <v>1</v>
      </c>
      <c r="E25" s="43">
        <f>SUMPRODUCT(($S$12:$T$15=B25)*($X$12:$Y$15=1))</f>
        <v>0</v>
      </c>
      <c r="F25" s="43">
        <f>SUMPRODUCT(($S$12:$T$15=B25)*($X$12:$Y$15=2))</f>
        <v>1</v>
      </c>
      <c r="G25" s="43">
        <f>SUMPRODUCT(($S$12:$S$15=B25)*($U$12:$U$15))+SUMPRODUCT(($T$12:$T$15=B25)*($V$12:$V$15))</f>
        <v>3</v>
      </c>
      <c r="H25" s="43">
        <f>SUMPRODUCT(($S$12:$S$15=B25)*($V$12:$V$15))+SUMPRODUCT(($T$12:$T$15=B25)*($U$12:$U$15))</f>
        <v>3</v>
      </c>
      <c r="I25" s="18">
        <f>(D25*2)+E25</f>
        <v>2</v>
      </c>
      <c r="J25" s="22">
        <f>(F25*2)+E25</f>
        <v>2</v>
      </c>
      <c r="K25" s="108"/>
      <c r="S25" s="117"/>
      <c r="T25" s="135"/>
      <c r="U25" s="135"/>
      <c r="V25" s="135"/>
      <c r="W25" s="135"/>
      <c r="X25" s="135"/>
      <c r="Y25" s="118"/>
      <c r="AA25" t="s">
        <v>45</v>
      </c>
    </row>
    <row r="26" spans="1:27" ht="15" thickBot="1" x14ac:dyDescent="0.35">
      <c r="A26" s="176"/>
      <c r="B26" s="7" t="s">
        <v>4</v>
      </c>
      <c r="C26" s="356">
        <f>COUNTIF($S$12:$T$15,"Mexiko")</f>
        <v>2</v>
      </c>
      <c r="D26" s="80">
        <f>SUMPRODUCT(($S$12:$T$15=B26)*($X$12:$Y$15=3))</f>
        <v>0</v>
      </c>
      <c r="E26" s="80">
        <f>SUMPRODUCT(($S$12:$T$15=B26)*($X$12:$Y$15=1))</f>
        <v>0</v>
      </c>
      <c r="F26" s="80">
        <f>SUMPRODUCT(($S$12:$T$15=B26)*($X$12:$Y$15=2))</f>
        <v>2</v>
      </c>
      <c r="G26" s="80">
        <f>SUMPRODUCT(($S$12:$S$15=B26)*($U$12:$U$15))+SUMPRODUCT(($T$12:$T$15=B26)*($V$12:$V$15))</f>
        <v>2</v>
      </c>
      <c r="H26" s="80">
        <f>SUMPRODUCT(($S$12:$S$15=B26)*($V$12:$V$15))+SUMPRODUCT(($T$12:$T$15=B26)*($U$12:$U$15))</f>
        <v>8</v>
      </c>
      <c r="I26" s="31">
        <f>(D26*2)+E26</f>
        <v>0</v>
      </c>
      <c r="J26" s="32">
        <f>(F26*2)+E26</f>
        <v>4</v>
      </c>
      <c r="K26" s="108"/>
      <c r="S26" s="117"/>
      <c r="T26" s="135"/>
      <c r="U26" s="135"/>
      <c r="V26" s="135"/>
      <c r="W26" s="135"/>
      <c r="X26" s="135"/>
      <c r="Y26" s="118"/>
      <c r="AA26" t="s">
        <v>81</v>
      </c>
    </row>
    <row r="27" spans="1:27" ht="15" thickBot="1" x14ac:dyDescent="0.35">
      <c r="A27" s="110"/>
      <c r="B27" s="36"/>
      <c r="C27" s="36"/>
      <c r="D27" s="36"/>
      <c r="E27" s="36"/>
      <c r="F27" s="36"/>
      <c r="G27" s="37"/>
      <c r="H27" s="37"/>
      <c r="I27" s="37"/>
      <c r="J27" s="37"/>
      <c r="K27" s="193"/>
      <c r="S27" s="117"/>
      <c r="T27" s="135"/>
      <c r="U27" s="135"/>
      <c r="V27" s="135"/>
      <c r="W27" s="135"/>
      <c r="X27" s="5"/>
      <c r="Y27" s="127"/>
      <c r="AA27" t="s">
        <v>90</v>
      </c>
    </row>
    <row r="28" spans="1:27" ht="15" thickTop="1" x14ac:dyDescent="0.3">
      <c r="A28" s="176"/>
      <c r="B28" s="173"/>
      <c r="C28" s="173"/>
      <c r="D28" s="173"/>
      <c r="E28" s="173"/>
      <c r="F28" s="173"/>
      <c r="G28" s="5"/>
      <c r="H28" s="5"/>
      <c r="I28" s="5"/>
      <c r="J28" s="5"/>
      <c r="K28" s="108"/>
      <c r="S28" s="122"/>
      <c r="T28" s="17"/>
      <c r="U28" s="17"/>
      <c r="V28" s="17"/>
      <c r="W28" s="17"/>
      <c r="X28" s="18"/>
      <c r="Y28" s="128"/>
    </row>
    <row r="29" spans="1:27" ht="21" x14ac:dyDescent="0.4">
      <c r="A29" s="176"/>
      <c r="B29" s="173"/>
      <c r="C29" s="173"/>
      <c r="D29" s="173"/>
      <c r="E29" s="173"/>
      <c r="F29" s="172" t="s">
        <v>7</v>
      </c>
      <c r="G29" s="5"/>
      <c r="H29" s="5"/>
      <c r="I29" s="5"/>
      <c r="J29" s="5"/>
      <c r="K29" s="108"/>
      <c r="S29" s="122"/>
      <c r="T29" s="17"/>
      <c r="U29" s="17"/>
      <c r="V29" s="17"/>
      <c r="W29" s="17"/>
      <c r="X29" s="18"/>
      <c r="Y29" s="128"/>
    </row>
    <row r="30" spans="1:27" x14ac:dyDescent="0.3">
      <c r="A30" s="176"/>
      <c r="B30" s="173"/>
      <c r="C30" s="173"/>
      <c r="D30" s="173"/>
      <c r="E30" s="173"/>
      <c r="F30" s="173"/>
      <c r="G30" s="5"/>
      <c r="H30" s="5"/>
      <c r="I30" s="5"/>
      <c r="J30" s="5"/>
      <c r="K30" s="108"/>
      <c r="S30" s="122"/>
      <c r="T30" s="17"/>
      <c r="U30" s="17"/>
      <c r="V30" s="17"/>
      <c r="W30" s="17"/>
      <c r="X30" s="18"/>
      <c r="Y30" s="128"/>
    </row>
    <row r="31" spans="1:27" x14ac:dyDescent="0.3">
      <c r="A31" s="176"/>
      <c r="B31" s="173"/>
      <c r="C31" s="40">
        <v>19892</v>
      </c>
      <c r="D31" s="33" t="s">
        <v>82</v>
      </c>
      <c r="E31" s="33" t="s">
        <v>88</v>
      </c>
      <c r="F31" s="33">
        <v>1</v>
      </c>
      <c r="G31" s="33">
        <v>4</v>
      </c>
      <c r="H31" s="173"/>
      <c r="I31" s="5" t="s">
        <v>89</v>
      </c>
      <c r="J31" s="5"/>
      <c r="K31" s="108"/>
      <c r="S31" s="122" t="s">
        <v>82</v>
      </c>
      <c r="T31" s="17" t="s">
        <v>88</v>
      </c>
      <c r="U31" s="17">
        <v>1</v>
      </c>
      <c r="V31" s="17">
        <v>4</v>
      </c>
      <c r="W31" s="17"/>
      <c r="X31" s="126">
        <f t="shared" ref="X31:X33" si="4">(IF(U31&gt;V31,3,IF(U31=V31,1,2)))</f>
        <v>2</v>
      </c>
      <c r="Y31" s="125">
        <f t="shared" ref="Y31:Y33" si="5">(IF(V31&gt;U31,3,IF(U31=V31,1,2)))</f>
        <v>3</v>
      </c>
    </row>
    <row r="32" spans="1:27" ht="15" thickBot="1" x14ac:dyDescent="0.35">
      <c r="A32" s="176"/>
      <c r="B32" s="173"/>
      <c r="C32" s="58"/>
      <c r="D32" s="59"/>
      <c r="E32" s="59"/>
      <c r="F32" s="59" t="s">
        <v>172</v>
      </c>
      <c r="G32" s="59" t="s">
        <v>183</v>
      </c>
      <c r="H32" s="178"/>
      <c r="I32" s="8"/>
      <c r="J32" s="5"/>
      <c r="K32" s="108"/>
      <c r="S32" s="117" t="s">
        <v>32</v>
      </c>
      <c r="T32" s="135" t="s">
        <v>90</v>
      </c>
      <c r="U32" s="135">
        <v>9</v>
      </c>
      <c r="V32" s="135">
        <v>0</v>
      </c>
      <c r="W32" s="135"/>
      <c r="X32" s="126">
        <f t="shared" si="4"/>
        <v>3</v>
      </c>
      <c r="Y32" s="125">
        <f t="shared" si="5"/>
        <v>2</v>
      </c>
    </row>
    <row r="33" spans="1:25" x14ac:dyDescent="0.3">
      <c r="A33" s="176"/>
      <c r="B33" s="173"/>
      <c r="C33" s="40">
        <v>19892</v>
      </c>
      <c r="D33" s="33" t="s">
        <v>32</v>
      </c>
      <c r="E33" s="33" t="s">
        <v>90</v>
      </c>
      <c r="F33" s="33">
        <v>9</v>
      </c>
      <c r="G33" s="33">
        <v>0</v>
      </c>
      <c r="H33" s="173"/>
      <c r="I33" s="5" t="s">
        <v>91</v>
      </c>
      <c r="J33" s="5"/>
      <c r="K33" s="108"/>
      <c r="S33" s="117" t="s">
        <v>32</v>
      </c>
      <c r="T33" s="135" t="s">
        <v>88</v>
      </c>
      <c r="U33" s="135">
        <v>8</v>
      </c>
      <c r="V33" s="135">
        <v>3</v>
      </c>
      <c r="W33" s="135"/>
      <c r="X33" s="126">
        <f t="shared" si="4"/>
        <v>3</v>
      </c>
      <c r="Y33" s="125">
        <f t="shared" si="5"/>
        <v>2</v>
      </c>
    </row>
    <row r="34" spans="1:25" ht="15" thickBot="1" x14ac:dyDescent="0.35">
      <c r="A34" s="176"/>
      <c r="B34" s="173"/>
      <c r="C34" s="58"/>
      <c r="D34" s="59"/>
      <c r="E34" s="59"/>
      <c r="F34" s="59" t="s">
        <v>268</v>
      </c>
      <c r="G34" s="59" t="s">
        <v>171</v>
      </c>
      <c r="H34" s="178"/>
      <c r="I34" s="8"/>
      <c r="J34" s="5"/>
      <c r="K34" s="108"/>
      <c r="S34" s="117" t="s">
        <v>82</v>
      </c>
      <c r="T34" s="135" t="s">
        <v>90</v>
      </c>
      <c r="U34" s="135">
        <v>7</v>
      </c>
      <c r="V34" s="135">
        <v>0</v>
      </c>
      <c r="W34" s="135"/>
      <c r="X34" s="126">
        <f t="shared" ref="X34" si="6">(IF(U34&gt;V34,3,IF(U34=V34,1,2)))</f>
        <v>3</v>
      </c>
      <c r="Y34" s="125">
        <f t="shared" ref="Y34" si="7">(IF(V34&gt;U34,3,IF(U34=V34,1,2)))</f>
        <v>2</v>
      </c>
    </row>
    <row r="35" spans="1:25" x14ac:dyDescent="0.3">
      <c r="A35" s="176"/>
      <c r="B35" s="173"/>
      <c r="C35" s="40">
        <v>19895</v>
      </c>
      <c r="D35" s="33" t="s">
        <v>32</v>
      </c>
      <c r="E35" s="33" t="s">
        <v>88</v>
      </c>
      <c r="F35" s="33">
        <v>8</v>
      </c>
      <c r="G35" s="33">
        <v>3</v>
      </c>
      <c r="H35" s="173"/>
      <c r="I35" s="5" t="s">
        <v>92</v>
      </c>
      <c r="J35" s="5"/>
      <c r="K35" s="108"/>
      <c r="S35" s="117"/>
      <c r="T35" s="135"/>
      <c r="U35" s="135"/>
      <c r="V35" s="135"/>
      <c r="W35" s="135"/>
      <c r="X35" s="126"/>
      <c r="Y35" s="125"/>
    </row>
    <row r="36" spans="1:25" ht="15" thickBot="1" x14ac:dyDescent="0.35">
      <c r="A36" s="176"/>
      <c r="B36" s="173"/>
      <c r="C36" s="58"/>
      <c r="D36" s="59"/>
      <c r="E36" s="59"/>
      <c r="F36" s="59" t="s">
        <v>264</v>
      </c>
      <c r="G36" s="59" t="s">
        <v>183</v>
      </c>
      <c r="H36" s="178"/>
      <c r="I36" s="8"/>
      <c r="J36" s="5"/>
      <c r="K36" s="108"/>
      <c r="S36" s="117"/>
      <c r="T36" s="135"/>
      <c r="U36" s="135"/>
      <c r="V36" s="135"/>
      <c r="W36" s="135"/>
      <c r="X36" s="126"/>
      <c r="Y36" s="125"/>
    </row>
    <row r="37" spans="1:25" x14ac:dyDescent="0.3">
      <c r="A37" s="176"/>
      <c r="B37" s="173"/>
      <c r="C37" s="40">
        <v>19895</v>
      </c>
      <c r="D37" s="33" t="s">
        <v>82</v>
      </c>
      <c r="E37" s="33" t="s">
        <v>90</v>
      </c>
      <c r="F37" s="33">
        <v>7</v>
      </c>
      <c r="G37" s="33">
        <v>0</v>
      </c>
      <c r="H37" s="173"/>
      <c r="I37" s="5" t="s">
        <v>87</v>
      </c>
      <c r="J37" s="5"/>
      <c r="K37" s="108"/>
      <c r="S37" s="117"/>
      <c r="T37" s="135"/>
      <c r="U37" s="135"/>
      <c r="V37" s="135"/>
      <c r="W37" s="135"/>
      <c r="X37" s="126"/>
      <c r="Y37" s="125"/>
    </row>
    <row r="38" spans="1:25" x14ac:dyDescent="0.3">
      <c r="A38" s="176"/>
      <c r="B38" s="173"/>
      <c r="C38" s="173"/>
      <c r="D38" s="33"/>
      <c r="E38" s="33"/>
      <c r="F38" s="33" t="s">
        <v>268</v>
      </c>
      <c r="G38" s="309" t="s">
        <v>171</v>
      </c>
      <c r="H38" s="5"/>
      <c r="I38" s="5"/>
      <c r="J38" s="5"/>
      <c r="K38" s="108"/>
      <c r="S38" s="117"/>
      <c r="T38" s="135"/>
      <c r="U38" s="135"/>
      <c r="V38" s="135"/>
      <c r="W38" s="135"/>
      <c r="X38" s="126"/>
      <c r="Y38" s="125"/>
    </row>
    <row r="39" spans="1:25" x14ac:dyDescent="0.3">
      <c r="A39" s="176"/>
      <c r="B39" s="173"/>
      <c r="C39" s="173"/>
      <c r="D39" s="33"/>
      <c r="E39" s="33"/>
      <c r="F39" s="33"/>
      <c r="G39" s="309"/>
      <c r="H39" s="5"/>
      <c r="I39" s="5"/>
      <c r="J39" s="5"/>
      <c r="K39" s="108"/>
      <c r="S39" s="117"/>
      <c r="T39" s="135"/>
      <c r="U39" s="135"/>
      <c r="V39" s="135"/>
      <c r="W39" s="135"/>
      <c r="X39" s="126"/>
      <c r="Y39" s="125"/>
    </row>
    <row r="40" spans="1:25" x14ac:dyDescent="0.3">
      <c r="A40" s="176"/>
      <c r="B40" s="173"/>
      <c r="C40" s="173"/>
      <c r="D40" s="173"/>
      <c r="E40" s="173"/>
      <c r="F40" s="173"/>
      <c r="G40" s="5"/>
      <c r="H40" s="5"/>
      <c r="I40" s="5"/>
      <c r="J40" s="5"/>
      <c r="K40" s="108"/>
      <c r="S40" s="117"/>
      <c r="T40" s="135"/>
      <c r="U40" s="135"/>
      <c r="V40" s="135"/>
      <c r="W40" s="135"/>
      <c r="X40" s="135"/>
      <c r="Y40" s="118"/>
    </row>
    <row r="41" spans="1:25" ht="21" x14ac:dyDescent="0.4">
      <c r="A41" s="156"/>
      <c r="B41" s="173"/>
      <c r="C41" s="173"/>
      <c r="D41" s="173"/>
      <c r="E41" s="173"/>
      <c r="F41" s="172" t="s">
        <v>279</v>
      </c>
      <c r="G41" s="5"/>
      <c r="H41" s="5"/>
      <c r="I41" s="5"/>
      <c r="J41" s="5"/>
      <c r="K41" s="108"/>
      <c r="S41" s="117"/>
      <c r="T41" s="135"/>
      <c r="U41" s="135"/>
      <c r="V41" s="135"/>
      <c r="W41" s="135"/>
      <c r="X41" s="135"/>
      <c r="Y41" s="118"/>
    </row>
    <row r="42" spans="1:25" x14ac:dyDescent="0.3">
      <c r="A42" s="156"/>
      <c r="B42" s="67"/>
      <c r="C42" s="173"/>
      <c r="D42" s="173"/>
      <c r="E42" s="173"/>
      <c r="F42" s="173"/>
      <c r="G42" s="5"/>
      <c r="H42" s="5"/>
      <c r="I42" s="5"/>
      <c r="J42" s="5"/>
      <c r="K42" s="108"/>
      <c r="S42" s="117"/>
      <c r="T42" s="135"/>
      <c r="U42" s="135"/>
      <c r="V42" s="135"/>
      <c r="W42" s="135"/>
      <c r="X42" s="135"/>
      <c r="Y42" s="118"/>
    </row>
    <row r="43" spans="1:25" x14ac:dyDescent="0.3">
      <c r="A43" s="156"/>
      <c r="B43" s="67"/>
      <c r="C43" s="40">
        <v>19898</v>
      </c>
      <c r="D43" s="17" t="s">
        <v>82</v>
      </c>
      <c r="E43" s="66" t="s">
        <v>88</v>
      </c>
      <c r="F43" s="66">
        <v>2</v>
      </c>
      <c r="G43" s="66">
        <v>7</v>
      </c>
      <c r="H43" s="173"/>
      <c r="I43" s="5" t="s">
        <v>91</v>
      </c>
      <c r="J43" s="5"/>
      <c r="K43" s="108"/>
      <c r="S43" s="117" t="s">
        <v>82</v>
      </c>
      <c r="T43" s="135" t="s">
        <v>88</v>
      </c>
      <c r="U43" s="135">
        <v>2</v>
      </c>
      <c r="V43" s="135">
        <v>7</v>
      </c>
      <c r="W43" s="135"/>
      <c r="X43" s="126">
        <f t="shared" ref="X43" si="8">(IF(U43&gt;V43,3,IF(U43=V43,1,2)))</f>
        <v>2</v>
      </c>
      <c r="Y43" s="125">
        <f t="shared" ref="Y43" si="9">(IF(V43&gt;U43,3,IF(U43=V43,1,2)))</f>
        <v>3</v>
      </c>
    </row>
    <row r="44" spans="1:25" x14ac:dyDescent="0.3">
      <c r="A44" s="156"/>
      <c r="B44" s="67"/>
      <c r="C44" s="173"/>
      <c r="D44" s="173"/>
      <c r="E44" s="173"/>
      <c r="F44" s="173" t="s">
        <v>172</v>
      </c>
      <c r="G44" s="5" t="s">
        <v>274</v>
      </c>
      <c r="H44" s="5"/>
      <c r="I44" s="5"/>
      <c r="J44" s="5"/>
      <c r="K44" s="108"/>
      <c r="S44" s="117"/>
      <c r="T44" s="135"/>
      <c r="U44" s="135"/>
      <c r="V44" s="135"/>
      <c r="W44" s="135"/>
      <c r="X44" s="135"/>
      <c r="Y44" s="118"/>
    </row>
    <row r="45" spans="1:25" x14ac:dyDescent="0.3">
      <c r="A45" s="176"/>
      <c r="B45" s="173"/>
      <c r="C45" s="173"/>
      <c r="D45" s="173"/>
      <c r="E45" s="173"/>
      <c r="F45" s="173"/>
      <c r="G45" s="5"/>
      <c r="H45" s="5"/>
      <c r="I45" s="5"/>
      <c r="J45" s="5"/>
      <c r="K45" s="108"/>
      <c r="S45" s="117"/>
      <c r="T45" s="135"/>
      <c r="U45" s="135"/>
      <c r="V45" s="135"/>
      <c r="W45" s="135"/>
      <c r="X45" s="126"/>
      <c r="Y45" s="125"/>
    </row>
    <row r="46" spans="1:25" ht="15" thickBot="1" x14ac:dyDescent="0.35">
      <c r="A46" s="176"/>
      <c r="B46" s="173"/>
      <c r="C46" s="173" t="s">
        <v>12</v>
      </c>
      <c r="D46" s="173" t="s">
        <v>13</v>
      </c>
      <c r="E46" s="173" t="s">
        <v>14</v>
      </c>
      <c r="F46" s="173" t="s">
        <v>15</v>
      </c>
      <c r="G46" s="5" t="s">
        <v>24</v>
      </c>
      <c r="H46" s="5" t="s">
        <v>25</v>
      </c>
      <c r="I46" s="5" t="s">
        <v>26</v>
      </c>
      <c r="J46" s="5" t="s">
        <v>27</v>
      </c>
      <c r="K46" s="108"/>
      <c r="S46" s="117"/>
      <c r="T46" s="135"/>
      <c r="U46" s="135"/>
      <c r="V46" s="135"/>
      <c r="W46" s="135"/>
      <c r="X46" s="126"/>
      <c r="Y46" s="125"/>
    </row>
    <row r="47" spans="1:25" x14ac:dyDescent="0.3">
      <c r="A47" s="176"/>
      <c r="B47" s="19" t="s">
        <v>32</v>
      </c>
      <c r="C47" s="360">
        <f>COUNTIF($S$31:$T$43,"Ungarn")</f>
        <v>2</v>
      </c>
      <c r="D47" s="124">
        <f>SUMPRODUCT(($S$31:$T$43=B47)*($X$31:$Y$43=3))</f>
        <v>2</v>
      </c>
      <c r="E47" s="124">
        <f>SUMPRODUCT(($S$31:$T$43=B47)*($X$31:$Y$43=1))</f>
        <v>0</v>
      </c>
      <c r="F47" s="124">
        <f>SUMPRODUCT(($S$31:$T$43=B47)*($X$31:$Y$43=2))</f>
        <v>0</v>
      </c>
      <c r="G47" s="124">
        <f>SUMPRODUCT(($S$31:$S$43=B47)*($U$31:$U$43))+SUMPRODUCT(($T$31:$T$43=B47)*($V$31:$V$43))</f>
        <v>17</v>
      </c>
      <c r="H47" s="124">
        <f>SUMPRODUCT(($S$31:$S$43=B47)*($V$31:$V$43))+SUMPRODUCT(($T$31:$T$43=B47)*($U$31:$U$43))</f>
        <v>3</v>
      </c>
      <c r="I47" s="15">
        <f>(D47*2)+E47</f>
        <v>4</v>
      </c>
      <c r="J47" s="16">
        <f>(F47*2)+E47</f>
        <v>0</v>
      </c>
      <c r="K47" s="108"/>
      <c r="S47" s="117"/>
      <c r="T47" s="135"/>
      <c r="U47" s="135"/>
      <c r="V47" s="135"/>
      <c r="W47" s="135"/>
      <c r="X47" s="126"/>
      <c r="Y47" s="125"/>
    </row>
    <row r="48" spans="1:25" x14ac:dyDescent="0.3">
      <c r="A48" s="176"/>
      <c r="B48" s="21" t="s">
        <v>88</v>
      </c>
      <c r="C48" s="359">
        <f>COUNTIF($S$31:$T$43,"BRD")</f>
        <v>3</v>
      </c>
      <c r="D48" s="43">
        <f>SUMPRODUCT(($S$31:$T$43=B48)*($X$31:$Y$43=3))</f>
        <v>2</v>
      </c>
      <c r="E48" s="43">
        <f>SUMPRODUCT(($S$31:$T$43=B48)*($X$31:$Y$43=1))</f>
        <v>0</v>
      </c>
      <c r="F48" s="43">
        <f>SUMPRODUCT(($S$31:$T$43=B48)*($X$31:$Y$43=2))</f>
        <v>1</v>
      </c>
      <c r="G48" s="43">
        <f>SUMPRODUCT(($S$31:$S$43=B48)*($U$31:$U$43))+SUMPRODUCT(($T$31:$T$43=B48)*($V$31:$V$43))</f>
        <v>14</v>
      </c>
      <c r="H48" s="43">
        <f>SUMPRODUCT(($S$31:$S$43=B48)*($V$31:$V$43))+SUMPRODUCT(($T$31:$T$43=B48)*($U$31:$U$43))</f>
        <v>11</v>
      </c>
      <c r="I48" s="18">
        <f>(D48*2)+E48</f>
        <v>4</v>
      </c>
      <c r="J48" s="22">
        <f>(F48*2)+E48</f>
        <v>2</v>
      </c>
      <c r="K48" s="108"/>
      <c r="S48" s="117"/>
      <c r="T48" s="135"/>
      <c r="U48" s="135"/>
      <c r="V48" s="135"/>
      <c r="W48" s="135"/>
      <c r="X48" s="126"/>
      <c r="Y48" s="125"/>
    </row>
    <row r="49" spans="1:25" x14ac:dyDescent="0.3">
      <c r="A49" s="176"/>
      <c r="B49" s="3" t="s">
        <v>82</v>
      </c>
      <c r="C49" s="359">
        <f>COUNTIF($S$31:$T$43,"Türkei")</f>
        <v>3</v>
      </c>
      <c r="D49" s="43">
        <f>SUMPRODUCT(($S$31:$T$43=B49)*($X$31:$Y$43=3))</f>
        <v>1</v>
      </c>
      <c r="E49" s="43">
        <f>SUMPRODUCT(($S$31:$T$43=B49)*($X$31:$Y$43=1))</f>
        <v>0</v>
      </c>
      <c r="F49" s="43">
        <f>SUMPRODUCT(($S$31:$T$43=B49)*($X$31:$Y$43=2))</f>
        <v>2</v>
      </c>
      <c r="G49" s="43">
        <f>SUMPRODUCT(($S$31:$S$43=B49)*($U$31:$U$43))+SUMPRODUCT(($T$31:$T$43=B49)*($V$31:$V$43))</f>
        <v>10</v>
      </c>
      <c r="H49" s="43">
        <f>SUMPRODUCT(($S$31:$S$43=B49)*($V$31:$V$43))+SUMPRODUCT(($T$31:$T$43=B49)*($U$31:$U$43))</f>
        <v>11</v>
      </c>
      <c r="I49" s="18">
        <f>(D49*2)+E49</f>
        <v>2</v>
      </c>
      <c r="J49" s="22">
        <f>(F49*2)+E49</f>
        <v>4</v>
      </c>
      <c r="K49" s="108"/>
      <c r="S49" s="117"/>
      <c r="T49" s="135"/>
      <c r="U49" s="135"/>
      <c r="V49" s="135"/>
      <c r="W49" s="135"/>
      <c r="X49" s="135"/>
      <c r="Y49" s="118"/>
    </row>
    <row r="50" spans="1:25" ht="15" thickBot="1" x14ac:dyDescent="0.35">
      <c r="A50" s="176"/>
      <c r="B50" s="7" t="s">
        <v>90</v>
      </c>
      <c r="C50" s="362">
        <f>COUNTIF($S$31:$T$43,"Südkorea")</f>
        <v>2</v>
      </c>
      <c r="D50" s="80">
        <f>SUMPRODUCT(($S$31:$T$43=B50)*($X$31:$Y$43=3))</f>
        <v>0</v>
      </c>
      <c r="E50" s="80">
        <f>SUMPRODUCT(($S$31:$T$43=B50)*($X$31:$Y$43=1))</f>
        <v>0</v>
      </c>
      <c r="F50" s="80">
        <f>SUMPRODUCT(($S$31:$T$43=B50)*($X$31:$Y$43=2))</f>
        <v>2</v>
      </c>
      <c r="G50" s="80">
        <f>SUMPRODUCT(($S$31:$S$43=B50)*($U$31:$U$43))+SUMPRODUCT(($T$31:$T$43=B50)*($V$31:$V$43))</f>
        <v>0</v>
      </c>
      <c r="H50" s="80">
        <f>SUMPRODUCT(($S$31:$S$43=B50)*($V$31:$V$43))+SUMPRODUCT(($T$31:$T$43=B50)*($U$31:$U$43))</f>
        <v>16</v>
      </c>
      <c r="I50" s="31">
        <f>(D50*2)+E50</f>
        <v>0</v>
      </c>
      <c r="J50" s="32">
        <f>(F50*2)+E50</f>
        <v>4</v>
      </c>
      <c r="K50" s="108"/>
      <c r="S50" s="117"/>
      <c r="T50" s="135"/>
      <c r="U50" s="135"/>
      <c r="V50" s="135"/>
      <c r="W50" s="135"/>
      <c r="X50" s="135"/>
      <c r="Y50" s="118"/>
    </row>
    <row r="51" spans="1:25" ht="15" thickBot="1" x14ac:dyDescent="0.35">
      <c r="A51" s="110"/>
      <c r="B51" s="36"/>
      <c r="C51" s="36"/>
      <c r="D51" s="36"/>
      <c r="E51" s="36"/>
      <c r="F51" s="36"/>
      <c r="G51" s="37"/>
      <c r="H51" s="37"/>
      <c r="I51" s="37"/>
      <c r="J51" s="37"/>
      <c r="K51" s="193"/>
      <c r="S51" s="117"/>
      <c r="T51" s="135"/>
      <c r="U51" s="135"/>
      <c r="V51" s="135"/>
      <c r="W51" s="135"/>
      <c r="X51" s="126"/>
      <c r="Y51" s="125"/>
    </row>
    <row r="52" spans="1:25" ht="15" thickTop="1" x14ac:dyDescent="0.3">
      <c r="A52" s="176"/>
      <c r="B52" s="173"/>
      <c r="C52" s="173"/>
      <c r="D52" s="173"/>
      <c r="E52" s="173"/>
      <c r="F52" s="173"/>
      <c r="G52" s="5"/>
      <c r="H52" s="5"/>
      <c r="I52" s="5"/>
      <c r="J52" s="5"/>
      <c r="K52" s="108"/>
      <c r="S52" s="117"/>
      <c r="T52" s="135"/>
      <c r="U52" s="135"/>
      <c r="V52" s="135"/>
      <c r="W52" s="135"/>
      <c r="X52" s="126"/>
      <c r="Y52" s="125"/>
    </row>
    <row r="53" spans="1:25" ht="21" x14ac:dyDescent="0.4">
      <c r="A53" s="176"/>
      <c r="B53" s="173"/>
      <c r="C53" s="173"/>
      <c r="D53" s="173"/>
      <c r="E53" s="173"/>
      <c r="F53" s="172" t="s">
        <v>11</v>
      </c>
      <c r="G53" s="5"/>
      <c r="H53" s="5"/>
      <c r="I53" s="5"/>
      <c r="J53" s="5"/>
      <c r="K53" s="108"/>
      <c r="S53" s="117"/>
      <c r="T53" s="135"/>
      <c r="U53" s="135"/>
      <c r="V53" s="135"/>
      <c r="W53" s="135"/>
      <c r="X53" s="126"/>
      <c r="Y53" s="125"/>
    </row>
    <row r="54" spans="1:25" x14ac:dyDescent="0.3">
      <c r="A54" s="176"/>
      <c r="B54" s="173"/>
      <c r="C54" s="173"/>
      <c r="D54" s="173"/>
      <c r="E54" s="173"/>
      <c r="F54" s="173"/>
      <c r="G54" s="5"/>
      <c r="H54" s="5"/>
      <c r="I54" s="5"/>
      <c r="J54" s="5"/>
      <c r="K54" s="108"/>
      <c r="S54" s="117"/>
      <c r="T54" s="135"/>
      <c r="U54" s="135"/>
      <c r="V54" s="135"/>
      <c r="W54" s="135"/>
      <c r="X54" s="126"/>
      <c r="Y54" s="125"/>
    </row>
    <row r="55" spans="1:25" x14ac:dyDescent="0.3">
      <c r="A55" s="176"/>
      <c r="B55" s="173"/>
      <c r="C55" s="40">
        <v>19891</v>
      </c>
      <c r="D55" s="33" t="s">
        <v>18</v>
      </c>
      <c r="E55" s="33" t="s">
        <v>45</v>
      </c>
      <c r="F55" s="33">
        <v>2</v>
      </c>
      <c r="G55" s="33">
        <v>0</v>
      </c>
      <c r="H55" s="173"/>
      <c r="I55" s="5" t="s">
        <v>89</v>
      </c>
      <c r="J55" s="5"/>
      <c r="K55" s="108"/>
      <c r="S55" s="117" t="s">
        <v>18</v>
      </c>
      <c r="T55" s="135" t="s">
        <v>45</v>
      </c>
      <c r="U55" s="135">
        <v>2</v>
      </c>
      <c r="V55" s="135">
        <v>0</v>
      </c>
      <c r="W55" s="135"/>
      <c r="X55" s="126">
        <f t="shared" ref="X55" si="10">(IF(U55&gt;V55,3,IF(U55=V55,1,2)))</f>
        <v>3</v>
      </c>
      <c r="Y55" s="125">
        <f t="shared" ref="Y55" si="11">(IF(V55&gt;U55,3,IF(U55=V55,1,2)))</f>
        <v>2</v>
      </c>
    </row>
    <row r="56" spans="1:25" ht="15" thickBot="1" x14ac:dyDescent="0.35">
      <c r="A56" s="176"/>
      <c r="B56" s="173"/>
      <c r="C56" s="58"/>
      <c r="D56" s="59"/>
      <c r="E56" s="59"/>
      <c r="F56" s="59" t="s">
        <v>170</v>
      </c>
      <c r="G56" s="59" t="s">
        <v>171</v>
      </c>
      <c r="H56" s="178"/>
      <c r="I56" s="8"/>
      <c r="J56" s="5"/>
      <c r="K56" s="108"/>
      <c r="S56" s="117" t="s">
        <v>29</v>
      </c>
      <c r="T56" s="135" t="s">
        <v>81</v>
      </c>
      <c r="U56" s="135">
        <v>1</v>
      </c>
      <c r="V56" s="135">
        <v>0</v>
      </c>
      <c r="W56" s="135"/>
      <c r="X56" s="126">
        <f t="shared" ref="X56:X58" si="12">(IF(U56&gt;V56,3,IF(U56=V56,1,2)))</f>
        <v>3</v>
      </c>
      <c r="Y56" s="125">
        <f t="shared" ref="Y56:Y58" si="13">(IF(V56&gt;U56,3,IF(U56=V56,1,2)))</f>
        <v>2</v>
      </c>
    </row>
    <row r="57" spans="1:25" x14ac:dyDescent="0.3">
      <c r="A57" s="176"/>
      <c r="B57" s="173"/>
      <c r="C57" s="40">
        <v>19891</v>
      </c>
      <c r="D57" s="33" t="s">
        <v>29</v>
      </c>
      <c r="E57" s="33" t="s">
        <v>81</v>
      </c>
      <c r="F57" s="33">
        <v>1</v>
      </c>
      <c r="G57" s="33">
        <v>0</v>
      </c>
      <c r="H57" s="173"/>
      <c r="I57" s="5" t="s">
        <v>91</v>
      </c>
      <c r="J57" s="5"/>
      <c r="K57" s="108"/>
      <c r="S57" s="117" t="s">
        <v>18</v>
      </c>
      <c r="T57" s="135" t="s">
        <v>81</v>
      </c>
      <c r="U57" s="135">
        <v>7</v>
      </c>
      <c r="V57" s="135">
        <v>0</v>
      </c>
      <c r="W57" s="135"/>
      <c r="X57" s="126">
        <f t="shared" si="12"/>
        <v>3</v>
      </c>
      <c r="Y57" s="125">
        <f t="shared" si="13"/>
        <v>2</v>
      </c>
    </row>
    <row r="58" spans="1:25" ht="15" thickBot="1" x14ac:dyDescent="0.35">
      <c r="A58" s="176"/>
      <c r="B58" s="173"/>
      <c r="C58" s="58"/>
      <c r="D58" s="59"/>
      <c r="E58" s="59"/>
      <c r="F58" s="59" t="s">
        <v>172</v>
      </c>
      <c r="G58" s="59" t="s">
        <v>171</v>
      </c>
      <c r="H58" s="178"/>
      <c r="I58" s="8"/>
      <c r="J58" s="5"/>
      <c r="K58" s="108"/>
      <c r="S58" s="117" t="s">
        <v>29</v>
      </c>
      <c r="T58" s="135" t="s">
        <v>45</v>
      </c>
      <c r="U58" s="135">
        <v>5</v>
      </c>
      <c r="V58" s="135">
        <v>0</v>
      </c>
      <c r="W58" s="135"/>
      <c r="X58" s="126">
        <f t="shared" si="12"/>
        <v>3</v>
      </c>
      <c r="Y58" s="125">
        <f t="shared" si="13"/>
        <v>2</v>
      </c>
    </row>
    <row r="59" spans="1:25" x14ac:dyDescent="0.3">
      <c r="A59" s="176"/>
      <c r="B59" s="173"/>
      <c r="C59" s="40">
        <v>19894</v>
      </c>
      <c r="D59" s="33" t="s">
        <v>18</v>
      </c>
      <c r="E59" s="33" t="s">
        <v>81</v>
      </c>
      <c r="F59" s="33">
        <v>7</v>
      </c>
      <c r="G59" s="33">
        <v>0</v>
      </c>
      <c r="H59" s="173"/>
      <c r="I59" s="5" t="s">
        <v>92</v>
      </c>
      <c r="J59" s="5"/>
      <c r="K59" s="108"/>
      <c r="S59" s="117"/>
      <c r="T59" s="135"/>
      <c r="U59" s="135"/>
      <c r="V59" s="135"/>
      <c r="W59" s="135"/>
      <c r="X59" s="135"/>
      <c r="Y59" s="118"/>
    </row>
    <row r="60" spans="1:25" ht="15" thickBot="1" x14ac:dyDescent="0.35">
      <c r="A60" s="176"/>
      <c r="B60" s="173"/>
      <c r="C60" s="58"/>
      <c r="D60" s="59"/>
      <c r="E60" s="59"/>
      <c r="F60" s="59" t="s">
        <v>215</v>
      </c>
      <c r="G60" s="59" t="s">
        <v>171</v>
      </c>
      <c r="H60" s="178"/>
      <c r="I60" s="8"/>
      <c r="J60" s="5"/>
      <c r="K60" s="108"/>
      <c r="S60" s="117"/>
      <c r="T60" s="135"/>
      <c r="U60" s="135"/>
      <c r="V60" s="135"/>
      <c r="W60" s="135"/>
      <c r="X60" s="135"/>
      <c r="Y60" s="118"/>
    </row>
    <row r="61" spans="1:25" x14ac:dyDescent="0.3">
      <c r="A61" s="176"/>
      <c r="B61" s="173"/>
      <c r="C61" s="40">
        <v>19894</v>
      </c>
      <c r="D61" s="33" t="s">
        <v>29</v>
      </c>
      <c r="E61" s="33" t="s">
        <v>45</v>
      </c>
      <c r="F61" s="33">
        <v>5</v>
      </c>
      <c r="G61" s="33">
        <v>0</v>
      </c>
      <c r="H61" s="173"/>
      <c r="I61" s="5" t="s">
        <v>91</v>
      </c>
      <c r="J61" s="5"/>
      <c r="K61" s="108"/>
      <c r="S61" s="117"/>
      <c r="T61" s="135"/>
      <c r="U61" s="135"/>
      <c r="V61" s="135"/>
      <c r="W61" s="135"/>
      <c r="X61" s="126"/>
      <c r="Y61" s="125"/>
    </row>
    <row r="62" spans="1:25" x14ac:dyDescent="0.3">
      <c r="A62" s="176"/>
      <c r="B62" s="173"/>
      <c r="C62" s="173"/>
      <c r="D62" s="33"/>
      <c r="E62" s="33"/>
      <c r="F62" s="33" t="s">
        <v>268</v>
      </c>
      <c r="G62" s="309" t="s">
        <v>171</v>
      </c>
      <c r="H62" s="5"/>
      <c r="I62" s="5"/>
      <c r="J62" s="5"/>
      <c r="K62" s="108"/>
      <c r="S62" s="117"/>
      <c r="T62" s="135"/>
      <c r="U62" s="135"/>
      <c r="V62" s="135"/>
      <c r="W62" s="135"/>
      <c r="X62" s="135"/>
      <c r="Y62" s="118"/>
    </row>
    <row r="63" spans="1:25" x14ac:dyDescent="0.3">
      <c r="A63" s="156"/>
      <c r="B63" s="173"/>
      <c r="C63" s="173"/>
      <c r="D63" s="173"/>
      <c r="E63" s="173"/>
      <c r="F63" s="173"/>
      <c r="G63" s="5"/>
      <c r="H63" s="5"/>
      <c r="I63" s="5"/>
      <c r="J63" s="5"/>
      <c r="K63" s="108"/>
      <c r="S63" s="117"/>
      <c r="T63" s="135"/>
      <c r="U63" s="135"/>
      <c r="V63" s="135"/>
      <c r="W63" s="135"/>
      <c r="X63" s="135"/>
      <c r="Y63" s="118"/>
    </row>
    <row r="64" spans="1:25" ht="15" thickBot="1" x14ac:dyDescent="0.35">
      <c r="A64" s="176"/>
      <c r="B64" s="173"/>
      <c r="C64" s="173" t="s">
        <v>12</v>
      </c>
      <c r="D64" s="173" t="s">
        <v>13</v>
      </c>
      <c r="E64" s="173" t="s">
        <v>14</v>
      </c>
      <c r="F64" s="173" t="s">
        <v>15</v>
      </c>
      <c r="G64" s="5" t="s">
        <v>24</v>
      </c>
      <c r="H64" s="5" t="s">
        <v>25</v>
      </c>
      <c r="I64" s="5" t="s">
        <v>26</v>
      </c>
      <c r="J64" s="5" t="s">
        <v>27</v>
      </c>
      <c r="K64" s="108"/>
      <c r="S64" s="117"/>
      <c r="T64" s="135"/>
      <c r="U64" s="135"/>
      <c r="V64" s="135"/>
      <c r="W64" s="135"/>
      <c r="X64" s="126"/>
      <c r="Y64" s="125"/>
    </row>
    <row r="65" spans="1:25" x14ac:dyDescent="0.3">
      <c r="A65" s="176"/>
      <c r="B65" s="14" t="s">
        <v>18</v>
      </c>
      <c r="C65" s="360">
        <f>COUNTIF($S$55:$T$58,"Uruguay")</f>
        <v>2</v>
      </c>
      <c r="D65" s="124">
        <f>SUMPRODUCT(($S$55:$T$58=B65)*($X$55:$Y$58=3))</f>
        <v>2</v>
      </c>
      <c r="E65" s="124">
        <f>SUMPRODUCT(($S$55:$T$58=B65)*($X$55:$Y$58=1))</f>
        <v>0</v>
      </c>
      <c r="F65" s="124">
        <f>SUMPRODUCT(($S$55:$T$58=B65)*($X$55:$Y$58=2))</f>
        <v>0</v>
      </c>
      <c r="G65" s="124">
        <f>SUMPRODUCT(($S$55:$S$58=B65)*($U$55:$U$58))+SUMPRODUCT(($T$55:$T$58=B65)*($V$55:$V$58))</f>
        <v>9</v>
      </c>
      <c r="H65" s="124">
        <f>SUMPRODUCT(($S$55:$S$58=B65)*($V$55:$V$58))+SUMPRODUCT(($T$55:$T$58=B65)*($U$55:$U$58))</f>
        <v>0</v>
      </c>
      <c r="I65" s="15">
        <f>(D65*2)+E65</f>
        <v>4</v>
      </c>
      <c r="J65" s="16">
        <f>(F65*2)+E65</f>
        <v>0</v>
      </c>
      <c r="K65" s="108"/>
      <c r="S65" s="117"/>
      <c r="T65" s="135"/>
      <c r="U65" s="135"/>
      <c r="V65" s="135"/>
      <c r="W65" s="135"/>
      <c r="X65" s="126"/>
      <c r="Y65" s="125"/>
    </row>
    <row r="66" spans="1:25" x14ac:dyDescent="0.3">
      <c r="A66" s="176"/>
      <c r="B66" s="3" t="s">
        <v>45</v>
      </c>
      <c r="C66" s="359">
        <f>COUNTIF($S$55:$T$58,"CSSR")</f>
        <v>2</v>
      </c>
      <c r="D66" s="43">
        <f t="shared" ref="D66:D68" si="14">SUMPRODUCT(($S$55:$T$58=B66)*($X$55:$Y$58=3))</f>
        <v>0</v>
      </c>
      <c r="E66" s="43">
        <f t="shared" ref="E66:E68" si="15">SUMPRODUCT(($S$55:$T$58=B66)*($X$55:$Y$58=1))</f>
        <v>0</v>
      </c>
      <c r="F66" s="43">
        <f t="shared" ref="F66:F68" si="16">SUMPRODUCT(($S$55:$T$58=B66)*($X$55:$Y$58=2))</f>
        <v>2</v>
      </c>
      <c r="G66" s="43">
        <f t="shared" ref="G66:G68" si="17">SUMPRODUCT(($S$55:$S$58=B66)*($U$55:$U$58))+SUMPRODUCT(($T$55:$T$58=B66)*($V$55:$V$58))</f>
        <v>0</v>
      </c>
      <c r="H66" s="43">
        <f t="shared" ref="H66:H68" si="18">SUMPRODUCT(($S$55:$S$58=B66)*($V$55:$V$58))+SUMPRODUCT(($T$55:$T$58=B66)*($U$55:$U$58))</f>
        <v>7</v>
      </c>
      <c r="I66" s="18">
        <f t="shared" ref="I66:I68" si="19">(D66*2)+E66</f>
        <v>0</v>
      </c>
      <c r="J66" s="22">
        <f t="shared" ref="J66:J68" si="20">(F66*2)+E66</f>
        <v>4</v>
      </c>
      <c r="K66" s="108"/>
      <c r="S66" s="117"/>
      <c r="T66" s="135"/>
      <c r="U66" s="135"/>
      <c r="V66" s="135"/>
      <c r="W66" s="135"/>
      <c r="X66" s="126"/>
      <c r="Y66" s="125"/>
    </row>
    <row r="67" spans="1:25" x14ac:dyDescent="0.3">
      <c r="A67" s="176"/>
      <c r="B67" s="3" t="s">
        <v>29</v>
      </c>
      <c r="C67" s="359">
        <f>COUNTIF($S$55:$T$58,"Österreich")</f>
        <v>2</v>
      </c>
      <c r="D67" s="43">
        <f t="shared" si="14"/>
        <v>2</v>
      </c>
      <c r="E67" s="43">
        <f t="shared" si="15"/>
        <v>0</v>
      </c>
      <c r="F67" s="43">
        <f t="shared" si="16"/>
        <v>0</v>
      </c>
      <c r="G67" s="43">
        <f t="shared" si="17"/>
        <v>6</v>
      </c>
      <c r="H67" s="43">
        <f t="shared" si="18"/>
        <v>0</v>
      </c>
      <c r="I67" s="18">
        <f t="shared" si="19"/>
        <v>4</v>
      </c>
      <c r="J67" s="22">
        <f t="shared" si="20"/>
        <v>0</v>
      </c>
      <c r="K67" s="108"/>
      <c r="S67" s="117"/>
      <c r="T67" s="135"/>
      <c r="U67" s="135"/>
      <c r="V67" s="135"/>
      <c r="W67" s="135"/>
      <c r="X67" s="126"/>
      <c r="Y67" s="125"/>
    </row>
    <row r="68" spans="1:25" ht="15" thickBot="1" x14ac:dyDescent="0.35">
      <c r="A68" s="176"/>
      <c r="B68" s="7" t="s">
        <v>81</v>
      </c>
      <c r="C68" s="362">
        <f>COUNTIF($S$55:$T$58,"Schottland")</f>
        <v>2</v>
      </c>
      <c r="D68" s="80">
        <f t="shared" si="14"/>
        <v>0</v>
      </c>
      <c r="E68" s="80">
        <f t="shared" si="15"/>
        <v>0</v>
      </c>
      <c r="F68" s="80">
        <f t="shared" si="16"/>
        <v>2</v>
      </c>
      <c r="G68" s="80">
        <f t="shared" si="17"/>
        <v>0</v>
      </c>
      <c r="H68" s="80">
        <f t="shared" si="18"/>
        <v>8</v>
      </c>
      <c r="I68" s="31">
        <f t="shared" si="19"/>
        <v>0</v>
      </c>
      <c r="J68" s="32">
        <f t="shared" si="20"/>
        <v>4</v>
      </c>
      <c r="K68" s="108"/>
      <c r="S68" s="117"/>
      <c r="T68" s="135"/>
      <c r="U68" s="135"/>
      <c r="V68" s="135"/>
      <c r="W68" s="135"/>
      <c r="X68" s="126"/>
      <c r="Y68" s="125"/>
    </row>
    <row r="69" spans="1:25" ht="15" thickBot="1" x14ac:dyDescent="0.35">
      <c r="A69" s="110"/>
      <c r="B69" s="36"/>
      <c r="C69" s="36"/>
      <c r="D69" s="36"/>
      <c r="E69" s="36"/>
      <c r="F69" s="36"/>
      <c r="G69" s="37"/>
      <c r="H69" s="37"/>
      <c r="I69" s="37"/>
      <c r="J69" s="37"/>
      <c r="K69" s="193"/>
      <c r="S69" s="117"/>
      <c r="T69" s="135"/>
      <c r="U69" s="135"/>
      <c r="V69" s="135"/>
      <c r="W69" s="135"/>
      <c r="X69" s="126"/>
      <c r="Y69" s="125"/>
    </row>
    <row r="70" spans="1:25" ht="15" thickTop="1" x14ac:dyDescent="0.3">
      <c r="A70" s="176"/>
      <c r="B70" s="173"/>
      <c r="C70" s="173"/>
      <c r="D70" s="173"/>
      <c r="E70" s="173"/>
      <c r="F70" s="173"/>
      <c r="G70" s="5"/>
      <c r="H70" s="5"/>
      <c r="I70" s="5"/>
      <c r="J70" s="5"/>
      <c r="K70" s="108"/>
      <c r="S70" s="117"/>
      <c r="T70" s="135"/>
      <c r="U70" s="135"/>
      <c r="V70" s="135"/>
      <c r="W70" s="135"/>
      <c r="X70" s="135"/>
      <c r="Y70" s="118"/>
    </row>
    <row r="71" spans="1:25" ht="21" x14ac:dyDescent="0.4">
      <c r="A71" s="176"/>
      <c r="B71" s="173"/>
      <c r="C71" s="173"/>
      <c r="D71" s="173"/>
      <c r="E71" s="173"/>
      <c r="F71" s="172" t="s">
        <v>19</v>
      </c>
      <c r="G71" s="5"/>
      <c r="H71" s="5"/>
      <c r="I71" s="5"/>
      <c r="J71" s="5"/>
      <c r="K71" s="108"/>
      <c r="S71" s="117"/>
      <c r="T71" s="135"/>
      <c r="U71" s="135"/>
      <c r="V71" s="135"/>
      <c r="W71" s="135"/>
      <c r="X71" s="126"/>
      <c r="Y71" s="125"/>
    </row>
    <row r="72" spans="1:25" x14ac:dyDescent="0.3">
      <c r="A72" s="176"/>
      <c r="B72" s="173"/>
      <c r="C72" s="173"/>
      <c r="D72" s="173"/>
      <c r="E72" s="173"/>
      <c r="F72" s="173"/>
      <c r="G72" s="5"/>
      <c r="H72" s="5"/>
      <c r="I72" s="5"/>
      <c r="J72" s="5"/>
      <c r="K72" s="108"/>
      <c r="S72" s="117"/>
      <c r="T72" s="135"/>
      <c r="U72" s="135"/>
      <c r="V72" s="135"/>
      <c r="W72" s="135"/>
      <c r="X72" s="126"/>
      <c r="Y72" s="125"/>
    </row>
    <row r="73" spans="1:25" x14ac:dyDescent="0.3">
      <c r="A73" s="176"/>
      <c r="B73" s="173"/>
      <c r="C73" s="40">
        <v>19892</v>
      </c>
      <c r="D73" s="33" t="s">
        <v>37</v>
      </c>
      <c r="E73" s="33" t="s">
        <v>43</v>
      </c>
      <c r="F73" s="33">
        <v>1</v>
      </c>
      <c r="G73" s="33">
        <v>2</v>
      </c>
      <c r="H73" s="33"/>
      <c r="I73" s="5" t="s">
        <v>86</v>
      </c>
      <c r="J73" s="5"/>
      <c r="K73" s="108"/>
      <c r="S73" s="117" t="s">
        <v>37</v>
      </c>
      <c r="T73" s="135" t="s">
        <v>43</v>
      </c>
      <c r="U73" s="135">
        <v>1</v>
      </c>
      <c r="V73" s="135">
        <v>2</v>
      </c>
      <c r="W73" s="135"/>
      <c r="X73" s="126">
        <f t="shared" ref="X73:X76" si="21">(IF(U73&gt;V73,3,IF(U73=V73,1,2)))</f>
        <v>2</v>
      </c>
      <c r="Y73" s="125">
        <f t="shared" ref="Y73:Y76" si="22">(IF(V73&gt;U73,3,IF(U73=V73,1,2)))</f>
        <v>3</v>
      </c>
    </row>
    <row r="74" spans="1:25" ht="15" thickBot="1" x14ac:dyDescent="0.35">
      <c r="A74" s="176"/>
      <c r="B74" s="173"/>
      <c r="C74" s="58"/>
      <c r="D74" s="59"/>
      <c r="E74" s="59"/>
      <c r="F74" s="59" t="s">
        <v>172</v>
      </c>
      <c r="G74" s="59" t="s">
        <v>183</v>
      </c>
      <c r="H74" s="59"/>
      <c r="I74" s="8"/>
      <c r="J74" s="5"/>
      <c r="K74" s="108"/>
      <c r="S74" s="117" t="s">
        <v>74</v>
      </c>
      <c r="T74" s="135" t="s">
        <v>21</v>
      </c>
      <c r="U74" s="135">
        <v>4</v>
      </c>
      <c r="V74" s="135">
        <v>4</v>
      </c>
      <c r="W74" s="135"/>
      <c r="X74" s="126">
        <f t="shared" si="21"/>
        <v>1</v>
      </c>
      <c r="Y74" s="125">
        <f t="shared" si="22"/>
        <v>1</v>
      </c>
    </row>
    <row r="75" spans="1:25" x14ac:dyDescent="0.3">
      <c r="A75" s="176"/>
      <c r="B75" s="173"/>
      <c r="C75" s="40">
        <v>19892</v>
      </c>
      <c r="D75" s="33" t="s">
        <v>74</v>
      </c>
      <c r="E75" s="33" t="s">
        <v>21</v>
      </c>
      <c r="F75" s="33">
        <v>4</v>
      </c>
      <c r="G75" s="33">
        <v>4</v>
      </c>
      <c r="H75" s="33" t="s">
        <v>30</v>
      </c>
      <c r="I75" s="5" t="s">
        <v>92</v>
      </c>
      <c r="J75" s="5"/>
      <c r="K75" s="108"/>
      <c r="S75" s="117" t="s">
        <v>37</v>
      </c>
      <c r="T75" s="135" t="s">
        <v>21</v>
      </c>
      <c r="U75" s="135">
        <v>4</v>
      </c>
      <c r="V75" s="135">
        <v>1</v>
      </c>
      <c r="W75" s="135"/>
      <c r="X75" s="126">
        <f t="shared" si="21"/>
        <v>3</v>
      </c>
      <c r="Y75" s="125">
        <f t="shared" si="22"/>
        <v>2</v>
      </c>
    </row>
    <row r="76" spans="1:25" x14ac:dyDescent="0.3">
      <c r="A76" s="176"/>
      <c r="B76" s="173"/>
      <c r="C76" s="40"/>
      <c r="D76" s="33"/>
      <c r="E76" s="33"/>
      <c r="F76" s="33">
        <v>3</v>
      </c>
      <c r="G76" s="33">
        <v>3</v>
      </c>
      <c r="H76" s="33"/>
      <c r="I76" s="5"/>
      <c r="J76" s="5"/>
      <c r="K76" s="108"/>
      <c r="S76" s="117" t="s">
        <v>74</v>
      </c>
      <c r="T76" s="135" t="s">
        <v>43</v>
      </c>
      <c r="U76" s="135">
        <v>2</v>
      </c>
      <c r="V76" s="135">
        <v>0</v>
      </c>
      <c r="W76" s="135"/>
      <c r="X76" s="126">
        <f t="shared" si="21"/>
        <v>3</v>
      </c>
      <c r="Y76" s="125">
        <f t="shared" si="22"/>
        <v>2</v>
      </c>
    </row>
    <row r="77" spans="1:25" ht="15" thickBot="1" x14ac:dyDescent="0.35">
      <c r="A77" s="176"/>
      <c r="B77" s="173"/>
      <c r="C77" s="58"/>
      <c r="D77" s="59"/>
      <c r="E77" s="59"/>
      <c r="F77" s="59" t="s">
        <v>215</v>
      </c>
      <c r="G77" s="59" t="s">
        <v>183</v>
      </c>
      <c r="H77" s="59"/>
      <c r="I77" s="8"/>
      <c r="J77" s="5"/>
      <c r="K77" s="108"/>
      <c r="S77" s="117"/>
      <c r="T77" s="135"/>
      <c r="U77" s="135"/>
      <c r="V77" s="135"/>
      <c r="W77" s="135"/>
      <c r="X77" s="135"/>
      <c r="Y77" s="118"/>
    </row>
    <row r="78" spans="1:25" x14ac:dyDescent="0.3">
      <c r="A78" s="176"/>
      <c r="B78" s="173"/>
      <c r="C78" s="40">
        <v>19895</v>
      </c>
      <c r="D78" s="33" t="s">
        <v>37</v>
      </c>
      <c r="E78" s="33" t="s">
        <v>21</v>
      </c>
      <c r="F78" s="33">
        <v>4</v>
      </c>
      <c r="G78" s="33">
        <v>1</v>
      </c>
      <c r="H78" s="33"/>
      <c r="I78" s="5" t="s">
        <v>93</v>
      </c>
      <c r="J78" s="5"/>
      <c r="K78" s="108"/>
      <c r="S78" s="117"/>
      <c r="T78" s="135"/>
      <c r="U78" s="135"/>
      <c r="V78" s="135"/>
      <c r="W78" s="135"/>
      <c r="X78" s="135"/>
      <c r="Y78" s="118"/>
    </row>
    <row r="79" spans="1:25" ht="15" thickBot="1" x14ac:dyDescent="0.35">
      <c r="A79" s="176"/>
      <c r="B79" s="173"/>
      <c r="C79" s="58"/>
      <c r="D79" s="59"/>
      <c r="E79" s="59"/>
      <c r="F79" s="59" t="s">
        <v>172</v>
      </c>
      <c r="G79" s="59" t="s">
        <v>171</v>
      </c>
      <c r="H79" s="59"/>
      <c r="I79" s="8"/>
      <c r="J79" s="5"/>
      <c r="K79" s="108"/>
      <c r="S79" s="117"/>
      <c r="T79" s="135"/>
      <c r="U79" s="135"/>
      <c r="V79" s="135"/>
      <c r="W79" s="135"/>
      <c r="X79" s="126"/>
      <c r="Y79" s="125"/>
    </row>
    <row r="80" spans="1:25" x14ac:dyDescent="0.3">
      <c r="A80" s="176"/>
      <c r="B80" s="173"/>
      <c r="C80" s="40">
        <v>19895</v>
      </c>
      <c r="D80" s="33" t="s">
        <v>74</v>
      </c>
      <c r="E80" s="33" t="s">
        <v>43</v>
      </c>
      <c r="F80" s="33">
        <v>2</v>
      </c>
      <c r="G80" s="33">
        <v>0</v>
      </c>
      <c r="H80" s="33"/>
      <c r="I80" s="5" t="s">
        <v>89</v>
      </c>
      <c r="J80" s="5"/>
      <c r="K80" s="108"/>
      <c r="S80" s="117"/>
      <c r="T80" s="135"/>
      <c r="U80" s="135"/>
      <c r="V80" s="135"/>
      <c r="W80" s="135"/>
      <c r="X80" s="135"/>
      <c r="Y80" s="118"/>
    </row>
    <row r="81" spans="1:25" x14ac:dyDescent="0.3">
      <c r="A81" s="176"/>
      <c r="B81" s="173"/>
      <c r="C81" s="173"/>
      <c r="D81" s="33"/>
      <c r="E81" s="33"/>
      <c r="F81" s="33" t="s">
        <v>172</v>
      </c>
      <c r="G81" s="309" t="s">
        <v>171</v>
      </c>
      <c r="H81" s="309"/>
      <c r="I81" s="5"/>
      <c r="J81" s="5"/>
      <c r="K81" s="108"/>
      <c r="S81" s="117"/>
      <c r="T81" s="135"/>
      <c r="U81" s="135"/>
      <c r="V81" s="135"/>
      <c r="W81" s="135"/>
      <c r="X81" s="126"/>
      <c r="Y81" s="125"/>
    </row>
    <row r="82" spans="1:25" x14ac:dyDescent="0.3">
      <c r="A82" s="176"/>
      <c r="B82" s="173"/>
      <c r="C82" s="173"/>
      <c r="D82" s="173"/>
      <c r="E82" s="173"/>
      <c r="F82" s="173"/>
      <c r="G82" s="5"/>
      <c r="H82" s="5"/>
      <c r="I82" s="5"/>
      <c r="J82" s="5"/>
      <c r="K82" s="108"/>
      <c r="S82" s="117"/>
      <c r="T82" s="135"/>
      <c r="U82" s="135"/>
      <c r="V82" s="135"/>
      <c r="W82" s="135"/>
      <c r="X82" s="126"/>
      <c r="Y82" s="125"/>
    </row>
    <row r="83" spans="1:25" x14ac:dyDescent="0.3">
      <c r="A83" s="176"/>
      <c r="B83" s="173"/>
      <c r="C83" s="173"/>
      <c r="D83" s="173"/>
      <c r="E83" s="173"/>
      <c r="F83" s="173"/>
      <c r="G83" s="5"/>
      <c r="H83" s="5"/>
      <c r="I83" s="5"/>
      <c r="J83" s="5"/>
      <c r="K83" s="108"/>
      <c r="S83" s="117"/>
      <c r="T83" s="135"/>
      <c r="U83" s="135"/>
      <c r="V83" s="135"/>
      <c r="W83" s="135"/>
      <c r="X83" s="135"/>
      <c r="Y83" s="118"/>
    </row>
    <row r="84" spans="1:25" ht="21" x14ac:dyDescent="0.4">
      <c r="A84" s="176"/>
      <c r="B84" s="173"/>
      <c r="C84" s="173"/>
      <c r="D84" s="173"/>
      <c r="E84" s="173"/>
      <c r="F84" s="172" t="s">
        <v>279</v>
      </c>
      <c r="G84" s="5"/>
      <c r="H84" s="5"/>
      <c r="I84" s="5"/>
      <c r="J84" s="5"/>
      <c r="K84" s="108"/>
      <c r="S84" s="117"/>
      <c r="T84" s="135"/>
      <c r="U84" s="135"/>
      <c r="V84" s="135"/>
      <c r="W84" s="135"/>
      <c r="X84" s="126"/>
      <c r="Y84" s="125"/>
    </row>
    <row r="85" spans="1:25" ht="14.4" customHeight="1" x14ac:dyDescent="0.4">
      <c r="A85" s="176"/>
      <c r="B85" s="173"/>
      <c r="C85" s="173"/>
      <c r="D85" s="173"/>
      <c r="E85" s="173"/>
      <c r="F85" s="172"/>
      <c r="G85" s="5"/>
      <c r="H85" s="5"/>
      <c r="I85" s="5"/>
      <c r="J85" s="5"/>
      <c r="K85" s="108"/>
      <c r="S85" s="117"/>
      <c r="T85" s="135"/>
      <c r="U85" s="135"/>
      <c r="V85" s="135"/>
      <c r="W85" s="135"/>
      <c r="X85" s="126"/>
      <c r="Y85" s="125"/>
    </row>
    <row r="86" spans="1:25" ht="14.4" customHeight="1" x14ac:dyDescent="0.3">
      <c r="A86" s="176"/>
      <c r="B86" s="173"/>
      <c r="C86" s="40">
        <v>19898</v>
      </c>
      <c r="D86" s="17" t="s">
        <v>37</v>
      </c>
      <c r="E86" s="66" t="s">
        <v>43</v>
      </c>
      <c r="F86" s="17">
        <v>1</v>
      </c>
      <c r="G86" s="66">
        <v>4</v>
      </c>
      <c r="H86" s="173"/>
      <c r="I86" s="5" t="s">
        <v>92</v>
      </c>
      <c r="J86" s="5"/>
      <c r="K86" s="108"/>
      <c r="S86" s="117" t="s">
        <v>37</v>
      </c>
      <c r="T86" s="135" t="s">
        <v>43</v>
      </c>
      <c r="U86" s="135">
        <v>1</v>
      </c>
      <c r="V86" s="135">
        <v>4</v>
      </c>
      <c r="W86" s="135"/>
      <c r="X86" s="126">
        <f t="shared" ref="X86" si="23">(IF(U86&gt;V86,3,IF(U86=V86,1,2)))</f>
        <v>2</v>
      </c>
      <c r="Y86" s="125">
        <f t="shared" ref="Y86" si="24">(IF(V86&gt;U86,3,IF(U86=V86,1,2)))</f>
        <v>3</v>
      </c>
    </row>
    <row r="87" spans="1:25" ht="14.4" customHeight="1" x14ac:dyDescent="0.3">
      <c r="A87" s="176"/>
      <c r="B87" s="173"/>
      <c r="C87" s="40"/>
      <c r="D87" s="17"/>
      <c r="E87" s="17"/>
      <c r="F87" s="17" t="s">
        <v>170</v>
      </c>
      <c r="G87" s="17" t="s">
        <v>183</v>
      </c>
      <c r="H87" s="173"/>
      <c r="I87" s="5"/>
      <c r="J87" s="5"/>
      <c r="K87" s="108"/>
      <c r="S87" s="122"/>
      <c r="T87" s="17"/>
      <c r="U87" s="17"/>
      <c r="V87" s="17"/>
      <c r="W87" s="17"/>
      <c r="X87" s="126"/>
      <c r="Y87" s="125"/>
    </row>
    <row r="88" spans="1:25" ht="14.4" customHeight="1" x14ac:dyDescent="0.4">
      <c r="A88" s="176"/>
      <c r="B88" s="173"/>
      <c r="C88" s="173"/>
      <c r="D88" s="173"/>
      <c r="E88" s="173"/>
      <c r="F88" s="175"/>
      <c r="G88" s="5"/>
      <c r="H88" s="5"/>
      <c r="I88" s="5"/>
      <c r="J88" s="5"/>
      <c r="K88" s="108"/>
      <c r="S88" s="122"/>
      <c r="T88" s="17"/>
      <c r="U88" s="17"/>
      <c r="V88" s="17"/>
      <c r="W88" s="17"/>
      <c r="X88" s="126"/>
      <c r="Y88" s="125"/>
    </row>
    <row r="89" spans="1:25" ht="15" thickBot="1" x14ac:dyDescent="0.35">
      <c r="A89" s="176"/>
      <c r="B89" s="173"/>
      <c r="C89" s="173" t="s">
        <v>12</v>
      </c>
      <c r="D89" s="173" t="s">
        <v>13</v>
      </c>
      <c r="E89" s="173" t="s">
        <v>14</v>
      </c>
      <c r="F89" s="173" t="s">
        <v>15</v>
      </c>
      <c r="G89" s="5" t="s">
        <v>24</v>
      </c>
      <c r="H89" s="5" t="s">
        <v>25</v>
      </c>
      <c r="I89" s="5" t="s">
        <v>26</v>
      </c>
      <c r="J89" s="5" t="s">
        <v>27</v>
      </c>
      <c r="K89" s="108"/>
      <c r="S89" s="122"/>
      <c r="T89" s="17"/>
      <c r="U89" s="17"/>
      <c r="V89" s="17"/>
      <c r="W89" s="17"/>
      <c r="X89" s="126"/>
      <c r="Y89" s="125"/>
    </row>
    <row r="90" spans="1:25" x14ac:dyDescent="0.3">
      <c r="A90" s="176"/>
      <c r="B90" s="19" t="s">
        <v>43</v>
      </c>
      <c r="C90" s="360">
        <f>COUNTIF($S$73:$T$86,"Schweiz")</f>
        <v>3</v>
      </c>
      <c r="D90" s="124">
        <f>SUMPRODUCT(($S$73:$T$86=B90)*($X$73:$Y$86=3))</f>
        <v>2</v>
      </c>
      <c r="E90" s="124">
        <f>SUMPRODUCT(($S$73:$T$86=B90)*($X$73:$Y$86=1))</f>
        <v>0</v>
      </c>
      <c r="F90" s="124">
        <f>SUMPRODUCT(($S$73:$T$86=B90)*($X$73:$Y$86=2))</f>
        <v>1</v>
      </c>
      <c r="G90" s="124">
        <f>SUMPRODUCT(($S$73:$S$86=B90)*($U$73:$U$86))+SUMPRODUCT(($T$73:$T$86=B90)*($V$73:$V$86))</f>
        <v>6</v>
      </c>
      <c r="H90" s="124">
        <f>SUMPRODUCT(($S$73:$S$86=B90)*($V$73:$V$86))+SUMPRODUCT(($T$73:$T$86=B90)*($U$73:$U$86))</f>
        <v>4</v>
      </c>
      <c r="I90" s="15">
        <f>(D90*2)+E90</f>
        <v>4</v>
      </c>
      <c r="J90" s="16">
        <f>(F90*2)+E90</f>
        <v>2</v>
      </c>
      <c r="K90" s="108"/>
      <c r="S90" s="117"/>
      <c r="T90" s="135"/>
      <c r="U90" s="135"/>
      <c r="V90" s="135"/>
      <c r="W90" s="135"/>
      <c r="X90" s="135"/>
      <c r="Y90" s="118"/>
    </row>
    <row r="91" spans="1:25" x14ac:dyDescent="0.3">
      <c r="A91" s="176"/>
      <c r="B91" s="3" t="s">
        <v>74</v>
      </c>
      <c r="C91" s="359">
        <f>COUNTIF($S$73:$T$86,"England")</f>
        <v>2</v>
      </c>
      <c r="D91" s="43">
        <f>SUMPRODUCT(($S$73:$T$86=B91)*($X$73:$Y$86=3))</f>
        <v>1</v>
      </c>
      <c r="E91" s="43">
        <f>SUMPRODUCT(($S$73:$T$86=B91)*($X$73:$Y$86=1))</f>
        <v>1</v>
      </c>
      <c r="F91" s="43">
        <f>SUMPRODUCT(($S$73:$T$86=B91)*($X$73:$Y$86=2))</f>
        <v>0</v>
      </c>
      <c r="G91" s="43">
        <f>SUMPRODUCT(($S$73:$S$86=B91)*($U$73:$U$86))+SUMPRODUCT(($T$73:$T$86=B91)*($V$73:$V$86))</f>
        <v>6</v>
      </c>
      <c r="H91" s="43">
        <f>SUMPRODUCT(($S$73:$S$86=B91)*($V$73:$V$86))+SUMPRODUCT(($T$73:$T$86=B91)*($U$73:$U$86))</f>
        <v>4</v>
      </c>
      <c r="I91" s="18">
        <f>(D91*2)+E91</f>
        <v>3</v>
      </c>
      <c r="J91" s="22">
        <f>(F91*2)+E91</f>
        <v>1</v>
      </c>
      <c r="K91" s="108"/>
      <c r="S91" s="122"/>
      <c r="T91" s="17"/>
      <c r="U91" s="17"/>
      <c r="V91" s="17"/>
      <c r="W91" s="17"/>
      <c r="X91" s="17"/>
      <c r="Y91" s="123"/>
    </row>
    <row r="92" spans="1:25" x14ac:dyDescent="0.3">
      <c r="A92" s="176"/>
      <c r="B92" s="21" t="s">
        <v>37</v>
      </c>
      <c r="C92" s="359">
        <f>COUNTIF($S$73:$T$86,"Italien")</f>
        <v>3</v>
      </c>
      <c r="D92" s="43">
        <f>SUMPRODUCT(($S$73:$T$86=B92)*($X$73:$Y$86=3))</f>
        <v>1</v>
      </c>
      <c r="E92" s="43">
        <f>SUMPRODUCT(($S$73:$T$86=B92)*($X$73:$Y$86=1))</f>
        <v>0</v>
      </c>
      <c r="F92" s="43">
        <f>SUMPRODUCT(($S$73:$T$86=B92)*($X$73:$Y$86=2))</f>
        <v>2</v>
      </c>
      <c r="G92" s="43">
        <f>SUMPRODUCT(($S$73:$S$86=B92)*($U$73:$U$86))+SUMPRODUCT(($T$73:$T$86=B92)*($V$73:$V$86))</f>
        <v>6</v>
      </c>
      <c r="H92" s="43">
        <f>SUMPRODUCT(($S$73:$S$86=B92)*($V$73:$V$86))+SUMPRODUCT(($T$73:$T$86=B92)*($U$73:$U$86))</f>
        <v>7</v>
      </c>
      <c r="I92" s="18">
        <f>(D92*2)+E92</f>
        <v>2</v>
      </c>
      <c r="J92" s="22">
        <f>(F92*2)+E92</f>
        <v>4</v>
      </c>
      <c r="K92" s="108"/>
      <c r="S92" s="117"/>
      <c r="T92" s="138"/>
      <c r="U92" s="138"/>
      <c r="V92" s="138"/>
      <c r="W92" s="138"/>
      <c r="X92" s="138"/>
      <c r="Y92" s="118"/>
    </row>
    <row r="93" spans="1:25" ht="15" thickBot="1" x14ac:dyDescent="0.35">
      <c r="A93" s="176"/>
      <c r="B93" s="7" t="s">
        <v>21</v>
      </c>
      <c r="C93" s="362">
        <f>COUNTIF($S$73:$T$86,"Belgien")</f>
        <v>2</v>
      </c>
      <c r="D93" s="80">
        <f>SUMPRODUCT(($S$73:$T$86=B93)*($X$73:$Y$86=3))</f>
        <v>0</v>
      </c>
      <c r="E93" s="80">
        <f>SUMPRODUCT(($S$73:$T$86=B93)*($X$73:$Y$86=1))</f>
        <v>1</v>
      </c>
      <c r="F93" s="80">
        <f>SUMPRODUCT(($S$73:$T$86=B93)*($X$73:$Y$86=2))</f>
        <v>1</v>
      </c>
      <c r="G93" s="80">
        <f>SUMPRODUCT(($S$73:$S$86=B93)*($U$73:$U$86))+SUMPRODUCT(($T$73:$T$86=B93)*($V$73:$V$86))</f>
        <v>5</v>
      </c>
      <c r="H93" s="80">
        <f>SUMPRODUCT(($S$73:$S$86=B93)*($V$73:$V$86))+SUMPRODUCT(($T$73:$T$86=B93)*($U$73:$U$86))</f>
        <v>8</v>
      </c>
      <c r="I93" s="31">
        <f>(D93*2)+E93</f>
        <v>1</v>
      </c>
      <c r="J93" s="32">
        <f>(F93*2)+E93</f>
        <v>3</v>
      </c>
      <c r="K93" s="108"/>
      <c r="S93" s="117"/>
      <c r="T93" s="138"/>
      <c r="U93" s="138"/>
      <c r="V93" s="138"/>
      <c r="W93" s="138"/>
      <c r="X93" s="138"/>
      <c r="Y93" s="118"/>
    </row>
    <row r="94" spans="1:25" ht="15" thickBot="1" x14ac:dyDescent="0.35">
      <c r="A94" s="110"/>
      <c r="B94" s="36"/>
      <c r="C94" s="36"/>
      <c r="D94" s="36"/>
      <c r="E94" s="36"/>
      <c r="F94" s="36"/>
      <c r="G94" s="37"/>
      <c r="H94" s="37"/>
      <c r="I94" s="37"/>
      <c r="J94" s="37"/>
      <c r="K94" s="193"/>
      <c r="S94" s="117"/>
      <c r="T94" s="138"/>
      <c r="U94" s="138"/>
      <c r="V94" s="138"/>
      <c r="W94" s="138"/>
      <c r="X94" s="126"/>
      <c r="Y94" s="125"/>
    </row>
    <row r="95" spans="1:25" ht="15" thickTop="1" x14ac:dyDescent="0.3">
      <c r="A95" s="176"/>
      <c r="B95" s="173"/>
      <c r="C95" s="173"/>
      <c r="D95" s="173"/>
      <c r="E95" s="173"/>
      <c r="F95" s="173"/>
      <c r="G95" s="5"/>
      <c r="H95" s="5"/>
      <c r="I95" s="5"/>
      <c r="J95" s="5"/>
      <c r="K95" s="108"/>
      <c r="S95" s="117"/>
      <c r="T95" s="138"/>
      <c r="U95" s="138"/>
      <c r="V95" s="138"/>
      <c r="W95" s="138"/>
      <c r="X95" s="138"/>
      <c r="Y95" s="118"/>
    </row>
    <row r="96" spans="1:25" ht="21" x14ac:dyDescent="0.4">
      <c r="A96" s="176"/>
      <c r="B96" s="173"/>
      <c r="C96" s="173"/>
      <c r="D96" s="173"/>
      <c r="E96" s="173"/>
      <c r="F96" s="172" t="s">
        <v>47</v>
      </c>
      <c r="G96" s="5"/>
      <c r="H96" s="5"/>
      <c r="I96" s="5"/>
      <c r="J96" s="5"/>
      <c r="K96" s="108"/>
      <c r="S96" s="117"/>
      <c r="T96" s="138"/>
      <c r="U96" s="138"/>
      <c r="V96" s="138"/>
      <c r="W96" s="138"/>
      <c r="X96" s="138"/>
      <c r="Y96" s="118"/>
    </row>
    <row r="97" spans="1:25" x14ac:dyDescent="0.3">
      <c r="A97" s="176"/>
      <c r="B97" s="173"/>
      <c r="C97" s="173"/>
      <c r="D97" s="173"/>
      <c r="E97" s="173"/>
      <c r="F97" s="173"/>
      <c r="G97" s="5"/>
      <c r="H97" s="5"/>
      <c r="I97" s="5"/>
      <c r="J97" s="5"/>
      <c r="K97" s="108"/>
      <c r="S97" s="117"/>
      <c r="T97" s="138"/>
      <c r="U97" s="138"/>
      <c r="V97" s="138"/>
      <c r="W97" s="138"/>
      <c r="X97" s="138"/>
      <c r="Y97" s="118"/>
    </row>
    <row r="98" spans="1:25" x14ac:dyDescent="0.3">
      <c r="A98" s="176"/>
      <c r="B98" s="173"/>
      <c r="C98" s="40">
        <v>19901</v>
      </c>
      <c r="D98" s="66" t="s">
        <v>29</v>
      </c>
      <c r="E98" s="66" t="s">
        <v>43</v>
      </c>
      <c r="F98" s="66">
        <v>7</v>
      </c>
      <c r="G98" s="66">
        <v>5</v>
      </c>
      <c r="H98" s="173"/>
      <c r="I98" s="5" t="s">
        <v>86</v>
      </c>
      <c r="J98" s="5"/>
      <c r="K98" s="108"/>
      <c r="S98" s="117" t="s">
        <v>29</v>
      </c>
      <c r="T98" s="138" t="s">
        <v>43</v>
      </c>
      <c r="U98" s="138">
        <v>7</v>
      </c>
      <c r="V98" s="138">
        <v>5</v>
      </c>
      <c r="W98" s="138"/>
      <c r="X98" s="126">
        <f t="shared" ref="X98:X101" si="25">(IF(U98&gt;V98,3,IF(U98=V98,1,2)))</f>
        <v>3</v>
      </c>
      <c r="Y98" s="125">
        <f t="shared" ref="Y98:Y101" si="26">(IF(V98&gt;U98,3,IF(U98=V98,1,2)))</f>
        <v>2</v>
      </c>
    </row>
    <row r="99" spans="1:25" ht="15" thickBot="1" x14ac:dyDescent="0.35">
      <c r="A99" s="176"/>
      <c r="B99" s="173"/>
      <c r="C99" s="58"/>
      <c r="D99" s="367"/>
      <c r="E99" s="367"/>
      <c r="F99" s="367" t="s">
        <v>212</v>
      </c>
      <c r="G99" s="367" t="s">
        <v>213</v>
      </c>
      <c r="H99" s="178"/>
      <c r="I99" s="8"/>
      <c r="J99" s="5"/>
      <c r="K99" s="108"/>
      <c r="S99" s="117" t="s">
        <v>74</v>
      </c>
      <c r="T99" s="138" t="s">
        <v>18</v>
      </c>
      <c r="U99" s="138">
        <v>2</v>
      </c>
      <c r="V99" s="138">
        <v>4</v>
      </c>
      <c r="W99" s="138"/>
      <c r="X99" s="126">
        <f t="shared" si="25"/>
        <v>2</v>
      </c>
      <c r="Y99" s="125">
        <f t="shared" si="26"/>
        <v>3</v>
      </c>
    </row>
    <row r="100" spans="1:25" x14ac:dyDescent="0.3">
      <c r="A100" s="176"/>
      <c r="B100" s="173"/>
      <c r="C100" s="40">
        <v>19901</v>
      </c>
      <c r="D100" s="66" t="s">
        <v>74</v>
      </c>
      <c r="E100" s="66" t="s">
        <v>18</v>
      </c>
      <c r="F100" s="66">
        <v>2</v>
      </c>
      <c r="G100" s="66">
        <v>4</v>
      </c>
      <c r="H100" s="173"/>
      <c r="I100" s="5" t="s">
        <v>92</v>
      </c>
      <c r="J100" s="5"/>
      <c r="K100" s="108"/>
      <c r="S100" s="117" t="s">
        <v>8</v>
      </c>
      <c r="T100" s="138" t="s">
        <v>88</v>
      </c>
      <c r="U100" s="138">
        <v>0</v>
      </c>
      <c r="V100" s="138">
        <v>2</v>
      </c>
      <c r="W100" s="138"/>
      <c r="X100" s="126">
        <f t="shared" si="25"/>
        <v>2</v>
      </c>
      <c r="Y100" s="125">
        <f t="shared" si="26"/>
        <v>3</v>
      </c>
    </row>
    <row r="101" spans="1:25" ht="15" thickBot="1" x14ac:dyDescent="0.35">
      <c r="A101" s="176"/>
      <c r="B101" s="173"/>
      <c r="C101" s="58"/>
      <c r="D101" s="367"/>
      <c r="E101" s="367"/>
      <c r="F101" s="367" t="s">
        <v>172</v>
      </c>
      <c r="G101" s="367" t="s">
        <v>173</v>
      </c>
      <c r="H101" s="178"/>
      <c r="I101" s="8"/>
      <c r="J101" s="5"/>
      <c r="K101" s="108"/>
      <c r="S101" s="117" t="s">
        <v>32</v>
      </c>
      <c r="T101" s="138" t="s">
        <v>9</v>
      </c>
      <c r="U101" s="138">
        <v>4</v>
      </c>
      <c r="V101" s="138">
        <v>2</v>
      </c>
      <c r="W101" s="138"/>
      <c r="X101" s="126">
        <f t="shared" si="25"/>
        <v>3</v>
      </c>
      <c r="Y101" s="125">
        <f t="shared" si="26"/>
        <v>2</v>
      </c>
    </row>
    <row r="102" spans="1:25" x14ac:dyDescent="0.3">
      <c r="A102" s="176"/>
      <c r="B102" s="173"/>
      <c r="C102" s="40">
        <v>19902</v>
      </c>
      <c r="D102" s="66" t="s">
        <v>8</v>
      </c>
      <c r="E102" s="66" t="s">
        <v>88</v>
      </c>
      <c r="F102" s="66">
        <v>0</v>
      </c>
      <c r="G102" s="66">
        <v>2</v>
      </c>
      <c r="H102" s="173"/>
      <c r="I102" s="5" t="s">
        <v>87</v>
      </c>
      <c r="J102" s="5"/>
      <c r="K102" s="108"/>
      <c r="S102" s="122"/>
      <c r="T102" s="17"/>
      <c r="U102" s="17"/>
      <c r="V102" s="17"/>
      <c r="W102" s="17"/>
      <c r="X102" s="17"/>
      <c r="Y102" s="123"/>
    </row>
    <row r="103" spans="1:25" ht="15" thickBot="1" x14ac:dyDescent="0.35">
      <c r="A103" s="176"/>
      <c r="B103" s="173"/>
      <c r="C103" s="58"/>
      <c r="D103" s="367"/>
      <c r="E103" s="367"/>
      <c r="F103" s="367" t="s">
        <v>170</v>
      </c>
      <c r="G103" s="367" t="s">
        <v>183</v>
      </c>
      <c r="H103" s="178"/>
      <c r="I103" s="8"/>
      <c r="J103" s="5"/>
      <c r="K103" s="108"/>
      <c r="S103" s="117"/>
      <c r="T103" s="138"/>
      <c r="U103" s="138"/>
      <c r="V103" s="138"/>
      <c r="W103" s="138"/>
      <c r="X103" s="138"/>
      <c r="Y103" s="118"/>
    </row>
    <row r="104" spans="1:25" s="13" customFormat="1" x14ac:dyDescent="0.3">
      <c r="A104" s="24"/>
      <c r="B104" s="17"/>
      <c r="C104" s="165">
        <v>19902</v>
      </c>
      <c r="D104" s="66" t="s">
        <v>32</v>
      </c>
      <c r="E104" s="66" t="s">
        <v>9</v>
      </c>
      <c r="F104" s="66">
        <v>4</v>
      </c>
      <c r="G104" s="66">
        <v>2</v>
      </c>
      <c r="H104" s="17"/>
      <c r="I104" s="18" t="s">
        <v>89</v>
      </c>
      <c r="J104" s="18"/>
      <c r="K104" s="109"/>
      <c r="S104" s="117"/>
      <c r="T104" s="138"/>
      <c r="U104" s="138"/>
      <c r="V104" s="138"/>
      <c r="W104" s="138"/>
      <c r="X104" s="138"/>
      <c r="Y104" s="118"/>
    </row>
    <row r="105" spans="1:25" s="13" customFormat="1" x14ac:dyDescent="0.3">
      <c r="A105" s="186"/>
      <c r="B105" s="95"/>
      <c r="C105" s="95"/>
      <c r="D105" s="375"/>
      <c r="E105" s="375"/>
      <c r="F105" s="66" t="s">
        <v>215</v>
      </c>
      <c r="G105" s="66" t="s">
        <v>183</v>
      </c>
      <c r="H105" s="18"/>
      <c r="I105" s="18"/>
      <c r="J105" s="18"/>
      <c r="K105" s="109"/>
      <c r="S105" s="117"/>
      <c r="T105" s="138"/>
      <c r="U105" s="138"/>
      <c r="V105" s="138"/>
      <c r="W105" s="138"/>
      <c r="X105" s="138"/>
      <c r="Y105" s="118"/>
    </row>
    <row r="106" spans="1:25" x14ac:dyDescent="0.3">
      <c r="A106" s="156"/>
      <c r="B106" s="173"/>
      <c r="C106" s="173"/>
      <c r="D106" s="66"/>
      <c r="E106" s="66"/>
      <c r="F106" s="66"/>
      <c r="G106" s="94"/>
      <c r="H106" s="5"/>
      <c r="I106" s="5"/>
      <c r="J106" s="5"/>
      <c r="K106" s="108"/>
      <c r="S106" s="117"/>
      <c r="T106" s="138"/>
      <c r="U106" s="138"/>
      <c r="V106" s="138"/>
      <c r="W106" s="138"/>
      <c r="X106" s="138"/>
      <c r="Y106" s="118"/>
    </row>
    <row r="107" spans="1:25" x14ac:dyDescent="0.3">
      <c r="A107" s="156"/>
      <c r="B107" s="173"/>
      <c r="C107" s="173"/>
      <c r="D107" s="66"/>
      <c r="E107" s="66"/>
      <c r="F107" s="66"/>
      <c r="G107" s="94"/>
      <c r="H107" s="5"/>
      <c r="I107" s="5"/>
      <c r="J107" s="5"/>
      <c r="K107" s="108"/>
      <c r="S107" s="122"/>
      <c r="T107" s="17"/>
      <c r="U107" s="17"/>
      <c r="V107" s="17"/>
      <c r="W107" s="17"/>
      <c r="X107" s="17"/>
      <c r="Y107" s="123"/>
    </row>
    <row r="108" spans="1:25" ht="21" x14ac:dyDescent="0.4">
      <c r="A108" s="156"/>
      <c r="B108" s="173"/>
      <c r="C108" s="173"/>
      <c r="D108" s="66"/>
      <c r="E108" s="66"/>
      <c r="F108" s="70" t="s">
        <v>48</v>
      </c>
      <c r="G108" s="94"/>
      <c r="H108" s="5"/>
      <c r="I108" s="5"/>
      <c r="J108" s="5"/>
      <c r="K108" s="108"/>
      <c r="S108" s="117"/>
      <c r="T108" s="138"/>
      <c r="U108" s="138"/>
      <c r="V108" s="138"/>
      <c r="W108" s="138"/>
      <c r="X108" s="138"/>
      <c r="Y108" s="118"/>
    </row>
    <row r="109" spans="1:25" x14ac:dyDescent="0.3">
      <c r="A109" s="156"/>
      <c r="B109" s="173"/>
      <c r="C109" s="173"/>
      <c r="D109" s="66"/>
      <c r="E109" s="66"/>
      <c r="F109" s="66"/>
      <c r="G109" s="94"/>
      <c r="H109" s="5"/>
      <c r="I109" s="5"/>
      <c r="J109" s="5"/>
      <c r="K109" s="108"/>
      <c r="S109" s="117"/>
      <c r="T109" s="138"/>
      <c r="U109" s="138"/>
      <c r="V109" s="138"/>
      <c r="W109" s="138"/>
      <c r="X109" s="138"/>
      <c r="Y109" s="118"/>
    </row>
    <row r="110" spans="1:25" x14ac:dyDescent="0.3">
      <c r="A110" s="176"/>
      <c r="B110" s="173"/>
      <c r="C110" s="40">
        <v>19905</v>
      </c>
      <c r="D110" s="66" t="s">
        <v>29</v>
      </c>
      <c r="E110" s="66" t="s">
        <v>88</v>
      </c>
      <c r="F110" s="66">
        <v>1</v>
      </c>
      <c r="G110" s="66">
        <v>6</v>
      </c>
      <c r="H110" s="173"/>
      <c r="I110" s="5" t="s">
        <v>92</v>
      </c>
      <c r="J110" s="5"/>
      <c r="K110" s="108"/>
      <c r="S110" s="117" t="s">
        <v>29</v>
      </c>
      <c r="T110" s="138" t="s">
        <v>88</v>
      </c>
      <c r="U110" s="138">
        <v>1</v>
      </c>
      <c r="V110" s="138">
        <v>6</v>
      </c>
      <c r="W110" s="138"/>
      <c r="X110" s="126">
        <f t="shared" ref="X110:X111" si="27">(IF(U110&gt;V110,3,IF(U110=V110,1,2)))</f>
        <v>2</v>
      </c>
      <c r="Y110" s="125">
        <f t="shared" ref="Y110:Y111" si="28">(IF(V110&gt;U110,3,IF(U110=V110,1,2)))</f>
        <v>3</v>
      </c>
    </row>
    <row r="111" spans="1:25" ht="15" thickBot="1" x14ac:dyDescent="0.35">
      <c r="A111" s="176"/>
      <c r="B111" s="173"/>
      <c r="C111" s="58"/>
      <c r="D111" s="367"/>
      <c r="E111" s="367"/>
      <c r="F111" s="367" t="s">
        <v>170</v>
      </c>
      <c r="G111" s="367" t="s">
        <v>183</v>
      </c>
      <c r="H111" s="178"/>
      <c r="I111" s="8"/>
      <c r="J111" s="5"/>
      <c r="K111" s="108"/>
      <c r="S111" s="117" t="s">
        <v>18</v>
      </c>
      <c r="T111" s="138" t="s">
        <v>32</v>
      </c>
      <c r="U111" s="138">
        <v>2</v>
      </c>
      <c r="V111" s="138">
        <v>4</v>
      </c>
      <c r="W111" s="138"/>
      <c r="X111" s="126">
        <f t="shared" si="27"/>
        <v>2</v>
      </c>
      <c r="Y111" s="125">
        <f t="shared" si="28"/>
        <v>3</v>
      </c>
    </row>
    <row r="112" spans="1:25" x14ac:dyDescent="0.3">
      <c r="A112" s="176"/>
      <c r="B112" s="173"/>
      <c r="C112" s="40">
        <v>19905</v>
      </c>
      <c r="D112" s="66" t="s">
        <v>18</v>
      </c>
      <c r="E112" s="66" t="s">
        <v>32</v>
      </c>
      <c r="F112" s="66">
        <v>2</v>
      </c>
      <c r="G112" s="66">
        <v>4</v>
      </c>
      <c r="H112" s="173" t="s">
        <v>94</v>
      </c>
      <c r="I112" s="5" t="s">
        <v>86</v>
      </c>
      <c r="J112" s="5"/>
      <c r="K112" s="108"/>
      <c r="S112" s="117"/>
      <c r="T112" s="138"/>
      <c r="U112" s="138"/>
      <c r="V112" s="138"/>
      <c r="W112" s="138"/>
      <c r="X112" s="138"/>
      <c r="Y112" s="118"/>
    </row>
    <row r="113" spans="1:25" x14ac:dyDescent="0.3">
      <c r="A113" s="156"/>
      <c r="B113" s="173"/>
      <c r="C113" s="173"/>
      <c r="D113" s="66"/>
      <c r="E113" s="66"/>
      <c r="F113" s="66">
        <v>2</v>
      </c>
      <c r="G113" s="94">
        <v>2</v>
      </c>
      <c r="H113" s="5"/>
      <c r="I113" s="5"/>
      <c r="J113" s="5"/>
      <c r="K113" s="108"/>
      <c r="S113" s="117"/>
      <c r="T113" s="138"/>
      <c r="U113" s="138"/>
      <c r="V113" s="138"/>
      <c r="W113" s="138"/>
      <c r="X113" s="138"/>
      <c r="Y113" s="118"/>
    </row>
    <row r="114" spans="1:25" x14ac:dyDescent="0.3">
      <c r="A114" s="156"/>
      <c r="B114" s="173"/>
      <c r="C114" s="173"/>
      <c r="D114" s="66"/>
      <c r="E114" s="66"/>
      <c r="F114" s="66" t="s">
        <v>170</v>
      </c>
      <c r="G114" s="94" t="s">
        <v>183</v>
      </c>
      <c r="H114" s="5"/>
      <c r="I114" s="5"/>
      <c r="J114" s="5"/>
      <c r="K114" s="108"/>
      <c r="S114" s="117"/>
      <c r="T114" s="138"/>
      <c r="U114" s="138"/>
      <c r="V114" s="138"/>
      <c r="W114" s="138"/>
      <c r="X114" s="138"/>
      <c r="Y114" s="118"/>
    </row>
    <row r="115" spans="1:25" x14ac:dyDescent="0.3">
      <c r="A115" s="156"/>
      <c r="B115" s="173"/>
      <c r="C115" s="173"/>
      <c r="D115" s="173"/>
      <c r="E115" s="173"/>
      <c r="F115" s="173"/>
      <c r="G115" s="5"/>
      <c r="H115" s="5"/>
      <c r="I115" s="5"/>
      <c r="J115" s="5"/>
      <c r="K115" s="108"/>
      <c r="S115" s="117"/>
      <c r="T115" s="138"/>
      <c r="U115" s="138"/>
      <c r="V115" s="138"/>
      <c r="W115" s="138"/>
      <c r="X115" s="138"/>
      <c r="Y115" s="118"/>
    </row>
    <row r="116" spans="1:25" ht="15" thickBot="1" x14ac:dyDescent="0.35">
      <c r="A116" s="156"/>
      <c r="B116" s="173"/>
      <c r="C116" s="173"/>
      <c r="D116" s="173"/>
      <c r="E116" s="173"/>
      <c r="F116" s="173"/>
      <c r="G116" s="5"/>
      <c r="H116" s="5"/>
      <c r="I116" s="5"/>
      <c r="J116" s="5"/>
      <c r="K116" s="108"/>
      <c r="S116" s="117"/>
      <c r="T116" s="138"/>
      <c r="U116" s="138"/>
      <c r="V116" s="138"/>
      <c r="W116" s="138"/>
      <c r="X116" s="138"/>
      <c r="Y116" s="118"/>
    </row>
    <row r="117" spans="1:25" ht="21" x14ac:dyDescent="0.4">
      <c r="A117" s="156"/>
      <c r="B117" s="173"/>
      <c r="C117" s="420" t="s">
        <v>327</v>
      </c>
      <c r="D117" s="433"/>
      <c r="E117" s="433"/>
      <c r="F117" s="433"/>
      <c r="G117" s="433"/>
      <c r="H117" s="433"/>
      <c r="I117" s="422"/>
      <c r="J117" s="5"/>
      <c r="K117" s="108"/>
      <c r="S117" s="117"/>
      <c r="T117" s="138"/>
      <c r="U117" s="138"/>
      <c r="V117" s="138"/>
      <c r="W117" s="138"/>
      <c r="X117" s="138"/>
      <c r="Y117" s="118"/>
    </row>
    <row r="118" spans="1:25" ht="14.4" customHeight="1" x14ac:dyDescent="0.4">
      <c r="A118" s="156"/>
      <c r="B118" s="359"/>
      <c r="C118" s="364"/>
      <c r="D118" s="359"/>
      <c r="E118" s="359"/>
      <c r="F118" s="359"/>
      <c r="G118" s="359"/>
      <c r="H118" s="359"/>
      <c r="I118" s="361"/>
      <c r="J118" s="5"/>
      <c r="K118" s="108"/>
      <c r="S118" s="117"/>
      <c r="T118" s="359"/>
      <c r="U118" s="359"/>
      <c r="V118" s="359"/>
      <c r="W118" s="359"/>
      <c r="X118" s="359"/>
      <c r="Y118" s="118"/>
    </row>
    <row r="119" spans="1:25" x14ac:dyDescent="0.3">
      <c r="A119" s="156"/>
      <c r="B119" s="173"/>
      <c r="C119" s="3"/>
      <c r="D119" s="33" t="s">
        <v>29</v>
      </c>
      <c r="E119" s="55" t="s">
        <v>18</v>
      </c>
      <c r="F119" s="173">
        <v>3</v>
      </c>
      <c r="G119" s="5">
        <v>1</v>
      </c>
      <c r="I119" s="6"/>
      <c r="J119" s="5"/>
      <c r="K119" s="108"/>
      <c r="S119" s="117" t="s">
        <v>29</v>
      </c>
      <c r="T119" s="138" t="s">
        <v>18</v>
      </c>
      <c r="U119" s="138">
        <v>3</v>
      </c>
      <c r="V119" s="138">
        <v>1</v>
      </c>
      <c r="W119" s="138"/>
      <c r="X119" s="126">
        <f t="shared" ref="X119" si="29">(IF(U119&gt;V119,3,IF(U119=V119,1,2)))</f>
        <v>3</v>
      </c>
      <c r="Y119" s="125">
        <f t="shared" ref="Y119" si="30">(IF(V119&gt;U119,3,IF(U119=V119,1,2)))</f>
        <v>2</v>
      </c>
    </row>
    <row r="120" spans="1:25" x14ac:dyDescent="0.3">
      <c r="A120" s="156"/>
      <c r="B120" s="173"/>
      <c r="C120" s="3"/>
      <c r="D120" s="33"/>
      <c r="E120" s="173"/>
      <c r="F120" s="5" t="s">
        <v>172</v>
      </c>
      <c r="G120" s="5" t="s">
        <v>183</v>
      </c>
      <c r="I120" s="6"/>
      <c r="J120" s="5"/>
      <c r="K120" s="108"/>
      <c r="S120" s="122"/>
      <c r="T120" s="17"/>
      <c r="U120" s="17"/>
      <c r="V120" s="17"/>
      <c r="W120" s="17"/>
      <c r="X120" s="17"/>
      <c r="Y120" s="123"/>
    </row>
    <row r="121" spans="1:25" ht="15" thickBot="1" x14ac:dyDescent="0.35">
      <c r="A121" s="156"/>
      <c r="B121" s="173"/>
      <c r="C121" s="7"/>
      <c r="D121" s="178"/>
      <c r="E121" s="178"/>
      <c r="F121" s="178"/>
      <c r="G121" s="8"/>
      <c r="H121" s="8"/>
      <c r="I121" s="9"/>
      <c r="J121" s="5"/>
      <c r="K121" s="108"/>
      <c r="S121" s="117"/>
      <c r="T121" s="138"/>
      <c r="U121" s="138"/>
      <c r="V121" s="138"/>
      <c r="W121" s="138"/>
      <c r="X121" s="138"/>
      <c r="Y121" s="118"/>
    </row>
    <row r="122" spans="1:25" x14ac:dyDescent="0.3">
      <c r="A122" s="156"/>
      <c r="B122" s="173"/>
      <c r="C122" s="173"/>
      <c r="D122" s="173"/>
      <c r="E122" s="173"/>
      <c r="F122" s="173"/>
      <c r="G122" s="5"/>
      <c r="H122" s="5"/>
      <c r="I122" s="5"/>
      <c r="J122" s="5"/>
      <c r="K122" s="108"/>
      <c r="S122" s="117"/>
      <c r="T122" s="138"/>
      <c r="U122" s="138"/>
      <c r="V122" s="138"/>
      <c r="W122" s="138"/>
      <c r="X122" s="138"/>
      <c r="Y122" s="118"/>
    </row>
    <row r="123" spans="1:25" x14ac:dyDescent="0.3">
      <c r="A123" s="156"/>
      <c r="B123" s="173"/>
      <c r="C123" s="173"/>
      <c r="D123" s="173"/>
      <c r="E123" s="173"/>
      <c r="F123" s="173"/>
      <c r="G123" s="5"/>
      <c r="H123" s="5"/>
      <c r="I123" s="5"/>
      <c r="J123" s="5"/>
      <c r="K123" s="108"/>
      <c r="S123" s="117"/>
      <c r="T123" s="138"/>
      <c r="U123" s="138"/>
      <c r="V123" s="138"/>
      <c r="W123" s="138"/>
      <c r="X123" s="138"/>
      <c r="Y123" s="118"/>
    </row>
    <row r="124" spans="1:25" x14ac:dyDescent="0.3">
      <c r="A124" s="156"/>
      <c r="B124" s="173"/>
      <c r="C124" s="173"/>
      <c r="D124" s="173"/>
      <c r="E124" s="173"/>
      <c r="F124" s="173"/>
      <c r="G124" s="5"/>
      <c r="H124" s="5"/>
      <c r="I124" s="5"/>
      <c r="J124" s="5"/>
      <c r="K124" s="108"/>
      <c r="S124" s="117"/>
      <c r="T124" s="138"/>
      <c r="U124" s="138"/>
      <c r="V124" s="138"/>
      <c r="W124" s="138"/>
      <c r="X124" s="138"/>
      <c r="Y124" s="118"/>
    </row>
    <row r="125" spans="1:25" ht="15" thickBot="1" x14ac:dyDescent="0.35">
      <c r="A125" s="156"/>
      <c r="B125" s="173"/>
      <c r="C125" s="173"/>
      <c r="D125" s="173"/>
      <c r="E125" s="173"/>
      <c r="F125" s="173"/>
      <c r="G125" s="5"/>
      <c r="H125" s="5"/>
      <c r="I125" s="5"/>
      <c r="J125" s="5"/>
      <c r="K125" s="108"/>
      <c r="S125" s="117"/>
      <c r="T125" s="138"/>
      <c r="U125" s="138"/>
      <c r="V125" s="138"/>
      <c r="W125" s="138"/>
      <c r="X125" s="138"/>
      <c r="Y125" s="118"/>
    </row>
    <row r="126" spans="1:25" ht="21" x14ac:dyDescent="0.4">
      <c r="A126" s="156"/>
      <c r="B126" s="173"/>
      <c r="C126" s="420" t="s">
        <v>328</v>
      </c>
      <c r="D126" s="421"/>
      <c r="E126" s="421"/>
      <c r="F126" s="421"/>
      <c r="G126" s="421"/>
      <c r="H126" s="421"/>
      <c r="I126" s="435"/>
      <c r="J126" s="5"/>
      <c r="K126" s="108"/>
      <c r="S126" s="117"/>
      <c r="T126" s="138"/>
      <c r="U126" s="138"/>
      <c r="V126" s="138"/>
      <c r="W126" s="138"/>
      <c r="X126" s="138"/>
      <c r="Y126" s="118"/>
    </row>
    <row r="127" spans="1:25" ht="14.4" customHeight="1" x14ac:dyDescent="0.4">
      <c r="A127" s="156"/>
      <c r="B127" s="359"/>
      <c r="C127" s="364"/>
      <c r="D127" s="358"/>
      <c r="E127" s="358"/>
      <c r="F127" s="358"/>
      <c r="G127" s="358"/>
      <c r="H127" s="358"/>
      <c r="I127" s="368"/>
      <c r="J127" s="5"/>
      <c r="K127" s="108"/>
      <c r="S127" s="117"/>
      <c r="T127" s="359"/>
      <c r="U127" s="359"/>
      <c r="V127" s="359"/>
      <c r="W127" s="359"/>
      <c r="X127" s="359"/>
      <c r="Y127" s="118"/>
    </row>
    <row r="128" spans="1:25" x14ac:dyDescent="0.3">
      <c r="A128" s="156"/>
      <c r="B128" s="173"/>
      <c r="C128" s="3"/>
      <c r="D128" s="33" t="s">
        <v>88</v>
      </c>
      <c r="E128" s="55" t="s">
        <v>32</v>
      </c>
      <c r="F128" s="5">
        <v>3</v>
      </c>
      <c r="G128" s="5">
        <v>2</v>
      </c>
      <c r="I128" s="6"/>
      <c r="J128" s="5"/>
      <c r="K128" s="108"/>
      <c r="S128" s="117" t="s">
        <v>88</v>
      </c>
      <c r="T128" s="138" t="s">
        <v>32</v>
      </c>
      <c r="U128" s="138">
        <v>3</v>
      </c>
      <c r="V128" s="138">
        <v>2</v>
      </c>
      <c r="W128" s="138"/>
      <c r="X128" s="126">
        <f t="shared" ref="X128" si="31">(IF(U128&gt;V128,3,IF(U128=V128,1,2)))</f>
        <v>3</v>
      </c>
      <c r="Y128" s="125">
        <f t="shared" ref="Y128" si="32">(IF(V128&gt;U128,3,IF(U128=V128,1,2)))</f>
        <v>2</v>
      </c>
    </row>
    <row r="129" spans="1:25" x14ac:dyDescent="0.3">
      <c r="A129" s="156"/>
      <c r="B129" s="173"/>
      <c r="C129" s="3"/>
      <c r="D129" s="33"/>
      <c r="E129" s="173"/>
      <c r="F129" s="5" t="s">
        <v>215</v>
      </c>
      <c r="G129" s="5" t="s">
        <v>173</v>
      </c>
      <c r="I129" s="6"/>
      <c r="J129" s="5"/>
      <c r="K129" s="108"/>
      <c r="L129" s="4"/>
      <c r="M129" s="4"/>
      <c r="S129" s="117"/>
      <c r="T129" s="138"/>
      <c r="U129" s="138"/>
      <c r="V129" s="138"/>
      <c r="W129" s="138"/>
      <c r="X129" s="138"/>
      <c r="Y129" s="118"/>
    </row>
    <row r="130" spans="1:25" ht="15" thickBot="1" x14ac:dyDescent="0.35">
      <c r="A130" s="156"/>
      <c r="B130" s="173"/>
      <c r="C130" s="7"/>
      <c r="D130" s="178"/>
      <c r="E130" s="178"/>
      <c r="F130" s="178"/>
      <c r="G130" s="8"/>
      <c r="H130" s="8"/>
      <c r="I130" s="9"/>
      <c r="J130" s="5"/>
      <c r="K130" s="108"/>
      <c r="S130" s="119"/>
      <c r="T130" s="120"/>
      <c r="U130" s="120"/>
      <c r="V130" s="120"/>
      <c r="W130" s="120"/>
      <c r="X130" s="120"/>
      <c r="Y130" s="121"/>
    </row>
    <row r="131" spans="1:25" x14ac:dyDescent="0.3">
      <c r="A131" s="156"/>
      <c r="B131" s="173"/>
      <c r="C131" s="173"/>
      <c r="D131" s="173"/>
      <c r="E131" s="173"/>
      <c r="F131" s="173"/>
      <c r="G131" s="5"/>
      <c r="H131" s="5"/>
      <c r="I131" s="5"/>
      <c r="J131" s="5"/>
      <c r="K131" s="108"/>
    </row>
    <row r="132" spans="1:25" x14ac:dyDescent="0.3">
      <c r="A132" s="156"/>
      <c r="B132" s="173"/>
      <c r="C132" s="173"/>
      <c r="D132" s="173"/>
      <c r="E132" s="41"/>
      <c r="F132" s="41"/>
      <c r="G132" s="348"/>
      <c r="H132" s="5"/>
      <c r="I132" s="5"/>
      <c r="J132" s="5"/>
      <c r="K132" s="108"/>
    </row>
    <row r="133" spans="1:25" x14ac:dyDescent="0.3">
      <c r="A133" s="156"/>
      <c r="B133" s="173"/>
      <c r="C133" s="173"/>
      <c r="D133" s="173"/>
      <c r="E133" s="173"/>
      <c r="F133" s="173"/>
      <c r="G133" s="5"/>
      <c r="H133" s="5"/>
      <c r="I133" s="5"/>
      <c r="J133" s="5"/>
      <c r="K133" s="108"/>
    </row>
    <row r="134" spans="1:25" x14ac:dyDescent="0.3">
      <c r="A134" s="176"/>
      <c r="B134" s="173"/>
      <c r="C134" s="173"/>
      <c r="D134" s="173"/>
      <c r="E134" s="173"/>
      <c r="F134" s="173"/>
      <c r="G134" s="5"/>
      <c r="H134" s="5"/>
      <c r="I134" s="5"/>
      <c r="J134" s="5"/>
      <c r="K134" s="108"/>
    </row>
    <row r="135" spans="1:25" ht="15" thickBot="1" x14ac:dyDescent="0.35">
      <c r="A135" s="176"/>
      <c r="B135" s="173" t="s">
        <v>298</v>
      </c>
      <c r="C135" s="173" t="s">
        <v>12</v>
      </c>
      <c r="D135" s="173" t="s">
        <v>13</v>
      </c>
      <c r="E135" s="173" t="s">
        <v>14</v>
      </c>
      <c r="F135" s="173" t="s">
        <v>15</v>
      </c>
      <c r="G135" s="5" t="s">
        <v>24</v>
      </c>
      <c r="H135" s="5" t="s">
        <v>25</v>
      </c>
      <c r="I135" s="5" t="s">
        <v>26</v>
      </c>
      <c r="J135" s="5" t="s">
        <v>27</v>
      </c>
      <c r="K135" s="108"/>
    </row>
    <row r="136" spans="1:25" s="13" customFormat="1" x14ac:dyDescent="0.3">
      <c r="A136" s="24"/>
      <c r="B136" s="14" t="s">
        <v>88</v>
      </c>
      <c r="C136" s="248">
        <f>COUNTIF($S$12:$T$128,"BRD")</f>
        <v>6</v>
      </c>
      <c r="D136" s="124">
        <f t="shared" ref="D136:D151" si="33">SUMPRODUCT(($S$12:$T$128=B136)*($X$12:$Y$128=3))</f>
        <v>5</v>
      </c>
      <c r="E136" s="124">
        <f t="shared" ref="E136:E151" si="34">SUMPRODUCT(($S$12:$T$128=B136)*($X$12:$Y$128=1))</f>
        <v>0</v>
      </c>
      <c r="F136" s="124">
        <f t="shared" ref="F136:F151" si="35">SUMPRODUCT(($S$12:$T$128=B136)*($X$12:$Y$128=2))</f>
        <v>1</v>
      </c>
      <c r="G136" s="124">
        <f t="shared" ref="G136:G151" si="36">SUMPRODUCT(($S$12:$S$128=B136)*($U$12:$U$128))+SUMPRODUCT(($T$12:$T$128=B136)*($V$12:$V$128))</f>
        <v>25</v>
      </c>
      <c r="H136" s="124">
        <f t="shared" ref="H136:H151" si="37">SUMPRODUCT(($S$12:$S$128=B136)*($V$12:$V$128))+SUMPRODUCT(($T$12:$T$128=B136)*($U$12:$U$128))</f>
        <v>14</v>
      </c>
      <c r="I136" s="15">
        <f t="shared" ref="I136:I151" si="38">(D136*2)+E136</f>
        <v>10</v>
      </c>
      <c r="J136" s="16">
        <f t="shared" ref="J136:J151" si="39">(F136*2)+E136</f>
        <v>2</v>
      </c>
      <c r="K136" s="109"/>
      <c r="S136" s="10"/>
      <c r="T136" s="10"/>
      <c r="U136" s="10"/>
      <c r="V136" s="10"/>
      <c r="W136" s="10"/>
      <c r="X136" s="10"/>
      <c r="Y136" s="10"/>
    </row>
    <row r="137" spans="1:25" x14ac:dyDescent="0.3">
      <c r="A137" s="24"/>
      <c r="B137" s="21" t="s">
        <v>32</v>
      </c>
      <c r="C137" s="17">
        <f>COUNTIF($S$12:$T$128,"Ungarn")</f>
        <v>5</v>
      </c>
      <c r="D137" s="43">
        <f t="shared" si="33"/>
        <v>4</v>
      </c>
      <c r="E137" s="43">
        <f t="shared" si="34"/>
        <v>0</v>
      </c>
      <c r="F137" s="43">
        <f t="shared" si="35"/>
        <v>1</v>
      </c>
      <c r="G137" s="43">
        <f t="shared" si="36"/>
        <v>27</v>
      </c>
      <c r="H137" s="43">
        <f t="shared" si="37"/>
        <v>10</v>
      </c>
      <c r="I137" s="18">
        <f t="shared" si="38"/>
        <v>8</v>
      </c>
      <c r="J137" s="22">
        <f t="shared" si="39"/>
        <v>2</v>
      </c>
      <c r="K137" s="109"/>
      <c r="L137" s="13"/>
      <c r="M137" s="13"/>
      <c r="N137" s="13"/>
      <c r="O137" s="13"/>
      <c r="P137" s="13"/>
      <c r="Q137" s="13"/>
      <c r="R137" s="13"/>
    </row>
    <row r="138" spans="1:25" s="13" customFormat="1" x14ac:dyDescent="0.3">
      <c r="A138" s="24"/>
      <c r="B138" s="21" t="s">
        <v>29</v>
      </c>
      <c r="C138" s="17">
        <f>COUNTIF($S$12:$T$128,"Österreich")</f>
        <v>5</v>
      </c>
      <c r="D138" s="43">
        <f t="shared" si="33"/>
        <v>4</v>
      </c>
      <c r="E138" s="43">
        <f t="shared" si="34"/>
        <v>0</v>
      </c>
      <c r="F138" s="43">
        <f t="shared" si="35"/>
        <v>1</v>
      </c>
      <c r="G138" s="43">
        <f t="shared" si="36"/>
        <v>17</v>
      </c>
      <c r="H138" s="43">
        <f t="shared" si="37"/>
        <v>12</v>
      </c>
      <c r="I138" s="18">
        <f t="shared" si="38"/>
        <v>8</v>
      </c>
      <c r="J138" s="22">
        <f t="shared" si="39"/>
        <v>2</v>
      </c>
      <c r="K138" s="109"/>
      <c r="S138" s="136"/>
      <c r="T138" s="136"/>
      <c r="U138" s="136"/>
      <c r="V138" s="136"/>
      <c r="W138" s="136"/>
      <c r="X138" s="136"/>
      <c r="Y138" s="136"/>
    </row>
    <row r="139" spans="1:25" s="13" customFormat="1" x14ac:dyDescent="0.3">
      <c r="A139" s="24"/>
      <c r="B139" s="21" t="s">
        <v>18</v>
      </c>
      <c r="C139" s="17">
        <f>COUNTIF($S$12:$T$128,"Uruguay")</f>
        <v>5</v>
      </c>
      <c r="D139" s="43">
        <f t="shared" si="33"/>
        <v>3</v>
      </c>
      <c r="E139" s="43">
        <f t="shared" si="34"/>
        <v>0</v>
      </c>
      <c r="F139" s="43">
        <f t="shared" si="35"/>
        <v>2</v>
      </c>
      <c r="G139" s="43">
        <f t="shared" si="36"/>
        <v>16</v>
      </c>
      <c r="H139" s="43">
        <f t="shared" si="37"/>
        <v>9</v>
      </c>
      <c r="I139" s="18">
        <f t="shared" si="38"/>
        <v>6</v>
      </c>
      <c r="J139" s="22">
        <f t="shared" si="39"/>
        <v>4</v>
      </c>
      <c r="K139" s="109"/>
      <c r="S139" s="136"/>
      <c r="T139" s="136"/>
      <c r="U139" s="136"/>
      <c r="V139" s="136"/>
      <c r="W139" s="136"/>
      <c r="X139" s="136"/>
      <c r="Y139" s="136"/>
    </row>
    <row r="140" spans="1:25" s="13" customFormat="1" x14ac:dyDescent="0.3">
      <c r="A140" s="24"/>
      <c r="B140" s="21" t="s">
        <v>43</v>
      </c>
      <c r="C140" s="17">
        <f>COUNTIF($S$12:$T$128,"Schweiz")</f>
        <v>4</v>
      </c>
      <c r="D140" s="43">
        <f t="shared" si="33"/>
        <v>2</v>
      </c>
      <c r="E140" s="43">
        <f t="shared" si="34"/>
        <v>0</v>
      </c>
      <c r="F140" s="43">
        <f t="shared" si="35"/>
        <v>2</v>
      </c>
      <c r="G140" s="43">
        <f t="shared" si="36"/>
        <v>11</v>
      </c>
      <c r="H140" s="43">
        <f t="shared" si="37"/>
        <v>11</v>
      </c>
      <c r="I140" s="18">
        <f t="shared" si="38"/>
        <v>4</v>
      </c>
      <c r="J140" s="22">
        <f t="shared" si="39"/>
        <v>4</v>
      </c>
      <c r="K140" s="109"/>
      <c r="S140" s="136"/>
      <c r="T140" s="136"/>
      <c r="U140" s="136"/>
      <c r="V140" s="136"/>
      <c r="W140" s="136"/>
      <c r="X140" s="136"/>
      <c r="Y140" s="136"/>
    </row>
    <row r="141" spans="1:25" s="13" customFormat="1" x14ac:dyDescent="0.3">
      <c r="A141" s="24"/>
      <c r="B141" s="21" t="s">
        <v>9</v>
      </c>
      <c r="C141" s="17">
        <f>COUNTIF($S$12:$T$128,"Brasilien")</f>
        <v>3</v>
      </c>
      <c r="D141" s="43">
        <f t="shared" si="33"/>
        <v>1</v>
      </c>
      <c r="E141" s="43">
        <f t="shared" si="34"/>
        <v>1</v>
      </c>
      <c r="F141" s="43">
        <f t="shared" si="35"/>
        <v>1</v>
      </c>
      <c r="G141" s="43">
        <f t="shared" si="36"/>
        <v>8</v>
      </c>
      <c r="H141" s="43">
        <f t="shared" si="37"/>
        <v>5</v>
      </c>
      <c r="I141" s="18">
        <f t="shared" si="38"/>
        <v>3</v>
      </c>
      <c r="J141" s="22">
        <f t="shared" si="39"/>
        <v>3</v>
      </c>
      <c r="K141" s="109"/>
      <c r="S141" s="10"/>
      <c r="T141" s="10"/>
      <c r="U141" s="10"/>
      <c r="V141" s="10"/>
      <c r="W141" s="10"/>
      <c r="X141" s="10"/>
      <c r="Y141" s="10"/>
    </row>
    <row r="142" spans="1:25" s="13" customFormat="1" x14ac:dyDescent="0.3">
      <c r="A142" s="24"/>
      <c r="B142" s="21" t="s">
        <v>74</v>
      </c>
      <c r="C142" s="17">
        <f>COUNTIF($S$12:$T$128,"England")</f>
        <v>3</v>
      </c>
      <c r="D142" s="43">
        <f t="shared" si="33"/>
        <v>1</v>
      </c>
      <c r="E142" s="43">
        <f t="shared" si="34"/>
        <v>1</v>
      </c>
      <c r="F142" s="43">
        <f t="shared" si="35"/>
        <v>1</v>
      </c>
      <c r="G142" s="43">
        <f t="shared" si="36"/>
        <v>8</v>
      </c>
      <c r="H142" s="43">
        <f t="shared" si="37"/>
        <v>8</v>
      </c>
      <c r="I142" s="18">
        <f t="shared" si="38"/>
        <v>3</v>
      </c>
      <c r="J142" s="22">
        <f t="shared" si="39"/>
        <v>3</v>
      </c>
      <c r="K142" s="109"/>
      <c r="S142" s="136"/>
      <c r="T142" s="136"/>
      <c r="U142" s="136"/>
      <c r="V142" s="136"/>
      <c r="W142" s="136"/>
      <c r="X142" s="136"/>
      <c r="Y142" s="136"/>
    </row>
    <row r="143" spans="1:25" s="13" customFormat="1" x14ac:dyDescent="0.3">
      <c r="A143" s="24"/>
      <c r="B143" s="21" t="s">
        <v>8</v>
      </c>
      <c r="C143" s="17">
        <f>COUNTIF($S$12:$T$128,"Jugoslawien")</f>
        <v>3</v>
      </c>
      <c r="D143" s="43">
        <f t="shared" si="33"/>
        <v>1</v>
      </c>
      <c r="E143" s="43">
        <f t="shared" si="34"/>
        <v>1</v>
      </c>
      <c r="F143" s="43">
        <f t="shared" si="35"/>
        <v>1</v>
      </c>
      <c r="G143" s="43">
        <f t="shared" si="36"/>
        <v>2</v>
      </c>
      <c r="H143" s="43">
        <f t="shared" si="37"/>
        <v>3</v>
      </c>
      <c r="I143" s="18">
        <f t="shared" si="38"/>
        <v>3</v>
      </c>
      <c r="J143" s="22">
        <f t="shared" si="39"/>
        <v>3</v>
      </c>
      <c r="K143" s="108"/>
      <c r="L143"/>
      <c r="M143"/>
      <c r="N143"/>
      <c r="O143"/>
      <c r="P143"/>
      <c r="Q143"/>
      <c r="R143"/>
      <c r="S143" s="136"/>
      <c r="T143" s="136"/>
      <c r="U143" s="136"/>
      <c r="V143" s="136"/>
      <c r="W143" s="136"/>
      <c r="X143" s="136"/>
      <c r="Y143" s="136"/>
    </row>
    <row r="144" spans="1:25" s="13" customFormat="1" x14ac:dyDescent="0.3">
      <c r="A144" s="24"/>
      <c r="B144" s="21" t="s">
        <v>3</v>
      </c>
      <c r="C144" s="17">
        <f>COUNTIF($S$12:$T$128,"Frankreich")</f>
        <v>2</v>
      </c>
      <c r="D144" s="43">
        <f t="shared" si="33"/>
        <v>1</v>
      </c>
      <c r="E144" s="43">
        <f t="shared" si="34"/>
        <v>0</v>
      </c>
      <c r="F144" s="43">
        <f t="shared" si="35"/>
        <v>1</v>
      </c>
      <c r="G144" s="43">
        <f t="shared" si="36"/>
        <v>3</v>
      </c>
      <c r="H144" s="43">
        <f t="shared" si="37"/>
        <v>3</v>
      </c>
      <c r="I144" s="18">
        <f t="shared" si="38"/>
        <v>2</v>
      </c>
      <c r="J144" s="22">
        <f t="shared" si="39"/>
        <v>2</v>
      </c>
      <c r="K144" s="109"/>
      <c r="S144" s="10"/>
      <c r="T144" s="10"/>
      <c r="U144" s="10"/>
      <c r="V144" s="10"/>
      <c r="W144" s="10"/>
      <c r="X144" s="10"/>
      <c r="Y144" s="10"/>
    </row>
    <row r="145" spans="1:25" s="13" customFormat="1" x14ac:dyDescent="0.3">
      <c r="A145" s="24"/>
      <c r="B145" s="21" t="s">
        <v>82</v>
      </c>
      <c r="C145" s="17">
        <f>COUNTIF($S$12:$T$128,"Türkei")</f>
        <v>3</v>
      </c>
      <c r="D145" s="43">
        <f t="shared" si="33"/>
        <v>1</v>
      </c>
      <c r="E145" s="43">
        <f t="shared" si="34"/>
        <v>0</v>
      </c>
      <c r="F145" s="43">
        <f t="shared" si="35"/>
        <v>2</v>
      </c>
      <c r="G145" s="43">
        <f t="shared" si="36"/>
        <v>10</v>
      </c>
      <c r="H145" s="43">
        <f t="shared" si="37"/>
        <v>11</v>
      </c>
      <c r="I145" s="18">
        <f t="shared" si="38"/>
        <v>2</v>
      </c>
      <c r="J145" s="22">
        <f t="shared" si="39"/>
        <v>4</v>
      </c>
      <c r="K145" s="109"/>
      <c r="S145" s="136"/>
      <c r="T145" s="136"/>
      <c r="U145" s="136"/>
      <c r="V145" s="136"/>
      <c r="W145" s="136"/>
      <c r="X145" s="136"/>
      <c r="Y145" s="136"/>
    </row>
    <row r="146" spans="1:25" s="13" customFormat="1" x14ac:dyDescent="0.3">
      <c r="A146" s="24"/>
      <c r="B146" s="21" t="s">
        <v>37</v>
      </c>
      <c r="C146" s="17">
        <f>COUNTIF($S$12:$T$128,"Italien")</f>
        <v>3</v>
      </c>
      <c r="D146" s="43">
        <f t="shared" si="33"/>
        <v>1</v>
      </c>
      <c r="E146" s="43">
        <f t="shared" si="34"/>
        <v>0</v>
      </c>
      <c r="F146" s="43">
        <f t="shared" si="35"/>
        <v>2</v>
      </c>
      <c r="G146" s="43">
        <f t="shared" si="36"/>
        <v>6</v>
      </c>
      <c r="H146" s="43">
        <f t="shared" si="37"/>
        <v>7</v>
      </c>
      <c r="I146" s="18">
        <f t="shared" si="38"/>
        <v>2</v>
      </c>
      <c r="J146" s="22">
        <f t="shared" si="39"/>
        <v>4</v>
      </c>
      <c r="K146" s="109"/>
      <c r="S146" s="136"/>
      <c r="T146" s="136"/>
      <c r="U146" s="136"/>
      <c r="V146" s="136"/>
      <c r="W146" s="136"/>
      <c r="X146" s="136"/>
      <c r="Y146" s="136"/>
    </row>
    <row r="147" spans="1:25" s="13" customFormat="1" x14ac:dyDescent="0.3">
      <c r="A147" s="24"/>
      <c r="B147" s="21" t="s">
        <v>21</v>
      </c>
      <c r="C147" s="17">
        <f>COUNTIF($S$12:$T$128,"Belgien")</f>
        <v>2</v>
      </c>
      <c r="D147" s="43">
        <f t="shared" si="33"/>
        <v>0</v>
      </c>
      <c r="E147" s="43">
        <f t="shared" si="34"/>
        <v>1</v>
      </c>
      <c r="F147" s="43">
        <f t="shared" si="35"/>
        <v>1</v>
      </c>
      <c r="G147" s="43">
        <f t="shared" si="36"/>
        <v>5</v>
      </c>
      <c r="H147" s="43">
        <f t="shared" si="37"/>
        <v>8</v>
      </c>
      <c r="I147" s="18">
        <f t="shared" si="38"/>
        <v>1</v>
      </c>
      <c r="J147" s="22">
        <f t="shared" si="39"/>
        <v>3</v>
      </c>
      <c r="K147" s="109"/>
      <c r="S147" s="136"/>
      <c r="T147" s="136"/>
      <c r="U147" s="136"/>
      <c r="V147" s="136"/>
      <c r="W147" s="136"/>
      <c r="X147" s="136"/>
      <c r="Y147" s="136"/>
    </row>
    <row r="148" spans="1:25" s="13" customFormat="1" x14ac:dyDescent="0.3">
      <c r="A148" s="24"/>
      <c r="B148" s="21" t="s">
        <v>4</v>
      </c>
      <c r="C148" s="17">
        <f>COUNTIF($S$12:$T$128,"Mexiko")</f>
        <v>2</v>
      </c>
      <c r="D148" s="43">
        <f t="shared" si="33"/>
        <v>0</v>
      </c>
      <c r="E148" s="43">
        <f t="shared" si="34"/>
        <v>0</v>
      </c>
      <c r="F148" s="43">
        <f t="shared" si="35"/>
        <v>2</v>
      </c>
      <c r="G148" s="43">
        <f t="shared" si="36"/>
        <v>2</v>
      </c>
      <c r="H148" s="43">
        <f t="shared" si="37"/>
        <v>8</v>
      </c>
      <c r="I148" s="18">
        <f t="shared" si="38"/>
        <v>0</v>
      </c>
      <c r="J148" s="22">
        <f t="shared" si="39"/>
        <v>4</v>
      </c>
      <c r="K148" s="109"/>
      <c r="S148" s="136"/>
      <c r="T148" s="136"/>
      <c r="U148" s="136"/>
      <c r="V148" s="136"/>
      <c r="W148" s="136"/>
      <c r="X148" s="136"/>
      <c r="Y148" s="136"/>
    </row>
    <row r="149" spans="1:25" s="13" customFormat="1" x14ac:dyDescent="0.3">
      <c r="A149" s="24"/>
      <c r="B149" s="21" t="s">
        <v>45</v>
      </c>
      <c r="C149" s="17">
        <f>COUNTIF($S$12:$T$128,"CSSR")</f>
        <v>2</v>
      </c>
      <c r="D149" s="43">
        <f t="shared" si="33"/>
        <v>0</v>
      </c>
      <c r="E149" s="43">
        <f t="shared" si="34"/>
        <v>0</v>
      </c>
      <c r="F149" s="43">
        <f t="shared" si="35"/>
        <v>2</v>
      </c>
      <c r="G149" s="43">
        <f t="shared" si="36"/>
        <v>0</v>
      </c>
      <c r="H149" s="43">
        <f t="shared" si="37"/>
        <v>7</v>
      </c>
      <c r="I149" s="18">
        <f t="shared" si="38"/>
        <v>0</v>
      </c>
      <c r="J149" s="22">
        <f t="shared" si="39"/>
        <v>4</v>
      </c>
      <c r="K149" s="109"/>
      <c r="S149" s="136"/>
      <c r="T149" s="136"/>
      <c r="U149" s="136"/>
      <c r="V149" s="136"/>
      <c r="W149" s="136"/>
      <c r="X149" s="136"/>
      <c r="Y149" s="136"/>
    </row>
    <row r="150" spans="1:25" s="13" customFormat="1" x14ac:dyDescent="0.3">
      <c r="A150" s="24"/>
      <c r="B150" s="21" t="s">
        <v>81</v>
      </c>
      <c r="C150" s="17">
        <f>COUNTIF($S$12:$T$128,"Schottland")</f>
        <v>2</v>
      </c>
      <c r="D150" s="43">
        <f t="shared" si="33"/>
        <v>0</v>
      </c>
      <c r="E150" s="43">
        <f t="shared" si="34"/>
        <v>0</v>
      </c>
      <c r="F150" s="43">
        <f t="shared" si="35"/>
        <v>2</v>
      </c>
      <c r="G150" s="43">
        <f t="shared" si="36"/>
        <v>0</v>
      </c>
      <c r="H150" s="43">
        <f t="shared" si="37"/>
        <v>8</v>
      </c>
      <c r="I150" s="18">
        <f t="shared" si="38"/>
        <v>0</v>
      </c>
      <c r="J150" s="22">
        <f t="shared" si="39"/>
        <v>4</v>
      </c>
      <c r="K150" s="109"/>
      <c r="S150" s="136"/>
      <c r="T150" s="136"/>
      <c r="U150" s="136"/>
      <c r="V150" s="136"/>
      <c r="W150" s="136"/>
      <c r="X150" s="136"/>
      <c r="Y150" s="136"/>
    </row>
    <row r="151" spans="1:25" s="13" customFormat="1" ht="15" thickBot="1" x14ac:dyDescent="0.35">
      <c r="A151" s="24"/>
      <c r="B151" s="29" t="s">
        <v>90</v>
      </c>
      <c r="C151" s="30">
        <f>COUNTIF($S$12:$T$128,"Südkorea")</f>
        <v>2</v>
      </c>
      <c r="D151" s="80">
        <f t="shared" si="33"/>
        <v>0</v>
      </c>
      <c r="E151" s="80">
        <f t="shared" si="34"/>
        <v>0</v>
      </c>
      <c r="F151" s="80">
        <f t="shared" si="35"/>
        <v>2</v>
      </c>
      <c r="G151" s="80">
        <f t="shared" si="36"/>
        <v>0</v>
      </c>
      <c r="H151" s="80">
        <f t="shared" si="37"/>
        <v>16</v>
      </c>
      <c r="I151" s="31">
        <f t="shared" si="38"/>
        <v>0</v>
      </c>
      <c r="J151" s="32">
        <f t="shared" si="39"/>
        <v>4</v>
      </c>
      <c r="K151" s="109"/>
      <c r="S151" s="136"/>
      <c r="T151" s="136"/>
      <c r="U151" s="136"/>
      <c r="V151" s="136"/>
      <c r="W151" s="136"/>
      <c r="X151" s="136"/>
      <c r="Y151" s="136"/>
    </row>
    <row r="152" spans="1:25" x14ac:dyDescent="0.3">
      <c r="A152" s="176"/>
      <c r="B152" s="173"/>
      <c r="C152" s="173"/>
      <c r="D152" s="173"/>
      <c r="E152" s="173"/>
      <c r="F152" s="173"/>
      <c r="G152" s="5"/>
      <c r="H152" s="5"/>
      <c r="I152" s="5"/>
      <c r="J152" s="5"/>
      <c r="K152" s="108"/>
    </row>
    <row r="153" spans="1:25" ht="15" thickBot="1" x14ac:dyDescent="0.35">
      <c r="A153" s="110"/>
      <c r="B153" s="36"/>
      <c r="C153" s="36"/>
      <c r="D153" s="36"/>
      <c r="E153" s="36"/>
      <c r="F153" s="36"/>
      <c r="G153" s="37"/>
      <c r="H153" s="37"/>
      <c r="I153" s="37"/>
      <c r="J153" s="37"/>
      <c r="K153" s="193"/>
    </row>
    <row r="154" spans="1:25" ht="15" thickTop="1" x14ac:dyDescent="0.3"/>
  </sheetData>
  <sortState ref="A90:J93">
    <sortCondition descending="1" ref="I90:I93"/>
    <sortCondition ref="J90:J93"/>
    <sortCondition descending="1" ref="G90:G93"/>
    <sortCondition ref="H90:H93"/>
  </sortState>
  <mergeCells count="5">
    <mergeCell ref="A2:K2"/>
    <mergeCell ref="A4:K4"/>
    <mergeCell ref="A5:K5"/>
    <mergeCell ref="C117:I117"/>
    <mergeCell ref="C126:I126"/>
  </mergeCells>
  <pageMargins left="0.7" right="0.7" top="0.78740157499999996" bottom="0.78740157499999996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A174"/>
  <sheetViews>
    <sheetView topLeftCell="A147" workbookViewId="0">
      <selection activeCell="M164" sqref="M164"/>
    </sheetView>
  </sheetViews>
  <sheetFormatPr baseColWidth="10" defaultRowHeight="14.4" x14ac:dyDescent="0.3"/>
  <cols>
    <col min="1" max="6" width="11.77734375" style="1" customWidth="1"/>
    <col min="7" max="10" width="11.77734375" style="2" customWidth="1"/>
    <col min="11" max="18" width="11.77734375" customWidth="1"/>
    <col min="19" max="25" width="11.77734375" style="139" customWidth="1"/>
  </cols>
  <sheetData>
    <row r="1" spans="1:27" ht="15" thickTop="1" x14ac:dyDescent="0.3">
      <c r="A1" s="106"/>
      <c r="B1" s="25"/>
      <c r="C1" s="25"/>
      <c r="D1" s="25"/>
      <c r="E1" s="25"/>
      <c r="F1" s="25"/>
      <c r="G1" s="26"/>
      <c r="H1" s="26"/>
      <c r="I1" s="26"/>
      <c r="J1" s="26"/>
      <c r="K1" s="107"/>
      <c r="S1" s="114"/>
      <c r="T1" s="115"/>
      <c r="U1" s="115"/>
      <c r="V1" s="115"/>
      <c r="W1" s="115"/>
      <c r="X1" s="115"/>
      <c r="Y1" s="116"/>
    </row>
    <row r="2" spans="1:27" ht="46.2" x14ac:dyDescent="0.85">
      <c r="A2" s="425" t="s">
        <v>95</v>
      </c>
      <c r="B2" s="426"/>
      <c r="C2" s="426"/>
      <c r="D2" s="426"/>
      <c r="E2" s="426"/>
      <c r="F2" s="426"/>
      <c r="G2" s="426"/>
      <c r="H2" s="426"/>
      <c r="I2" s="426"/>
      <c r="J2" s="426"/>
      <c r="K2" s="437"/>
      <c r="S2" s="117"/>
      <c r="T2" s="138"/>
      <c r="U2" s="138"/>
      <c r="V2" s="138"/>
      <c r="W2" s="138"/>
      <c r="X2" s="138"/>
      <c r="Y2" s="118"/>
    </row>
    <row r="3" spans="1:27" x14ac:dyDescent="0.3">
      <c r="A3" s="176"/>
      <c r="B3" s="173"/>
      <c r="C3" s="173"/>
      <c r="D3" s="173"/>
      <c r="E3" s="173"/>
      <c r="F3" s="173"/>
      <c r="G3" s="5"/>
      <c r="H3" s="5"/>
      <c r="I3" s="5"/>
      <c r="J3" s="5"/>
      <c r="K3" s="108"/>
      <c r="S3" s="117"/>
      <c r="T3" s="138"/>
      <c r="U3" s="138"/>
      <c r="V3" s="138"/>
      <c r="W3" s="138"/>
      <c r="X3" s="138"/>
      <c r="Y3" s="118"/>
    </row>
    <row r="4" spans="1:27" ht="28.8" x14ac:dyDescent="0.55000000000000004">
      <c r="A4" s="428" t="s">
        <v>96</v>
      </c>
      <c r="B4" s="429"/>
      <c r="C4" s="429"/>
      <c r="D4" s="429"/>
      <c r="E4" s="429"/>
      <c r="F4" s="429"/>
      <c r="G4" s="429"/>
      <c r="H4" s="429"/>
      <c r="I4" s="429"/>
      <c r="J4" s="429"/>
      <c r="K4" s="438"/>
      <c r="S4" s="117"/>
      <c r="T4" s="138"/>
      <c r="U4" s="138"/>
      <c r="V4" s="138"/>
      <c r="W4" s="138"/>
      <c r="X4" s="138"/>
      <c r="Y4" s="118"/>
    </row>
    <row r="5" spans="1:27" ht="21" x14ac:dyDescent="0.4">
      <c r="A5" s="430" t="s">
        <v>280</v>
      </c>
      <c r="B5" s="431"/>
      <c r="C5" s="431"/>
      <c r="D5" s="431"/>
      <c r="E5" s="431"/>
      <c r="F5" s="431"/>
      <c r="G5" s="431"/>
      <c r="H5" s="431"/>
      <c r="I5" s="431"/>
      <c r="J5" s="431"/>
      <c r="K5" s="439"/>
      <c r="S5" s="117"/>
      <c r="T5" s="138"/>
      <c r="U5" s="138"/>
      <c r="V5" s="138"/>
      <c r="W5" s="138"/>
      <c r="X5" s="138"/>
      <c r="Y5" s="118"/>
    </row>
    <row r="6" spans="1:27" x14ac:dyDescent="0.3">
      <c r="A6" s="176"/>
      <c r="B6" s="173"/>
      <c r="C6" s="173"/>
      <c r="D6" s="173"/>
      <c r="E6" s="173"/>
      <c r="F6" s="173"/>
      <c r="G6" s="5"/>
      <c r="H6" s="5"/>
      <c r="I6" s="5"/>
      <c r="J6" s="5"/>
      <c r="K6" s="108"/>
      <c r="S6" s="117"/>
      <c r="T6" s="138"/>
      <c r="U6" s="138"/>
      <c r="V6" s="138"/>
      <c r="W6" s="138"/>
      <c r="X6" s="138"/>
      <c r="Y6" s="118"/>
    </row>
    <row r="7" spans="1:27" x14ac:dyDescent="0.3">
      <c r="A7" s="176"/>
      <c r="B7" s="173"/>
      <c r="C7" s="173"/>
      <c r="D7" s="173"/>
      <c r="E7" s="173"/>
      <c r="F7" s="173"/>
      <c r="G7" s="5"/>
      <c r="H7" s="5"/>
      <c r="I7" s="5"/>
      <c r="J7" s="5"/>
      <c r="K7" s="108"/>
      <c r="S7" s="117"/>
      <c r="T7" s="138"/>
      <c r="U7" s="138"/>
      <c r="V7" s="138"/>
      <c r="W7" s="138"/>
      <c r="X7" s="138"/>
      <c r="Y7" s="118"/>
    </row>
    <row r="8" spans="1:27" x14ac:dyDescent="0.3">
      <c r="A8" s="176"/>
      <c r="B8" s="173"/>
      <c r="C8" s="173"/>
      <c r="D8" s="173"/>
      <c r="E8" s="173"/>
      <c r="F8" s="173"/>
      <c r="G8" s="5"/>
      <c r="H8" s="5"/>
      <c r="I8" s="5"/>
      <c r="J8" s="5"/>
      <c r="K8" s="108"/>
      <c r="S8" s="117"/>
      <c r="T8" s="138"/>
      <c r="U8" s="138"/>
      <c r="V8" s="138"/>
      <c r="W8" s="138"/>
      <c r="X8" s="138"/>
      <c r="Y8" s="118"/>
    </row>
    <row r="9" spans="1:27" x14ac:dyDescent="0.3">
      <c r="A9" s="176"/>
      <c r="B9" s="173"/>
      <c r="C9" s="173"/>
      <c r="D9" s="173"/>
      <c r="E9" s="173"/>
      <c r="F9" s="173"/>
      <c r="G9" s="5"/>
      <c r="H9" s="5"/>
      <c r="I9" s="5"/>
      <c r="J9" s="5"/>
      <c r="K9" s="108"/>
      <c r="S9" s="117"/>
      <c r="T9" s="138"/>
      <c r="U9" s="138"/>
      <c r="V9" s="138"/>
      <c r="W9" s="138"/>
      <c r="X9" s="138"/>
      <c r="Y9" s="118"/>
    </row>
    <row r="10" spans="1:27" ht="21" x14ac:dyDescent="0.4">
      <c r="A10" s="176"/>
      <c r="B10" s="173"/>
      <c r="C10" s="173"/>
      <c r="D10" s="173"/>
      <c r="E10" s="173"/>
      <c r="F10" s="172" t="s">
        <v>2</v>
      </c>
      <c r="G10" s="5"/>
      <c r="H10" s="5"/>
      <c r="I10" s="5"/>
      <c r="J10" s="5"/>
      <c r="K10" s="108"/>
      <c r="S10" s="117"/>
      <c r="T10" s="138"/>
      <c r="U10" s="138"/>
      <c r="V10" s="138"/>
      <c r="W10" s="138"/>
      <c r="X10" s="138"/>
      <c r="Y10" s="118"/>
    </row>
    <row r="11" spans="1:27" ht="14.4" customHeight="1" x14ac:dyDescent="0.4">
      <c r="A11" s="176"/>
      <c r="B11" s="173"/>
      <c r="C11" s="173"/>
      <c r="D11" s="173"/>
      <c r="E11" s="173"/>
      <c r="F11" s="172"/>
      <c r="G11" s="5"/>
      <c r="H11" s="5"/>
      <c r="I11" s="5"/>
      <c r="J11" s="5"/>
      <c r="K11" s="108"/>
      <c r="S11" s="117"/>
      <c r="T11" s="138"/>
      <c r="U11" s="138"/>
      <c r="V11" s="138"/>
      <c r="W11" s="138"/>
      <c r="X11" s="138"/>
      <c r="Y11" s="118"/>
    </row>
    <row r="12" spans="1:27" x14ac:dyDescent="0.3">
      <c r="A12" s="176"/>
      <c r="B12" s="173"/>
      <c r="C12" s="40">
        <v>21344</v>
      </c>
      <c r="D12" s="33" t="s">
        <v>5</v>
      </c>
      <c r="E12" s="33" t="s">
        <v>88</v>
      </c>
      <c r="F12" s="33">
        <v>1</v>
      </c>
      <c r="G12" s="33">
        <v>3</v>
      </c>
      <c r="H12" s="33"/>
      <c r="I12" s="5" t="s">
        <v>97</v>
      </c>
      <c r="J12" s="5"/>
      <c r="K12" s="108"/>
      <c r="S12" s="117" t="s">
        <v>5</v>
      </c>
      <c r="T12" s="138" t="s">
        <v>88</v>
      </c>
      <c r="U12" s="138">
        <v>1</v>
      </c>
      <c r="V12" s="138">
        <v>3</v>
      </c>
      <c r="W12" s="138"/>
      <c r="X12" s="126">
        <f t="shared" ref="X12:X13" si="0">(IF(U12&gt;V12,3,IF(U12=V12,1,2)))</f>
        <v>2</v>
      </c>
      <c r="Y12" s="125">
        <f t="shared" ref="Y12:Y13" si="1">(IF(V12&gt;U12,3,IF(U12=V12,1,2)))</f>
        <v>3</v>
      </c>
      <c r="AA12" t="s">
        <v>9</v>
      </c>
    </row>
    <row r="13" spans="1:27" ht="15" thickBot="1" x14ac:dyDescent="0.35">
      <c r="A13" s="176"/>
      <c r="B13" s="173"/>
      <c r="C13" s="58"/>
      <c r="D13" s="59"/>
      <c r="E13" s="59"/>
      <c r="F13" s="59" t="s">
        <v>172</v>
      </c>
      <c r="G13" s="59" t="s">
        <v>173</v>
      </c>
      <c r="H13" s="59"/>
      <c r="I13" s="8"/>
      <c r="J13" s="5"/>
      <c r="K13" s="108"/>
      <c r="S13" s="117" t="s">
        <v>98</v>
      </c>
      <c r="T13" s="138" t="s">
        <v>45</v>
      </c>
      <c r="U13" s="138">
        <v>1</v>
      </c>
      <c r="V13" s="138">
        <v>0</v>
      </c>
      <c r="W13" s="138"/>
      <c r="X13" s="126">
        <f t="shared" si="0"/>
        <v>3</v>
      </c>
      <c r="Y13" s="125">
        <f t="shared" si="1"/>
        <v>2</v>
      </c>
      <c r="AA13" t="s">
        <v>41</v>
      </c>
    </row>
    <row r="14" spans="1:27" x14ac:dyDescent="0.3">
      <c r="A14" s="176"/>
      <c r="B14" s="173"/>
      <c r="C14" s="40">
        <v>21344</v>
      </c>
      <c r="D14" s="33" t="s">
        <v>98</v>
      </c>
      <c r="E14" s="33" t="s">
        <v>45</v>
      </c>
      <c r="F14" s="33">
        <v>1</v>
      </c>
      <c r="G14" s="33">
        <v>0</v>
      </c>
      <c r="H14" s="33"/>
      <c r="I14" s="5" t="s">
        <v>99</v>
      </c>
      <c r="J14" s="5"/>
      <c r="K14" s="108"/>
      <c r="S14" s="122" t="s">
        <v>88</v>
      </c>
      <c r="T14" s="17" t="s">
        <v>45</v>
      </c>
      <c r="U14" s="17">
        <v>2</v>
      </c>
      <c r="V14" s="17">
        <v>2</v>
      </c>
      <c r="X14" s="126">
        <f>(IF(U14&gt;V14,3,IF(U14=V14,1,2)))</f>
        <v>1</v>
      </c>
      <c r="Y14" s="125">
        <f>(IF(V14&gt;U14,3,IF(U14=V14,1,2)))</f>
        <v>1</v>
      </c>
      <c r="AA14" t="s">
        <v>3</v>
      </c>
    </row>
    <row r="15" spans="1:27" ht="15" thickBot="1" x14ac:dyDescent="0.35">
      <c r="A15" s="176"/>
      <c r="B15" s="173"/>
      <c r="C15" s="58"/>
      <c r="D15" s="59"/>
      <c r="E15" s="59"/>
      <c r="F15" s="59" t="s">
        <v>172</v>
      </c>
      <c r="G15" s="59" t="s">
        <v>171</v>
      </c>
      <c r="H15" s="59"/>
      <c r="I15" s="8"/>
      <c r="J15" s="5"/>
      <c r="K15" s="108"/>
      <c r="S15" s="117" t="s">
        <v>5</v>
      </c>
      <c r="T15" s="138" t="s">
        <v>98</v>
      </c>
      <c r="U15" s="138">
        <v>3</v>
      </c>
      <c r="V15" s="138">
        <v>1</v>
      </c>
      <c r="X15" s="126">
        <f>(IF(U15&gt;V15,3,IF(U15=V15,1,2)))</f>
        <v>3</v>
      </c>
      <c r="Y15" s="125">
        <f>(IF(V15&gt;U15,3,IF(U15=V15,1,2)))</f>
        <v>2</v>
      </c>
      <c r="AA15" t="s">
        <v>88</v>
      </c>
    </row>
    <row r="16" spans="1:27" x14ac:dyDescent="0.3">
      <c r="A16" s="176"/>
      <c r="B16" s="173"/>
      <c r="C16" s="40">
        <v>21347</v>
      </c>
      <c r="D16" s="33" t="s">
        <v>88</v>
      </c>
      <c r="E16" s="33" t="s">
        <v>45</v>
      </c>
      <c r="F16" s="33">
        <v>2</v>
      </c>
      <c r="G16" s="33">
        <v>2</v>
      </c>
      <c r="H16" s="33"/>
      <c r="I16" s="5" t="s">
        <v>100</v>
      </c>
      <c r="J16" s="5"/>
      <c r="K16" s="108"/>
      <c r="S16" s="117" t="s">
        <v>88</v>
      </c>
      <c r="T16" s="138" t="s">
        <v>98</v>
      </c>
      <c r="U16" s="138">
        <v>2</v>
      </c>
      <c r="V16" s="138">
        <v>2</v>
      </c>
      <c r="W16" s="138"/>
      <c r="X16" s="138">
        <f>(IF(U16&gt;V16,3,IF(U16=V16,1,2)))</f>
        <v>1</v>
      </c>
      <c r="Y16" s="118">
        <f>(IF(V16&gt;U16,3,IF(U16=V16,1,2)))</f>
        <v>1</v>
      </c>
      <c r="AA16" t="s">
        <v>98</v>
      </c>
    </row>
    <row r="17" spans="1:27" ht="15" thickBot="1" x14ac:dyDescent="0.35">
      <c r="A17" s="176"/>
      <c r="B17" s="173"/>
      <c r="C17" s="58"/>
      <c r="D17" s="59"/>
      <c r="E17" s="59"/>
      <c r="F17" s="59" t="s">
        <v>170</v>
      </c>
      <c r="G17" s="59" t="s">
        <v>173</v>
      </c>
      <c r="H17" s="59"/>
      <c r="I17" s="8"/>
      <c r="J17" s="5"/>
      <c r="K17" s="108"/>
      <c r="S17" s="117" t="s">
        <v>45</v>
      </c>
      <c r="T17" s="138" t="s">
        <v>5</v>
      </c>
      <c r="U17" s="138">
        <v>6</v>
      </c>
      <c r="V17" s="138">
        <v>1</v>
      </c>
      <c r="W17" s="138"/>
      <c r="X17" s="138">
        <f>(IF(U17&gt;V17,3,IF(U17=V17,1,2)))</f>
        <v>3</v>
      </c>
      <c r="Y17" s="118">
        <f>(IF(V17&gt;U17,3,IF(U17=V17,1,2)))</f>
        <v>2</v>
      </c>
      <c r="AA17" t="s">
        <v>101</v>
      </c>
    </row>
    <row r="18" spans="1:27" x14ac:dyDescent="0.3">
      <c r="A18" s="176"/>
      <c r="B18" s="173"/>
      <c r="C18" s="40">
        <v>21347</v>
      </c>
      <c r="D18" s="33" t="s">
        <v>5</v>
      </c>
      <c r="E18" s="33" t="s">
        <v>98</v>
      </c>
      <c r="F18" s="33">
        <v>3</v>
      </c>
      <c r="G18" s="33">
        <v>1</v>
      </c>
      <c r="H18" s="33"/>
      <c r="I18" s="5" t="s">
        <v>99</v>
      </c>
      <c r="J18" s="5"/>
      <c r="K18" s="108"/>
      <c r="S18" s="117"/>
      <c r="T18" s="138"/>
      <c r="U18" s="138"/>
      <c r="V18" s="138"/>
      <c r="X18" s="126"/>
      <c r="Y18" s="125"/>
      <c r="AA18" t="s">
        <v>102</v>
      </c>
    </row>
    <row r="19" spans="1:27" ht="15" thickBot="1" x14ac:dyDescent="0.35">
      <c r="A19" s="176"/>
      <c r="B19" s="173"/>
      <c r="C19" s="58"/>
      <c r="D19" s="59"/>
      <c r="E19" s="59"/>
      <c r="F19" s="59" t="s">
        <v>172</v>
      </c>
      <c r="G19" s="59" t="s">
        <v>183</v>
      </c>
      <c r="H19" s="59"/>
      <c r="I19" s="8"/>
      <c r="J19" s="5"/>
      <c r="K19" s="108"/>
      <c r="S19" s="117"/>
      <c r="T19" s="138"/>
      <c r="U19" s="138"/>
      <c r="V19" s="138"/>
      <c r="X19" s="126"/>
      <c r="Y19" s="125"/>
      <c r="AA19" t="s">
        <v>8</v>
      </c>
    </row>
    <row r="20" spans="1:27" x14ac:dyDescent="0.3">
      <c r="A20" s="176"/>
      <c r="B20" s="173"/>
      <c r="C20" s="40">
        <v>21351</v>
      </c>
      <c r="D20" s="33" t="s">
        <v>88</v>
      </c>
      <c r="E20" s="33" t="s">
        <v>98</v>
      </c>
      <c r="F20" s="33">
        <v>2</v>
      </c>
      <c r="G20" s="33">
        <v>2</v>
      </c>
      <c r="H20" s="33"/>
      <c r="I20" s="5" t="s">
        <v>97</v>
      </c>
      <c r="J20" s="5"/>
      <c r="K20" s="108"/>
      <c r="S20" s="117"/>
      <c r="T20" s="138"/>
      <c r="U20" s="138"/>
      <c r="V20" s="138"/>
      <c r="X20" s="126"/>
      <c r="Y20" s="125"/>
      <c r="AA20" t="s">
        <v>22</v>
      </c>
    </row>
    <row r="21" spans="1:27" ht="15" thickBot="1" x14ac:dyDescent="0.35">
      <c r="A21" s="176"/>
      <c r="B21" s="173"/>
      <c r="C21" s="58"/>
      <c r="D21" s="59"/>
      <c r="E21" s="59"/>
      <c r="F21" s="59" t="s">
        <v>172</v>
      </c>
      <c r="G21" s="59" t="s">
        <v>183</v>
      </c>
      <c r="H21" s="59"/>
      <c r="I21" s="8"/>
      <c r="J21" s="5"/>
      <c r="K21" s="108"/>
      <c r="S21" s="117"/>
      <c r="T21" s="138"/>
      <c r="U21" s="138"/>
      <c r="V21" s="138"/>
      <c r="X21" s="126"/>
      <c r="Y21" s="125"/>
      <c r="AA21" t="s">
        <v>45</v>
      </c>
    </row>
    <row r="22" spans="1:27" x14ac:dyDescent="0.3">
      <c r="A22" s="176"/>
      <c r="B22" s="173"/>
      <c r="C22" s="40">
        <v>21351</v>
      </c>
      <c r="D22" s="33" t="s">
        <v>45</v>
      </c>
      <c r="E22" s="33" t="s">
        <v>5</v>
      </c>
      <c r="F22" s="33">
        <v>6</v>
      </c>
      <c r="G22" s="33">
        <v>1</v>
      </c>
      <c r="H22" s="33"/>
      <c r="I22" s="5" t="s">
        <v>100</v>
      </c>
      <c r="J22" s="5"/>
      <c r="K22" s="108"/>
      <c r="S22" s="117"/>
      <c r="T22" s="138"/>
      <c r="U22" s="138"/>
      <c r="V22" s="138"/>
      <c r="W22" s="138"/>
      <c r="X22" s="138"/>
      <c r="Y22" s="118"/>
      <c r="AA22" t="s">
        <v>32</v>
      </c>
    </row>
    <row r="23" spans="1:27" x14ac:dyDescent="0.3">
      <c r="A23" s="156"/>
      <c r="B23" s="173"/>
      <c r="C23" s="173"/>
      <c r="D23" s="33"/>
      <c r="E23" s="33"/>
      <c r="F23" s="33" t="s">
        <v>264</v>
      </c>
      <c r="G23" s="309" t="s">
        <v>171</v>
      </c>
      <c r="H23" s="309"/>
      <c r="I23" s="5"/>
      <c r="J23" s="5"/>
      <c r="K23" s="108"/>
      <c r="S23" s="117"/>
      <c r="T23" s="138"/>
      <c r="U23" s="138"/>
      <c r="V23" s="138"/>
      <c r="W23" s="138"/>
      <c r="X23" s="138"/>
      <c r="Y23" s="118"/>
      <c r="AA23" t="s">
        <v>74</v>
      </c>
    </row>
    <row r="24" spans="1:27" x14ac:dyDescent="0.3">
      <c r="A24" s="156"/>
      <c r="B24" s="173"/>
      <c r="C24" s="173"/>
      <c r="D24" s="173"/>
      <c r="E24" s="173"/>
      <c r="F24" s="173"/>
      <c r="G24" s="5"/>
      <c r="H24" s="5"/>
      <c r="I24" s="5"/>
      <c r="J24" s="5"/>
      <c r="K24" s="108"/>
      <c r="S24" s="117"/>
      <c r="T24" s="138"/>
      <c r="U24" s="138"/>
      <c r="V24" s="138"/>
      <c r="W24" s="138"/>
      <c r="X24" s="138"/>
      <c r="Y24" s="118"/>
      <c r="AA24" t="s">
        <v>5</v>
      </c>
    </row>
    <row r="25" spans="1:27" x14ac:dyDescent="0.3">
      <c r="A25" s="156"/>
      <c r="B25" s="173"/>
      <c r="C25" s="173"/>
      <c r="D25" s="173"/>
      <c r="E25" s="173"/>
      <c r="F25" s="173"/>
      <c r="G25" s="5"/>
      <c r="H25" s="5"/>
      <c r="I25" s="5"/>
      <c r="J25" s="5"/>
      <c r="K25" s="108"/>
      <c r="S25" s="117"/>
      <c r="T25" s="138"/>
      <c r="U25" s="138"/>
      <c r="V25" s="138"/>
      <c r="W25" s="138"/>
      <c r="X25" s="138"/>
      <c r="Y25" s="118"/>
      <c r="AA25" t="s">
        <v>81</v>
      </c>
    </row>
    <row r="26" spans="1:27" ht="21" x14ac:dyDescent="0.4">
      <c r="A26" s="156"/>
      <c r="B26" s="173"/>
      <c r="C26" s="173"/>
      <c r="D26" s="173"/>
      <c r="E26" s="173"/>
      <c r="F26" s="172" t="s">
        <v>103</v>
      </c>
      <c r="G26" s="5"/>
      <c r="H26" s="5"/>
      <c r="I26" s="5"/>
      <c r="J26" s="5"/>
      <c r="K26" s="108"/>
      <c r="S26" s="117"/>
      <c r="T26" s="138"/>
      <c r="U26" s="138"/>
      <c r="V26" s="138"/>
      <c r="W26" s="138"/>
      <c r="X26" s="138"/>
      <c r="Y26" s="118"/>
      <c r="AA26" t="s">
        <v>29</v>
      </c>
    </row>
    <row r="27" spans="1:27" x14ac:dyDescent="0.3">
      <c r="A27" s="156"/>
      <c r="B27" s="173"/>
      <c r="C27" s="173"/>
      <c r="D27" s="173"/>
      <c r="E27" s="173"/>
      <c r="F27" s="173"/>
      <c r="G27" s="5"/>
      <c r="H27" s="5"/>
      <c r="I27" s="5"/>
      <c r="J27" s="5"/>
      <c r="K27" s="108"/>
      <c r="S27" s="117"/>
      <c r="T27" s="138"/>
      <c r="U27" s="138"/>
      <c r="V27" s="138"/>
      <c r="W27" s="138"/>
      <c r="X27" s="138"/>
      <c r="Y27" s="118"/>
      <c r="AA27" t="s">
        <v>4</v>
      </c>
    </row>
    <row r="28" spans="1:27" x14ac:dyDescent="0.3">
      <c r="A28" s="156"/>
      <c r="B28" s="173"/>
      <c r="C28" s="40">
        <v>21353</v>
      </c>
      <c r="D28" s="33" t="s">
        <v>98</v>
      </c>
      <c r="E28" s="33" t="s">
        <v>45</v>
      </c>
      <c r="F28" s="33">
        <v>2</v>
      </c>
      <c r="G28" s="33">
        <v>1</v>
      </c>
      <c r="H28" s="173" t="s">
        <v>30</v>
      </c>
      <c r="I28" s="5" t="s">
        <v>97</v>
      </c>
      <c r="J28" s="5"/>
      <c r="K28" s="108"/>
      <c r="S28" s="117" t="s">
        <v>98</v>
      </c>
      <c r="T28" s="138" t="s">
        <v>45</v>
      </c>
      <c r="U28" s="138">
        <v>2</v>
      </c>
      <c r="V28" s="138">
        <v>1</v>
      </c>
      <c r="W28" s="138"/>
      <c r="X28" s="138">
        <f>(IF(U28&gt;V28,3,IF(U28=V28,1,2)))</f>
        <v>3</v>
      </c>
      <c r="Y28" s="118">
        <f>(IF(V28&gt;U28,3,IF(U28=V28,1,2)))</f>
        <v>2</v>
      </c>
    </row>
    <row r="29" spans="1:27" x14ac:dyDescent="0.3">
      <c r="A29" s="156"/>
      <c r="B29" s="173"/>
      <c r="C29" s="40"/>
      <c r="D29" s="33"/>
      <c r="E29" s="33"/>
      <c r="F29" s="33">
        <v>1</v>
      </c>
      <c r="G29" s="33">
        <v>1</v>
      </c>
      <c r="H29" s="173"/>
      <c r="I29" s="5"/>
      <c r="J29" s="5"/>
      <c r="K29" s="108"/>
      <c r="S29" s="117"/>
      <c r="T29" s="138"/>
      <c r="U29" s="138"/>
      <c r="V29" s="138"/>
      <c r="W29" s="138"/>
      <c r="X29" s="5"/>
      <c r="Y29" s="127"/>
    </row>
    <row r="30" spans="1:27" x14ac:dyDescent="0.3">
      <c r="A30" s="156"/>
      <c r="B30" s="173"/>
      <c r="C30" s="40"/>
      <c r="D30" s="173"/>
      <c r="E30" s="173"/>
      <c r="F30" s="173" t="s">
        <v>172</v>
      </c>
      <c r="G30" s="173" t="s">
        <v>183</v>
      </c>
      <c r="H30" s="173"/>
      <c r="I30" s="5"/>
      <c r="J30" s="5"/>
      <c r="K30" s="108"/>
      <c r="S30" s="122"/>
      <c r="T30" s="17"/>
      <c r="U30" s="17"/>
      <c r="V30" s="17"/>
      <c r="W30" s="17"/>
      <c r="X30" s="18"/>
      <c r="Y30" s="128"/>
    </row>
    <row r="31" spans="1:27" x14ac:dyDescent="0.3">
      <c r="A31" s="176"/>
      <c r="B31" s="173"/>
      <c r="C31" s="173"/>
      <c r="D31" s="173"/>
      <c r="E31" s="173"/>
      <c r="F31" s="173"/>
      <c r="G31" s="5"/>
      <c r="H31" s="5"/>
      <c r="I31" s="5"/>
      <c r="J31" s="5"/>
      <c r="K31" s="108"/>
      <c r="S31" s="122"/>
      <c r="T31" s="17"/>
      <c r="U31" s="17"/>
      <c r="V31" s="17"/>
      <c r="W31" s="17"/>
      <c r="X31" s="18"/>
      <c r="Y31" s="128"/>
    </row>
    <row r="32" spans="1:27" ht="15" thickBot="1" x14ac:dyDescent="0.35">
      <c r="A32" s="176"/>
      <c r="B32" s="173"/>
      <c r="C32" s="173" t="s">
        <v>12</v>
      </c>
      <c r="D32" s="173" t="s">
        <v>13</v>
      </c>
      <c r="E32" s="173" t="s">
        <v>14</v>
      </c>
      <c r="F32" s="173" t="s">
        <v>15</v>
      </c>
      <c r="G32" s="5" t="s">
        <v>24</v>
      </c>
      <c r="H32" s="5" t="s">
        <v>25</v>
      </c>
      <c r="I32" s="5" t="s">
        <v>26</v>
      </c>
      <c r="J32" s="5" t="s">
        <v>27</v>
      </c>
      <c r="K32" s="108"/>
      <c r="S32" s="122"/>
      <c r="T32" s="17"/>
      <c r="U32" s="17"/>
      <c r="V32" s="17"/>
      <c r="W32" s="17"/>
      <c r="X32" s="18"/>
      <c r="Y32" s="128"/>
    </row>
    <row r="33" spans="1:25" x14ac:dyDescent="0.3">
      <c r="A33" s="176"/>
      <c r="B33" s="19" t="s">
        <v>98</v>
      </c>
      <c r="C33" s="372">
        <f>COUNTIF($S$12:$T$28,"Nordirland")</f>
        <v>4</v>
      </c>
      <c r="D33" s="124">
        <f>SUMPRODUCT(($S$12:$T$28=B33)*($X$12:$Y$28=3))</f>
        <v>2</v>
      </c>
      <c r="E33" s="124">
        <f>SUMPRODUCT(($S$12:$T$28=B33)*($X$12:$Y$28=1))</f>
        <v>1</v>
      </c>
      <c r="F33" s="124">
        <f>SUMPRODUCT(($S$12:$T$28=B33)*($X$12:$Y$28=2))</f>
        <v>1</v>
      </c>
      <c r="G33" s="124">
        <f>SUMPRODUCT(($S$12:$S$28=B33)*($U$12:$U$28))+SUMPRODUCT(($T$12:$T$28=B33)*($V$12:$V$28))</f>
        <v>6</v>
      </c>
      <c r="H33" s="124">
        <f>SUMPRODUCT(($S$12:$S$28=B33)*($V$12:$V$28))+SUMPRODUCT(($T$12:$T$28=B33)*($U$12:$U$28))</f>
        <v>6</v>
      </c>
      <c r="I33" s="15">
        <f>(D33*2)+E33</f>
        <v>5</v>
      </c>
      <c r="J33" s="16">
        <f>(F33*2)+E33</f>
        <v>3</v>
      </c>
      <c r="K33" s="108"/>
      <c r="S33" s="122"/>
      <c r="T33" s="17"/>
      <c r="U33" s="17"/>
      <c r="V33" s="17"/>
      <c r="W33" s="17"/>
      <c r="X33" s="126"/>
      <c r="Y33" s="125"/>
    </row>
    <row r="34" spans="1:25" x14ac:dyDescent="0.3">
      <c r="A34" s="176"/>
      <c r="B34" s="21" t="s">
        <v>88</v>
      </c>
      <c r="C34" s="370">
        <f>COUNTIF($S$12:$T$28,"BRD")</f>
        <v>3</v>
      </c>
      <c r="D34" s="43">
        <f>SUMPRODUCT(($S$12:$T$28=B34)*($X$12:$Y$28=3))</f>
        <v>1</v>
      </c>
      <c r="E34" s="43">
        <f>SUMPRODUCT(($S$12:$T$28=B34)*($X$12:$Y$28=1))</f>
        <v>2</v>
      </c>
      <c r="F34" s="43">
        <f>SUMPRODUCT(($S$12:$T$28=B34)*($X$12:$Y$28=2))</f>
        <v>0</v>
      </c>
      <c r="G34" s="43">
        <f>SUMPRODUCT(($S$12:$S$28=B34)*($U$12:$U$28))+SUMPRODUCT(($T$12:$T$28=B34)*($V$12:$V$28))</f>
        <v>7</v>
      </c>
      <c r="H34" s="43">
        <f>SUMPRODUCT(($S$12:$S$28=B34)*($V$12:$V$28))+SUMPRODUCT(($T$12:$T$28=B34)*($U$12:$U$28))</f>
        <v>5</v>
      </c>
      <c r="I34" s="18">
        <f>(D34*2)+E34</f>
        <v>4</v>
      </c>
      <c r="J34" s="22">
        <f>(F34*2)+E34</f>
        <v>2</v>
      </c>
      <c r="K34" s="108"/>
      <c r="S34" s="117"/>
      <c r="T34" s="138"/>
      <c r="U34" s="138"/>
      <c r="V34" s="138"/>
      <c r="W34" s="138"/>
      <c r="X34" s="126"/>
      <c r="Y34" s="125"/>
    </row>
    <row r="35" spans="1:25" x14ac:dyDescent="0.3">
      <c r="A35" s="176"/>
      <c r="B35" s="3" t="s">
        <v>45</v>
      </c>
      <c r="C35" s="370">
        <f>COUNTIF($S$12:$T$28,"CSSR")</f>
        <v>4</v>
      </c>
      <c r="D35" s="43">
        <f>SUMPRODUCT(($S$12:$T$28=B35)*($X$12:$Y$28=3))</f>
        <v>1</v>
      </c>
      <c r="E35" s="43">
        <f>SUMPRODUCT(($S$12:$T$28=B35)*($X$12:$Y$28=1))</f>
        <v>1</v>
      </c>
      <c r="F35" s="43">
        <f>SUMPRODUCT(($S$12:$T$28=B35)*($X$12:$Y$28=2))</f>
        <v>2</v>
      </c>
      <c r="G35" s="43">
        <f>SUMPRODUCT(($S$12:$S$28=B35)*($U$12:$U$28))+SUMPRODUCT(($T$12:$T$28=B35)*($V$12:$V$28))</f>
        <v>9</v>
      </c>
      <c r="H35" s="43">
        <f>SUMPRODUCT(($S$12:$S$28=B35)*($V$12:$V$28))+SUMPRODUCT(($T$12:$T$28=B35)*($U$12:$U$28))</f>
        <v>6</v>
      </c>
      <c r="I35" s="18">
        <f>(D35*2)+E35</f>
        <v>3</v>
      </c>
      <c r="J35" s="22">
        <f>(F35*2)+E35</f>
        <v>5</v>
      </c>
      <c r="K35" s="108"/>
      <c r="S35" s="117"/>
      <c r="T35" s="138"/>
      <c r="U35" s="138"/>
      <c r="V35" s="138"/>
      <c r="W35" s="138"/>
      <c r="X35" s="126"/>
      <c r="Y35" s="125"/>
    </row>
    <row r="36" spans="1:25" ht="15" thickBot="1" x14ac:dyDescent="0.35">
      <c r="A36" s="176"/>
      <c r="B36" s="29" t="s">
        <v>5</v>
      </c>
      <c r="C36" s="374">
        <f>COUNTIF($S$12:$T$28,"Argentinien")</f>
        <v>3</v>
      </c>
      <c r="D36" s="80">
        <f>SUMPRODUCT(($S$12:$T$28=B36)*($X$12:$Y$28=3))</f>
        <v>1</v>
      </c>
      <c r="E36" s="80">
        <f>SUMPRODUCT(($S$12:$T$28=B36)*($X$12:$Y$28=1))</f>
        <v>0</v>
      </c>
      <c r="F36" s="80">
        <f>SUMPRODUCT(($S$12:$T$28=B36)*($X$12:$Y$28=2))</f>
        <v>2</v>
      </c>
      <c r="G36" s="80">
        <f>SUMPRODUCT(($S$12:$S$28=B36)*($U$12:$U$28))+SUMPRODUCT(($T$12:$T$28=B36)*($V$12:$V$28))</f>
        <v>5</v>
      </c>
      <c r="H36" s="80">
        <f>SUMPRODUCT(($S$12:$S$28=B36)*($V$12:$V$28))+SUMPRODUCT(($T$12:$T$28=B36)*($U$12:$U$28))</f>
        <v>10</v>
      </c>
      <c r="I36" s="31">
        <f>(D36*2)+E36</f>
        <v>2</v>
      </c>
      <c r="J36" s="32">
        <f>(F36*2)+E36</f>
        <v>4</v>
      </c>
      <c r="K36" s="108"/>
      <c r="S36" s="117"/>
      <c r="T36" s="138"/>
      <c r="U36" s="138"/>
      <c r="V36" s="138"/>
      <c r="W36" s="138"/>
      <c r="X36" s="126"/>
      <c r="Y36" s="125"/>
    </row>
    <row r="37" spans="1:25" ht="15" thickBot="1" x14ac:dyDescent="0.35">
      <c r="A37" s="176"/>
      <c r="B37" s="173"/>
      <c r="C37" s="173"/>
      <c r="D37" s="173"/>
      <c r="E37" s="173"/>
      <c r="F37" s="173"/>
      <c r="G37" s="5"/>
      <c r="H37" s="5"/>
      <c r="I37" s="5"/>
      <c r="J37" s="5"/>
      <c r="K37" s="193"/>
      <c r="S37" s="117"/>
      <c r="T37" s="138"/>
      <c r="U37" s="138"/>
      <c r="V37" s="138"/>
      <c r="W37" s="138"/>
      <c r="X37" s="126"/>
      <c r="Y37" s="125"/>
    </row>
    <row r="38" spans="1:25" ht="15" thickTop="1" x14ac:dyDescent="0.3">
      <c r="A38" s="106"/>
      <c r="B38" s="25"/>
      <c r="C38" s="25"/>
      <c r="D38" s="25"/>
      <c r="E38" s="25"/>
      <c r="F38" s="25"/>
      <c r="G38" s="26"/>
      <c r="H38" s="26"/>
      <c r="I38" s="26"/>
      <c r="J38" s="26"/>
      <c r="K38" s="108"/>
      <c r="S38" s="117"/>
      <c r="T38" s="138"/>
      <c r="U38" s="138"/>
      <c r="V38" s="138"/>
      <c r="W38" s="138"/>
      <c r="X38" s="126"/>
      <c r="Y38" s="125"/>
    </row>
    <row r="39" spans="1:25" ht="21" x14ac:dyDescent="0.4">
      <c r="A39" s="176"/>
      <c r="B39" s="173"/>
      <c r="C39" s="173"/>
      <c r="D39" s="173"/>
      <c r="E39" s="173"/>
      <c r="F39" s="172" t="s">
        <v>7</v>
      </c>
      <c r="G39" s="5"/>
      <c r="H39" s="5"/>
      <c r="I39" s="5"/>
      <c r="J39" s="5"/>
      <c r="K39" s="108"/>
      <c r="S39" s="117"/>
      <c r="T39" s="138"/>
      <c r="U39" s="138"/>
      <c r="V39" s="138"/>
      <c r="W39" s="138"/>
      <c r="X39" s="126"/>
      <c r="Y39" s="125"/>
    </row>
    <row r="40" spans="1:25" ht="14.4" customHeight="1" x14ac:dyDescent="0.4">
      <c r="A40" s="176"/>
      <c r="B40" s="173"/>
      <c r="C40" s="173"/>
      <c r="D40" s="173"/>
      <c r="E40" s="173"/>
      <c r="F40" s="172"/>
      <c r="G40" s="5"/>
      <c r="H40" s="5"/>
      <c r="I40" s="5"/>
      <c r="J40" s="5"/>
      <c r="K40" s="108"/>
      <c r="S40" s="117"/>
      <c r="T40" s="138"/>
      <c r="U40" s="138"/>
      <c r="V40" s="138"/>
      <c r="W40" s="138"/>
      <c r="X40" s="126"/>
      <c r="Y40" s="125"/>
    </row>
    <row r="41" spans="1:25" x14ac:dyDescent="0.3">
      <c r="A41" s="176"/>
      <c r="B41" s="173"/>
      <c r="C41" s="40">
        <v>21344</v>
      </c>
      <c r="D41" s="33" t="s">
        <v>3</v>
      </c>
      <c r="E41" s="33" t="s">
        <v>22</v>
      </c>
      <c r="F41" s="33">
        <v>7</v>
      </c>
      <c r="G41" s="33">
        <v>3</v>
      </c>
      <c r="H41" s="33"/>
      <c r="I41" s="309" t="s">
        <v>104</v>
      </c>
      <c r="J41" s="5"/>
      <c r="K41" s="108"/>
      <c r="S41" s="117" t="s">
        <v>3</v>
      </c>
      <c r="T41" s="138" t="s">
        <v>22</v>
      </c>
      <c r="U41" s="138">
        <v>7</v>
      </c>
      <c r="V41" s="138">
        <v>3</v>
      </c>
      <c r="W41" s="138"/>
      <c r="X41" s="126">
        <f t="shared" ref="X41:X44" si="2">(IF(U41&gt;V41,3,IF(U41=V41,1,2)))</f>
        <v>3</v>
      </c>
      <c r="Y41" s="125">
        <f t="shared" ref="Y41:Y44" si="3">(IF(V41&gt;U41,3,IF(U41=V41,1,2)))</f>
        <v>2</v>
      </c>
    </row>
    <row r="42" spans="1:25" ht="15" thickBot="1" x14ac:dyDescent="0.35">
      <c r="A42" s="176"/>
      <c r="B42" s="173"/>
      <c r="C42" s="58"/>
      <c r="D42" s="59"/>
      <c r="E42" s="59"/>
      <c r="F42" s="59" t="s">
        <v>215</v>
      </c>
      <c r="G42" s="59" t="s">
        <v>173</v>
      </c>
      <c r="H42" s="59"/>
      <c r="I42" s="92"/>
      <c r="J42" s="5"/>
      <c r="K42" s="108"/>
      <c r="S42" s="117" t="s">
        <v>8</v>
      </c>
      <c r="T42" s="138" t="s">
        <v>81</v>
      </c>
      <c r="U42" s="138">
        <v>1</v>
      </c>
      <c r="V42" s="138">
        <v>1</v>
      </c>
      <c r="W42" s="138"/>
      <c r="X42" s="126">
        <f t="shared" si="2"/>
        <v>1</v>
      </c>
      <c r="Y42" s="125">
        <f t="shared" si="3"/>
        <v>1</v>
      </c>
    </row>
    <row r="43" spans="1:25" x14ac:dyDescent="0.3">
      <c r="A43" s="176"/>
      <c r="B43" s="173"/>
      <c r="C43" s="40">
        <v>21344</v>
      </c>
      <c r="D43" s="33" t="s">
        <v>8</v>
      </c>
      <c r="E43" s="33" t="s">
        <v>81</v>
      </c>
      <c r="F43" s="33">
        <v>1</v>
      </c>
      <c r="G43" s="33">
        <v>1</v>
      </c>
      <c r="H43" s="33"/>
      <c r="I43" s="309" t="s">
        <v>105</v>
      </c>
      <c r="J43" s="5"/>
      <c r="K43" s="108"/>
      <c r="S43" s="117" t="s">
        <v>8</v>
      </c>
      <c r="T43" s="138" t="s">
        <v>3</v>
      </c>
      <c r="U43" s="138">
        <v>3</v>
      </c>
      <c r="V43" s="138">
        <v>2</v>
      </c>
      <c r="W43" s="138"/>
      <c r="X43" s="126">
        <f t="shared" si="2"/>
        <v>3</v>
      </c>
      <c r="Y43" s="125">
        <f t="shared" si="3"/>
        <v>2</v>
      </c>
    </row>
    <row r="44" spans="1:25" ht="15" thickBot="1" x14ac:dyDescent="0.35">
      <c r="A44" s="176"/>
      <c r="B44" s="173"/>
      <c r="C44" s="58"/>
      <c r="D44" s="59"/>
      <c r="E44" s="59"/>
      <c r="F44" s="59" t="s">
        <v>172</v>
      </c>
      <c r="G44" s="59" t="s">
        <v>171</v>
      </c>
      <c r="H44" s="59"/>
      <c r="I44" s="92"/>
      <c r="J44" s="5"/>
      <c r="K44" s="108"/>
      <c r="S44" s="117" t="s">
        <v>22</v>
      </c>
      <c r="T44" s="138" t="s">
        <v>81</v>
      </c>
      <c r="U44" s="138">
        <v>3</v>
      </c>
      <c r="V44" s="138">
        <v>2</v>
      </c>
      <c r="W44" s="138"/>
      <c r="X44" s="126">
        <f t="shared" si="2"/>
        <v>3</v>
      </c>
      <c r="Y44" s="125">
        <f t="shared" si="3"/>
        <v>2</v>
      </c>
    </row>
    <row r="45" spans="1:25" x14ac:dyDescent="0.3">
      <c r="A45" s="176"/>
      <c r="B45" s="173"/>
      <c r="C45" s="40">
        <v>21347</v>
      </c>
      <c r="D45" s="33" t="s">
        <v>8</v>
      </c>
      <c r="E45" s="33" t="s">
        <v>3</v>
      </c>
      <c r="F45" s="33">
        <v>3</v>
      </c>
      <c r="G45" s="33">
        <v>2</v>
      </c>
      <c r="H45" s="33"/>
      <c r="I45" s="309" t="s">
        <v>105</v>
      </c>
      <c r="J45" s="5"/>
      <c r="K45" s="108"/>
      <c r="S45" s="117" t="s">
        <v>3</v>
      </c>
      <c r="T45" s="138" t="s">
        <v>81</v>
      </c>
      <c r="U45" s="138">
        <v>2</v>
      </c>
      <c r="V45" s="138">
        <v>1</v>
      </c>
      <c r="W45" s="138"/>
      <c r="X45" s="126">
        <f t="shared" ref="X45" si="4">(IF(U45&gt;V45,3,IF(U45=V45,1,2)))</f>
        <v>3</v>
      </c>
      <c r="Y45" s="125">
        <f t="shared" ref="Y45" si="5">(IF(V45&gt;U45,3,IF(U45=V45,1,2)))</f>
        <v>2</v>
      </c>
    </row>
    <row r="46" spans="1:25" ht="15" thickBot="1" x14ac:dyDescent="0.35">
      <c r="A46" s="176"/>
      <c r="B46" s="173"/>
      <c r="C46" s="58"/>
      <c r="D46" s="59"/>
      <c r="E46" s="59"/>
      <c r="F46" s="59" t="s">
        <v>172</v>
      </c>
      <c r="G46" s="59" t="s">
        <v>183</v>
      </c>
      <c r="H46" s="59"/>
      <c r="I46" s="92"/>
      <c r="J46" s="5"/>
      <c r="K46" s="108"/>
      <c r="S46" s="117" t="s">
        <v>22</v>
      </c>
      <c r="T46" s="138" t="s">
        <v>8</v>
      </c>
      <c r="U46" s="138">
        <v>3</v>
      </c>
      <c r="V46" s="138">
        <v>3</v>
      </c>
      <c r="W46" s="138"/>
      <c r="X46" s="126">
        <f t="shared" ref="X46" si="6">(IF(U46&gt;V46,3,IF(U46=V46,1,2)))</f>
        <v>1</v>
      </c>
      <c r="Y46" s="125">
        <f t="shared" ref="Y46" si="7">(IF(V46&gt;U46,3,IF(U46=V46,1,2)))</f>
        <v>1</v>
      </c>
    </row>
    <row r="47" spans="1:25" x14ac:dyDescent="0.3">
      <c r="A47" s="176"/>
      <c r="B47" s="173"/>
      <c r="C47" s="40">
        <v>21347</v>
      </c>
      <c r="D47" s="33" t="s">
        <v>22</v>
      </c>
      <c r="E47" s="33" t="s">
        <v>81</v>
      </c>
      <c r="F47" s="33">
        <v>3</v>
      </c>
      <c r="G47" s="33">
        <v>2</v>
      </c>
      <c r="H47" s="33"/>
      <c r="I47" s="309" t="s">
        <v>104</v>
      </c>
      <c r="J47" s="5"/>
      <c r="K47" s="108"/>
      <c r="S47" s="117"/>
      <c r="T47" s="138"/>
      <c r="U47" s="138"/>
      <c r="V47" s="138"/>
      <c r="W47" s="138"/>
      <c r="X47" s="126"/>
      <c r="Y47" s="125"/>
    </row>
    <row r="48" spans="1:25" ht="15" thickBot="1" x14ac:dyDescent="0.35">
      <c r="A48" s="176"/>
      <c r="B48" s="173"/>
      <c r="C48" s="58"/>
      <c r="D48" s="59"/>
      <c r="E48" s="59"/>
      <c r="F48" s="59" t="s">
        <v>215</v>
      </c>
      <c r="G48" s="59" t="s">
        <v>183</v>
      </c>
      <c r="H48" s="59"/>
      <c r="I48" s="92"/>
      <c r="J48" s="5"/>
      <c r="K48" s="108"/>
      <c r="S48" s="117"/>
      <c r="T48" s="138"/>
      <c r="U48" s="138"/>
      <c r="V48" s="138"/>
      <c r="W48" s="138"/>
      <c r="X48" s="126"/>
      <c r="Y48" s="125"/>
    </row>
    <row r="49" spans="1:25" x14ac:dyDescent="0.3">
      <c r="A49" s="176"/>
      <c r="B49" s="173"/>
      <c r="C49" s="40">
        <v>21351</v>
      </c>
      <c r="D49" s="66" t="s">
        <v>3</v>
      </c>
      <c r="E49" s="66" t="s">
        <v>81</v>
      </c>
      <c r="F49" s="66">
        <v>2</v>
      </c>
      <c r="G49" s="66">
        <v>1</v>
      </c>
      <c r="H49" s="66"/>
      <c r="I49" s="94" t="s">
        <v>106</v>
      </c>
      <c r="J49" s="5"/>
      <c r="K49" s="108"/>
      <c r="S49" s="117"/>
      <c r="T49" s="138"/>
      <c r="U49" s="138"/>
      <c r="V49" s="138"/>
      <c r="W49" s="138"/>
      <c r="X49" s="126"/>
      <c r="Y49" s="125"/>
    </row>
    <row r="50" spans="1:25" ht="15" thickBot="1" x14ac:dyDescent="0.35">
      <c r="A50" s="176"/>
      <c r="B50" s="173"/>
      <c r="C50" s="58"/>
      <c r="D50" s="367"/>
      <c r="E50" s="367"/>
      <c r="F50" s="367" t="s">
        <v>215</v>
      </c>
      <c r="G50" s="367" t="s">
        <v>171</v>
      </c>
      <c r="H50" s="367"/>
      <c r="I50" s="162"/>
      <c r="J50" s="5"/>
      <c r="K50" s="108"/>
      <c r="S50" s="117"/>
      <c r="T50" s="138"/>
      <c r="U50" s="138"/>
      <c r="V50" s="138"/>
      <c r="W50" s="138"/>
      <c r="X50" s="126"/>
      <c r="Y50" s="125"/>
    </row>
    <row r="51" spans="1:25" x14ac:dyDescent="0.3">
      <c r="A51" s="176"/>
      <c r="B51" s="173"/>
      <c r="C51" s="40">
        <v>21351</v>
      </c>
      <c r="D51" s="66" t="s">
        <v>22</v>
      </c>
      <c r="E51" s="66" t="s">
        <v>8</v>
      </c>
      <c r="F51" s="66">
        <v>3</v>
      </c>
      <c r="G51" s="66">
        <v>3</v>
      </c>
      <c r="H51" s="66"/>
      <c r="I51" s="94" t="s">
        <v>107</v>
      </c>
      <c r="J51" s="5"/>
      <c r="K51" s="108"/>
      <c r="S51" s="117"/>
      <c r="T51" s="138"/>
      <c r="U51" s="138"/>
      <c r="V51" s="138"/>
      <c r="W51" s="138"/>
      <c r="X51" s="138"/>
      <c r="Y51" s="118"/>
    </row>
    <row r="52" spans="1:25" x14ac:dyDescent="0.3">
      <c r="A52" s="156"/>
      <c r="B52" s="17"/>
      <c r="C52" s="17"/>
      <c r="D52" s="66"/>
      <c r="E52" s="66"/>
      <c r="F52" s="66" t="s">
        <v>215</v>
      </c>
      <c r="G52" s="94" t="s">
        <v>183</v>
      </c>
      <c r="H52" s="309"/>
      <c r="I52" s="309"/>
      <c r="J52" s="5"/>
      <c r="K52" s="108"/>
      <c r="S52" s="117"/>
      <c r="T52" s="138"/>
      <c r="U52" s="138"/>
      <c r="V52" s="138"/>
      <c r="W52" s="138"/>
      <c r="X52" s="138"/>
      <c r="Y52" s="118"/>
    </row>
    <row r="53" spans="1:25" x14ac:dyDescent="0.3">
      <c r="A53" s="156"/>
      <c r="B53" s="17"/>
      <c r="C53" s="17"/>
      <c r="D53" s="66"/>
      <c r="E53" s="66"/>
      <c r="F53" s="66"/>
      <c r="G53" s="94"/>
      <c r="H53" s="309"/>
      <c r="I53" s="309"/>
      <c r="J53" s="5"/>
      <c r="K53" s="108"/>
      <c r="S53" s="117"/>
      <c r="T53" s="138"/>
      <c r="U53" s="138"/>
      <c r="V53" s="138"/>
      <c r="W53" s="138"/>
      <c r="X53" s="126"/>
      <c r="Y53" s="125"/>
    </row>
    <row r="54" spans="1:25" ht="15" thickBot="1" x14ac:dyDescent="0.35">
      <c r="A54" s="176"/>
      <c r="B54" s="173"/>
      <c r="C54" s="173" t="s">
        <v>12</v>
      </c>
      <c r="D54" s="173" t="s">
        <v>13</v>
      </c>
      <c r="E54" s="173" t="s">
        <v>14</v>
      </c>
      <c r="F54" s="173" t="s">
        <v>15</v>
      </c>
      <c r="G54" s="5" t="s">
        <v>24</v>
      </c>
      <c r="H54" s="5" t="s">
        <v>25</v>
      </c>
      <c r="I54" s="5" t="s">
        <v>26</v>
      </c>
      <c r="J54" s="5" t="s">
        <v>27</v>
      </c>
      <c r="K54" s="108"/>
      <c r="S54" s="117"/>
      <c r="T54" s="138"/>
      <c r="U54" s="138"/>
      <c r="V54" s="138"/>
      <c r="W54" s="138"/>
      <c r="X54" s="126"/>
      <c r="Y54" s="125"/>
    </row>
    <row r="55" spans="1:25" x14ac:dyDescent="0.3">
      <c r="A55" s="176"/>
      <c r="B55" s="14" t="s">
        <v>3</v>
      </c>
      <c r="C55" s="372">
        <f>COUNTIF($S$41:$T$46,"Frankreich")</f>
        <v>3</v>
      </c>
      <c r="D55" s="124">
        <f>SUMPRODUCT(($S$41:$T$46=B55)*($X$41:$Y$46=3))</f>
        <v>2</v>
      </c>
      <c r="E55" s="124">
        <f>SUMPRODUCT(($S$41:$T$46=B55)*($X$41:$Y$46=1))</f>
        <v>0</v>
      </c>
      <c r="F55" s="124">
        <f>SUMPRODUCT(($S$41:$T$46=B55)*($X$41:$Y$46=2))</f>
        <v>1</v>
      </c>
      <c r="G55" s="124">
        <f>SUMPRODUCT(($S$41:$S$46=B55)*($U$41:$U$46))+SUMPRODUCT(($T$41:$T$46=B55)*($V$41:$V$46))</f>
        <v>11</v>
      </c>
      <c r="H55" s="124">
        <f>SUMPRODUCT(($S$41:$S$46=B55)*($V$41:$V$46))+SUMPRODUCT(($T$41:$T$46=B55)*($U$41:$U$46))</f>
        <v>7</v>
      </c>
      <c r="I55" s="15">
        <f>(D55*2)+E55</f>
        <v>4</v>
      </c>
      <c r="J55" s="16">
        <f>(F55*2)+E55</f>
        <v>2</v>
      </c>
      <c r="K55" s="108"/>
      <c r="S55" s="117"/>
      <c r="T55" s="138"/>
      <c r="U55" s="138"/>
      <c r="V55" s="138"/>
      <c r="W55" s="138"/>
      <c r="X55" s="126"/>
      <c r="Y55" s="125"/>
    </row>
    <row r="56" spans="1:25" x14ac:dyDescent="0.3">
      <c r="A56" s="176"/>
      <c r="B56" s="21" t="s">
        <v>8</v>
      </c>
      <c r="C56" s="370">
        <f>COUNTIF($S$41:$T$46,"Jugoslawien")</f>
        <v>3</v>
      </c>
      <c r="D56" s="43">
        <f>SUMPRODUCT(($S$41:$T$46=B56)*($X$41:$Y$46=3))</f>
        <v>1</v>
      </c>
      <c r="E56" s="43">
        <f>SUMPRODUCT(($S$41:$T$46=B56)*($X$41:$Y$46=1))</f>
        <v>2</v>
      </c>
      <c r="F56" s="43">
        <f>SUMPRODUCT(($S$41:$T$46=B56)*($X$41:$Y$46=2))</f>
        <v>0</v>
      </c>
      <c r="G56" s="43">
        <f>SUMPRODUCT(($S$41:$S$46=B56)*($U$41:$U$46))+SUMPRODUCT(($T$41:$T$46=B56)*($V$41:$V$46))</f>
        <v>7</v>
      </c>
      <c r="H56" s="43">
        <f>SUMPRODUCT(($S$41:$S$46=B56)*($V$41:$V$46))+SUMPRODUCT(($T$41:$T$46=B56)*($U$41:$U$46))</f>
        <v>6</v>
      </c>
      <c r="I56" s="18">
        <f>(D56*2)+E56</f>
        <v>4</v>
      </c>
      <c r="J56" s="22">
        <f>(F56*2)+E56</f>
        <v>2</v>
      </c>
      <c r="K56" s="108"/>
      <c r="S56" s="117"/>
      <c r="T56" s="138"/>
      <c r="U56" s="138"/>
      <c r="V56" s="138"/>
      <c r="W56" s="138"/>
      <c r="X56" s="126"/>
      <c r="Y56" s="125"/>
    </row>
    <row r="57" spans="1:25" x14ac:dyDescent="0.3">
      <c r="A57" s="176"/>
      <c r="B57" s="21" t="s">
        <v>22</v>
      </c>
      <c r="C57" s="370">
        <f>COUNTIF($S$41:$T$46,"Paraguay")</f>
        <v>3</v>
      </c>
      <c r="D57" s="43">
        <f>SUMPRODUCT(($S$41:$T$46=B57)*($X$41:$Y$46=3))</f>
        <v>1</v>
      </c>
      <c r="E57" s="43">
        <f>SUMPRODUCT(($S$41:$T$46=B57)*($X$41:$Y$46=1))</f>
        <v>1</v>
      </c>
      <c r="F57" s="43">
        <f>SUMPRODUCT(($S$41:$T$46=B57)*($X$41:$Y$46=2))</f>
        <v>1</v>
      </c>
      <c r="G57" s="43">
        <f>SUMPRODUCT(($S$41:$S$46=B57)*($U$41:$U$46))+SUMPRODUCT(($T$41:$T$46=B57)*($V$41:$V$46))</f>
        <v>9</v>
      </c>
      <c r="H57" s="43">
        <f>SUMPRODUCT(($S$41:$S$46=B57)*($V$41:$V$46))+SUMPRODUCT(($T$41:$T$46=B57)*($U$41:$U$46))</f>
        <v>12</v>
      </c>
      <c r="I57" s="18">
        <f>(D57*2)+E57</f>
        <v>3</v>
      </c>
      <c r="J57" s="22">
        <f>(F57*2)+E57</f>
        <v>3</v>
      </c>
      <c r="K57" s="108"/>
      <c r="S57" s="117"/>
      <c r="T57" s="138"/>
      <c r="U57" s="138"/>
      <c r="V57" s="138"/>
      <c r="W57" s="138"/>
      <c r="X57" s="126"/>
      <c r="Y57" s="125"/>
    </row>
    <row r="58" spans="1:25" ht="15" thickBot="1" x14ac:dyDescent="0.35">
      <c r="A58" s="176"/>
      <c r="B58" s="7" t="s">
        <v>81</v>
      </c>
      <c r="C58" s="374">
        <f>COUNTIF($S$41:$T$46,"Schottland")</f>
        <v>3</v>
      </c>
      <c r="D58" s="80">
        <f>SUMPRODUCT(($S$41:$T$46=B58)*($X$41:$Y$46=3))</f>
        <v>0</v>
      </c>
      <c r="E58" s="80">
        <f>SUMPRODUCT(($S$41:$T$46=B58)*($X$41:$Y$46=1))</f>
        <v>1</v>
      </c>
      <c r="F58" s="80">
        <f>SUMPRODUCT(($S$41:$T$46=B58)*($X$41:$Y$46=2))</f>
        <v>2</v>
      </c>
      <c r="G58" s="80">
        <f>SUMPRODUCT(($S$41:$S$46=B58)*($U$41:$U$46))+SUMPRODUCT(($T$41:$T$46=B58)*($V$41:$V$46))</f>
        <v>4</v>
      </c>
      <c r="H58" s="80">
        <f>SUMPRODUCT(($S$41:$S$46=B58)*($V$41:$V$46))+SUMPRODUCT(($T$41:$T$46=B58)*($U$41:$U$46))</f>
        <v>6</v>
      </c>
      <c r="I58" s="31">
        <f>(D58*2)+E58</f>
        <v>1</v>
      </c>
      <c r="J58" s="32">
        <f>(F58*2)+E58</f>
        <v>5</v>
      </c>
      <c r="K58" s="108"/>
      <c r="S58" s="117"/>
      <c r="T58" s="138"/>
      <c r="U58" s="138"/>
      <c r="V58" s="138"/>
      <c r="W58" s="138"/>
      <c r="X58" s="126"/>
      <c r="Y58" s="125"/>
    </row>
    <row r="59" spans="1:25" ht="15" thickBot="1" x14ac:dyDescent="0.35">
      <c r="A59" s="176"/>
      <c r="B59" s="173"/>
      <c r="C59" s="173"/>
      <c r="D59" s="173"/>
      <c r="E59" s="173"/>
      <c r="F59" s="173"/>
      <c r="G59" s="5"/>
      <c r="H59" s="5"/>
      <c r="I59" s="5"/>
      <c r="J59" s="5"/>
      <c r="K59" s="193"/>
      <c r="S59" s="117"/>
      <c r="T59" s="138"/>
      <c r="U59" s="138"/>
      <c r="V59" s="138"/>
      <c r="W59" s="138"/>
      <c r="X59" s="126"/>
      <c r="Y59" s="125"/>
    </row>
    <row r="60" spans="1:25" ht="15" thickTop="1" x14ac:dyDescent="0.3">
      <c r="A60" s="106"/>
      <c r="B60" s="25"/>
      <c r="C60" s="25"/>
      <c r="D60" s="25"/>
      <c r="E60" s="25"/>
      <c r="F60" s="25"/>
      <c r="G60" s="26"/>
      <c r="H60" s="26"/>
      <c r="I60" s="26"/>
      <c r="J60" s="26"/>
      <c r="K60" s="108"/>
      <c r="S60" s="117"/>
      <c r="T60" s="138"/>
      <c r="U60" s="138"/>
      <c r="V60" s="138"/>
      <c r="W60" s="138"/>
      <c r="X60" s="126"/>
      <c r="Y60" s="125"/>
    </row>
    <row r="61" spans="1:25" ht="21" x14ac:dyDescent="0.4">
      <c r="A61" s="176"/>
      <c r="B61" s="173"/>
      <c r="C61" s="173"/>
      <c r="D61" s="173"/>
      <c r="E61" s="173"/>
      <c r="F61" s="172" t="s">
        <v>11</v>
      </c>
      <c r="G61" s="5"/>
      <c r="H61" s="5"/>
      <c r="I61" s="5"/>
      <c r="J61" s="5"/>
      <c r="K61" s="108"/>
      <c r="S61" s="117"/>
      <c r="T61" s="138"/>
      <c r="U61" s="138"/>
      <c r="V61" s="138"/>
      <c r="W61" s="138"/>
      <c r="X61" s="126"/>
      <c r="Y61" s="125"/>
    </row>
    <row r="62" spans="1:25" x14ac:dyDescent="0.3">
      <c r="A62" s="176"/>
      <c r="B62" s="173"/>
      <c r="C62" s="173"/>
      <c r="D62" s="173"/>
      <c r="E62" s="173"/>
      <c r="F62" s="28"/>
      <c r="G62" s="5"/>
      <c r="H62" s="5"/>
      <c r="I62" s="5"/>
      <c r="J62" s="5"/>
      <c r="K62" s="108"/>
      <c r="S62" s="117"/>
      <c r="T62" s="138"/>
      <c r="U62" s="138"/>
      <c r="V62" s="138"/>
      <c r="W62" s="138"/>
      <c r="X62" s="126"/>
      <c r="Y62" s="125"/>
    </row>
    <row r="63" spans="1:25" x14ac:dyDescent="0.3">
      <c r="A63" s="176"/>
      <c r="B63" s="173"/>
      <c r="C63" s="40">
        <v>21344</v>
      </c>
      <c r="D63" s="33" t="s">
        <v>41</v>
      </c>
      <c r="E63" s="33" t="s">
        <v>4</v>
      </c>
      <c r="F63" s="33">
        <v>3</v>
      </c>
      <c r="G63" s="33">
        <v>0</v>
      </c>
      <c r="H63" s="33"/>
      <c r="I63" s="5" t="s">
        <v>108</v>
      </c>
      <c r="J63" s="5"/>
      <c r="K63" s="108"/>
      <c r="S63" s="117" t="s">
        <v>41</v>
      </c>
      <c r="T63" s="138" t="s">
        <v>4</v>
      </c>
      <c r="U63" s="138">
        <v>3</v>
      </c>
      <c r="V63" s="138">
        <v>0</v>
      </c>
      <c r="W63" s="138"/>
      <c r="X63" s="126">
        <f t="shared" ref="X63:X68" si="8">(IF(U63&gt;V63,3,IF(U63=V63,1,2)))</f>
        <v>3</v>
      </c>
      <c r="Y63" s="125">
        <f t="shared" ref="Y63:Y68" si="9">(IF(V63&gt;U63,3,IF(U63=V63,1,2)))</f>
        <v>2</v>
      </c>
    </row>
    <row r="64" spans="1:25" ht="15" thickBot="1" x14ac:dyDescent="0.35">
      <c r="A64" s="176"/>
      <c r="B64" s="173"/>
      <c r="C64" s="58"/>
      <c r="D64" s="59"/>
      <c r="E64" s="59"/>
      <c r="F64" s="59" t="s">
        <v>172</v>
      </c>
      <c r="G64" s="59" t="s">
        <v>171</v>
      </c>
      <c r="H64" s="59"/>
      <c r="I64" s="8"/>
      <c r="J64" s="5"/>
      <c r="K64" s="108"/>
      <c r="S64" s="117" t="s">
        <v>32</v>
      </c>
      <c r="T64" s="138" t="s">
        <v>102</v>
      </c>
      <c r="U64" s="138">
        <v>1</v>
      </c>
      <c r="V64" s="138">
        <v>1</v>
      </c>
      <c r="W64" s="138"/>
      <c r="X64" s="126">
        <f t="shared" si="8"/>
        <v>1</v>
      </c>
      <c r="Y64" s="125">
        <f t="shared" si="9"/>
        <v>1</v>
      </c>
    </row>
    <row r="65" spans="1:25" x14ac:dyDescent="0.3">
      <c r="A65" s="176"/>
      <c r="B65" s="173"/>
      <c r="C65" s="40">
        <v>21344</v>
      </c>
      <c r="D65" s="33" t="s">
        <v>32</v>
      </c>
      <c r="E65" s="33" t="s">
        <v>102</v>
      </c>
      <c r="F65" s="33">
        <v>1</v>
      </c>
      <c r="G65" s="33">
        <v>1</v>
      </c>
      <c r="H65" s="33"/>
      <c r="I65" s="5" t="s">
        <v>109</v>
      </c>
      <c r="J65" s="5"/>
      <c r="K65" s="108"/>
      <c r="S65" s="117" t="s">
        <v>4</v>
      </c>
      <c r="T65" s="138" t="s">
        <v>102</v>
      </c>
      <c r="U65" s="138">
        <v>1</v>
      </c>
      <c r="V65" s="138">
        <v>1</v>
      </c>
      <c r="W65" s="138"/>
      <c r="X65" s="126">
        <f t="shared" si="8"/>
        <v>1</v>
      </c>
      <c r="Y65" s="125">
        <f t="shared" si="9"/>
        <v>1</v>
      </c>
    </row>
    <row r="66" spans="1:25" ht="15" thickBot="1" x14ac:dyDescent="0.35">
      <c r="A66" s="176"/>
      <c r="B66" s="173"/>
      <c r="C66" s="58"/>
      <c r="D66" s="59"/>
      <c r="E66" s="59"/>
      <c r="F66" s="59" t="s">
        <v>172</v>
      </c>
      <c r="G66" s="59" t="s">
        <v>183</v>
      </c>
      <c r="H66" s="59"/>
      <c r="I66" s="8"/>
      <c r="J66" s="5"/>
      <c r="K66" s="108"/>
      <c r="S66" s="117" t="s">
        <v>41</v>
      </c>
      <c r="T66" s="138" t="s">
        <v>32</v>
      </c>
      <c r="U66" s="138">
        <v>2</v>
      </c>
      <c r="V66" s="138">
        <v>1</v>
      </c>
      <c r="W66" s="138"/>
      <c r="X66" s="126">
        <f t="shared" si="8"/>
        <v>3</v>
      </c>
      <c r="Y66" s="125">
        <f t="shared" si="9"/>
        <v>2</v>
      </c>
    </row>
    <row r="67" spans="1:25" x14ac:dyDescent="0.3">
      <c r="A67" s="176"/>
      <c r="B67" s="173"/>
      <c r="C67" s="40">
        <v>21347</v>
      </c>
      <c r="D67" s="33" t="s">
        <v>4</v>
      </c>
      <c r="E67" s="33" t="s">
        <v>102</v>
      </c>
      <c r="F67" s="33">
        <v>1</v>
      </c>
      <c r="G67" s="33">
        <v>1</v>
      </c>
      <c r="H67" s="33"/>
      <c r="I67" s="5" t="s">
        <v>108</v>
      </c>
      <c r="J67" s="5"/>
      <c r="K67" s="108"/>
      <c r="S67" s="117" t="s">
        <v>41</v>
      </c>
      <c r="T67" s="138" t="s">
        <v>102</v>
      </c>
      <c r="U67" s="138">
        <v>0</v>
      </c>
      <c r="V67" s="138">
        <v>0</v>
      </c>
      <c r="W67" s="138"/>
      <c r="X67" s="126">
        <f t="shared" si="8"/>
        <v>1</v>
      </c>
      <c r="Y67" s="125">
        <f t="shared" si="9"/>
        <v>1</v>
      </c>
    </row>
    <row r="68" spans="1:25" ht="15" thickBot="1" x14ac:dyDescent="0.35">
      <c r="A68" s="176"/>
      <c r="B68" s="173"/>
      <c r="C68" s="58"/>
      <c r="D68" s="59"/>
      <c r="E68" s="59"/>
      <c r="F68" s="59" t="s">
        <v>170</v>
      </c>
      <c r="G68" s="59" t="s">
        <v>183</v>
      </c>
      <c r="H68" s="59"/>
      <c r="I68" s="8"/>
      <c r="J68" s="5"/>
      <c r="K68" s="108"/>
      <c r="S68" s="117" t="s">
        <v>32</v>
      </c>
      <c r="T68" s="138" t="s">
        <v>4</v>
      </c>
      <c r="U68" s="138">
        <v>4</v>
      </c>
      <c r="V68" s="138">
        <v>0</v>
      </c>
      <c r="W68" s="138"/>
      <c r="X68" s="126">
        <f t="shared" si="8"/>
        <v>3</v>
      </c>
      <c r="Y68" s="125">
        <f t="shared" si="9"/>
        <v>2</v>
      </c>
    </row>
    <row r="69" spans="1:25" x14ac:dyDescent="0.3">
      <c r="A69" s="176"/>
      <c r="B69" s="173"/>
      <c r="C69" s="40">
        <v>21348</v>
      </c>
      <c r="D69" s="33" t="s">
        <v>41</v>
      </c>
      <c r="E69" s="33" t="s">
        <v>32</v>
      </c>
      <c r="F69" s="33">
        <v>2</v>
      </c>
      <c r="G69" s="33">
        <v>1</v>
      </c>
      <c r="H69" s="33"/>
      <c r="I69" s="5" t="s">
        <v>108</v>
      </c>
      <c r="J69" s="5"/>
      <c r="K69" s="108"/>
      <c r="S69" s="117"/>
      <c r="T69" s="138"/>
      <c r="U69" s="138"/>
      <c r="V69" s="138"/>
      <c r="W69" s="138"/>
      <c r="X69" s="126"/>
      <c r="Y69" s="125"/>
    </row>
    <row r="70" spans="1:25" ht="15" thickBot="1" x14ac:dyDescent="0.35">
      <c r="A70" s="176"/>
      <c r="B70" s="173"/>
      <c r="C70" s="58"/>
      <c r="D70" s="59"/>
      <c r="E70" s="59"/>
      <c r="F70" s="59" t="s">
        <v>172</v>
      </c>
      <c r="G70" s="59" t="s">
        <v>171</v>
      </c>
      <c r="H70" s="59"/>
      <c r="I70" s="8"/>
      <c r="J70" s="5"/>
      <c r="K70" s="108"/>
      <c r="S70" s="117"/>
      <c r="T70" s="138"/>
      <c r="U70" s="138"/>
      <c r="V70" s="138"/>
      <c r="W70" s="138"/>
      <c r="X70" s="126"/>
      <c r="Y70" s="125"/>
    </row>
    <row r="71" spans="1:25" ht="15" thickBot="1" x14ac:dyDescent="0.35">
      <c r="A71" s="176"/>
      <c r="B71" s="173"/>
      <c r="C71" s="58">
        <v>21351</v>
      </c>
      <c r="D71" s="59" t="s">
        <v>41</v>
      </c>
      <c r="E71" s="59" t="s">
        <v>102</v>
      </c>
      <c r="F71" s="59">
        <v>0</v>
      </c>
      <c r="G71" s="59">
        <v>0</v>
      </c>
      <c r="H71" s="59"/>
      <c r="I71" s="8" t="s">
        <v>108</v>
      </c>
      <c r="J71" s="5"/>
      <c r="K71" s="108"/>
      <c r="S71" s="117"/>
      <c r="T71" s="138"/>
      <c r="U71" s="138"/>
      <c r="V71" s="138"/>
      <c r="W71" s="138"/>
      <c r="X71" s="126"/>
      <c r="Y71" s="125"/>
    </row>
    <row r="72" spans="1:25" x14ac:dyDescent="0.3">
      <c r="A72" s="176"/>
      <c r="B72" s="173"/>
      <c r="C72" s="40">
        <v>21351</v>
      </c>
      <c r="D72" s="33" t="s">
        <v>32</v>
      </c>
      <c r="E72" s="33" t="s">
        <v>4</v>
      </c>
      <c r="F72" s="33">
        <v>4</v>
      </c>
      <c r="G72" s="33">
        <v>0</v>
      </c>
      <c r="H72" s="33"/>
      <c r="I72" s="5" t="s">
        <v>109</v>
      </c>
      <c r="J72" s="5"/>
      <c r="K72" s="108"/>
      <c r="S72" s="117"/>
      <c r="T72" s="138"/>
      <c r="U72" s="138"/>
      <c r="V72" s="138"/>
      <c r="W72" s="138"/>
      <c r="X72" s="138"/>
      <c r="Y72" s="118"/>
    </row>
    <row r="73" spans="1:25" x14ac:dyDescent="0.3">
      <c r="A73" s="156"/>
      <c r="B73" s="173"/>
      <c r="C73" s="173"/>
      <c r="D73" s="33"/>
      <c r="E73" s="33"/>
      <c r="F73" s="33" t="s">
        <v>172</v>
      </c>
      <c r="G73" s="309" t="s">
        <v>171</v>
      </c>
      <c r="H73" s="309"/>
      <c r="I73" s="5"/>
      <c r="J73" s="5"/>
      <c r="K73" s="108"/>
      <c r="S73" s="117"/>
      <c r="T73" s="138"/>
      <c r="U73" s="138"/>
      <c r="V73" s="138"/>
      <c r="W73" s="138"/>
      <c r="X73" s="126"/>
      <c r="Y73" s="125"/>
    </row>
    <row r="74" spans="1:25" x14ac:dyDescent="0.3">
      <c r="A74" s="156"/>
      <c r="B74" s="173"/>
      <c r="C74" s="173"/>
      <c r="D74" s="173"/>
      <c r="E74" s="173"/>
      <c r="F74" s="173"/>
      <c r="G74" s="5"/>
      <c r="H74" s="5"/>
      <c r="I74" s="5"/>
      <c r="J74" s="5"/>
      <c r="K74" s="108"/>
      <c r="S74" s="117"/>
      <c r="T74" s="138"/>
      <c r="U74" s="138"/>
      <c r="V74" s="138"/>
      <c r="W74" s="138"/>
      <c r="X74" s="126"/>
      <c r="Y74" s="125"/>
    </row>
    <row r="75" spans="1:25" x14ac:dyDescent="0.3">
      <c r="A75" s="156"/>
      <c r="B75" s="67"/>
      <c r="C75" s="173"/>
      <c r="D75" s="173"/>
      <c r="E75" s="173"/>
      <c r="F75" s="173"/>
      <c r="G75" s="5"/>
      <c r="H75" s="5"/>
      <c r="I75" s="5"/>
      <c r="J75" s="5"/>
      <c r="K75" s="108"/>
      <c r="S75" s="117"/>
      <c r="T75" s="138"/>
      <c r="U75" s="138"/>
      <c r="V75" s="138"/>
      <c r="W75" s="138"/>
      <c r="X75" s="126"/>
      <c r="Y75" s="125"/>
    </row>
    <row r="76" spans="1:25" ht="21" x14ac:dyDescent="0.4">
      <c r="A76" s="156"/>
      <c r="B76" s="67"/>
      <c r="C76" s="173"/>
      <c r="D76" s="173"/>
      <c r="E76" s="173"/>
      <c r="F76" s="172" t="s">
        <v>103</v>
      </c>
      <c r="G76" s="5"/>
      <c r="H76" s="5"/>
      <c r="I76" s="5"/>
      <c r="J76" s="5"/>
      <c r="K76" s="108"/>
      <c r="S76" s="117"/>
      <c r="T76" s="138"/>
      <c r="U76" s="138"/>
      <c r="V76" s="138"/>
      <c r="W76" s="138"/>
      <c r="X76" s="126"/>
      <c r="Y76" s="125"/>
    </row>
    <row r="77" spans="1:25" x14ac:dyDescent="0.3">
      <c r="A77" s="156"/>
      <c r="B77" s="67"/>
      <c r="C77" s="173"/>
      <c r="D77" s="173"/>
      <c r="E77" s="173"/>
      <c r="F77" s="173"/>
      <c r="G77" s="5"/>
      <c r="H77" s="5"/>
      <c r="I77" s="5"/>
      <c r="J77" s="5"/>
      <c r="K77" s="108"/>
      <c r="S77" s="117"/>
      <c r="T77" s="138"/>
      <c r="U77" s="138"/>
      <c r="V77" s="138"/>
      <c r="W77" s="138"/>
      <c r="X77" s="126"/>
      <c r="Y77" s="125"/>
    </row>
    <row r="78" spans="1:25" x14ac:dyDescent="0.3">
      <c r="A78" s="156"/>
      <c r="B78" s="67"/>
      <c r="C78" s="40">
        <v>21353</v>
      </c>
      <c r="D78" s="33" t="s">
        <v>102</v>
      </c>
      <c r="E78" s="33" t="s">
        <v>32</v>
      </c>
      <c r="F78" s="33">
        <v>2</v>
      </c>
      <c r="G78" s="173">
        <v>1</v>
      </c>
      <c r="H78" s="173"/>
      <c r="I78" s="5" t="s">
        <v>108</v>
      </c>
      <c r="J78" s="5"/>
      <c r="K78" s="108"/>
      <c r="S78" s="117" t="s">
        <v>102</v>
      </c>
      <c r="T78" s="138" t="s">
        <v>32</v>
      </c>
      <c r="U78" s="138">
        <v>2</v>
      </c>
      <c r="V78" s="138">
        <v>1</v>
      </c>
      <c r="W78" s="138"/>
      <c r="X78" s="126">
        <f t="shared" ref="X78" si="10">(IF(U78&gt;V78,3,IF(U78=V78,1,2)))</f>
        <v>3</v>
      </c>
      <c r="Y78" s="125">
        <f t="shared" ref="Y78" si="11">(IF(V78&gt;U78,3,IF(U78=V78,1,2)))</f>
        <v>2</v>
      </c>
    </row>
    <row r="79" spans="1:25" x14ac:dyDescent="0.3">
      <c r="A79" s="176"/>
      <c r="B79" s="173"/>
      <c r="C79" s="173"/>
      <c r="D79" s="173"/>
      <c r="E79" s="173"/>
      <c r="F79" s="173" t="s">
        <v>170</v>
      </c>
      <c r="G79" s="5" t="s">
        <v>183</v>
      </c>
      <c r="H79" s="5"/>
      <c r="I79" s="5"/>
      <c r="J79" s="5"/>
      <c r="K79" s="108"/>
      <c r="S79" s="117"/>
      <c r="T79" s="138"/>
      <c r="U79" s="138"/>
      <c r="V79" s="138"/>
      <c r="W79" s="138"/>
      <c r="X79" s="138"/>
      <c r="Y79" s="118"/>
    </row>
    <row r="80" spans="1:25" x14ac:dyDescent="0.3">
      <c r="A80" s="156"/>
      <c r="B80" s="173"/>
      <c r="C80" s="173"/>
      <c r="D80" s="173"/>
      <c r="E80" s="173"/>
      <c r="F80" s="173"/>
      <c r="G80" s="5"/>
      <c r="H80" s="5"/>
      <c r="I80" s="5"/>
      <c r="J80" s="5"/>
      <c r="K80" s="108"/>
      <c r="S80" s="117"/>
      <c r="T80" s="138"/>
      <c r="U80" s="138"/>
      <c r="V80" s="138"/>
      <c r="W80" s="138"/>
      <c r="X80" s="138"/>
      <c r="Y80" s="118"/>
    </row>
    <row r="81" spans="1:25" ht="15" thickBot="1" x14ac:dyDescent="0.35">
      <c r="A81" s="176"/>
      <c r="B81" s="173"/>
      <c r="C81" s="173" t="s">
        <v>12</v>
      </c>
      <c r="D81" s="173" t="s">
        <v>13</v>
      </c>
      <c r="E81" s="173" t="s">
        <v>14</v>
      </c>
      <c r="F81" s="173" t="s">
        <v>15</v>
      </c>
      <c r="G81" s="5" t="s">
        <v>24</v>
      </c>
      <c r="H81" s="5" t="s">
        <v>25</v>
      </c>
      <c r="I81" s="5" t="s">
        <v>26</v>
      </c>
      <c r="J81" s="5" t="s">
        <v>27</v>
      </c>
      <c r="K81" s="108"/>
      <c r="S81" s="117"/>
      <c r="T81" s="138"/>
      <c r="U81" s="138"/>
      <c r="V81" s="138"/>
      <c r="W81" s="138"/>
      <c r="X81" s="126"/>
      <c r="Y81" s="125"/>
    </row>
    <row r="82" spans="1:25" s="13" customFormat="1" x14ac:dyDescent="0.3">
      <c r="A82" s="24"/>
      <c r="B82" s="14" t="s">
        <v>41</v>
      </c>
      <c r="C82" s="372">
        <f>COUNTIF($S$63:$T$78,"Schweden")</f>
        <v>3</v>
      </c>
      <c r="D82" s="124">
        <f>SUMPRODUCT(($S$63:$T$78=B82)*($X$63:$Y$78=3))</f>
        <v>2</v>
      </c>
      <c r="E82" s="124">
        <f>SUMPRODUCT(($S$63:$T$78=B82)*($X$63:$Y$78=1))</f>
        <v>1</v>
      </c>
      <c r="F82" s="124">
        <f>SUMPRODUCT(($S$63:$T$78=B82)*($X$63:$Y$78=2))</f>
        <v>0</v>
      </c>
      <c r="G82" s="124">
        <f>SUMPRODUCT(($S$63:$S$78=B82)*($U$63:$U$78))+SUMPRODUCT(($T$63:$T$78=B82)*($V$63:$V$78))</f>
        <v>5</v>
      </c>
      <c r="H82" s="124">
        <f>SUMPRODUCT(($S$63:$S$78=B82)*($V$63:$V$78))+SUMPRODUCT(($T$63:$T$78=B82)*($U$63:$U$78))</f>
        <v>1</v>
      </c>
      <c r="I82" s="15">
        <f>(D82*2)+E82</f>
        <v>5</v>
      </c>
      <c r="J82" s="16">
        <f>(F82*2)+E82</f>
        <v>1</v>
      </c>
      <c r="K82" s="109"/>
      <c r="S82" s="117"/>
      <c r="T82" s="138"/>
      <c r="U82" s="138"/>
      <c r="V82" s="138"/>
      <c r="W82" s="138"/>
      <c r="X82" s="138"/>
      <c r="Y82" s="118"/>
    </row>
    <row r="83" spans="1:25" x14ac:dyDescent="0.3">
      <c r="A83" s="176"/>
      <c r="B83" s="3" t="s">
        <v>102</v>
      </c>
      <c r="C83" s="370">
        <f>COUNTIF($S$63:$T$78,"Wales")</f>
        <v>4</v>
      </c>
      <c r="D83" s="43">
        <f>SUMPRODUCT(($S$63:$T$78=B83)*($X$63:$Y$78=3))</f>
        <v>1</v>
      </c>
      <c r="E83" s="43">
        <f>SUMPRODUCT(($S$63:$T$78=B83)*($X$63:$Y$78=1))</f>
        <v>3</v>
      </c>
      <c r="F83" s="43">
        <f>SUMPRODUCT(($S$63:$T$78=B83)*($X$63:$Y$78=2))</f>
        <v>0</v>
      </c>
      <c r="G83" s="43">
        <f>SUMPRODUCT(($S$63:$S$78=B83)*($U$63:$U$78))+SUMPRODUCT(($T$63:$T$78=B83)*($V$63:$V$78))</f>
        <v>4</v>
      </c>
      <c r="H83" s="43">
        <f>SUMPRODUCT(($S$63:$S$78=B83)*($V$63:$V$78))+SUMPRODUCT(($T$63:$T$78=B83)*($U$63:$U$78))</f>
        <v>3</v>
      </c>
      <c r="I83" s="18">
        <f>(D83*2)+E83</f>
        <v>5</v>
      </c>
      <c r="J83" s="22">
        <f>(F83*2)+E83</f>
        <v>3</v>
      </c>
      <c r="K83" s="108"/>
      <c r="S83" s="117"/>
      <c r="T83" s="138"/>
      <c r="U83" s="138"/>
      <c r="V83" s="138"/>
      <c r="W83" s="138"/>
      <c r="X83" s="126"/>
      <c r="Y83" s="125"/>
    </row>
    <row r="84" spans="1:25" x14ac:dyDescent="0.3">
      <c r="A84" s="176"/>
      <c r="B84" s="21" t="s">
        <v>32</v>
      </c>
      <c r="C84" s="370">
        <f>COUNTIF($S$63:$T$78,"Ungarn")</f>
        <v>4</v>
      </c>
      <c r="D84" s="43">
        <f>SUMPRODUCT(($S$63:$T$78=B84)*($X$63:$Y$78=3))</f>
        <v>1</v>
      </c>
      <c r="E84" s="43">
        <f>SUMPRODUCT(($S$63:$T$78=B84)*($X$63:$Y$78=1))</f>
        <v>1</v>
      </c>
      <c r="F84" s="43">
        <f>SUMPRODUCT(($S$63:$T$78=B84)*($X$63:$Y$78=2))</f>
        <v>2</v>
      </c>
      <c r="G84" s="43">
        <f>SUMPRODUCT(($S$63:$S$78=B84)*($U$63:$U$78))+SUMPRODUCT(($T$63:$T$78=B84)*($V$63:$V$78))</f>
        <v>7</v>
      </c>
      <c r="H84" s="43">
        <f>SUMPRODUCT(($S$63:$S$78=B84)*($V$63:$V$78))+SUMPRODUCT(($T$63:$T$78=B84)*($U$63:$U$78))</f>
        <v>5</v>
      </c>
      <c r="I84" s="18">
        <f>(D84*2)+E84</f>
        <v>3</v>
      </c>
      <c r="J84" s="22">
        <f>(F84*2)+E84</f>
        <v>5</v>
      </c>
      <c r="K84" s="108"/>
      <c r="S84" s="117"/>
      <c r="T84" s="138"/>
      <c r="U84" s="138"/>
      <c r="V84" s="138"/>
      <c r="W84" s="138"/>
      <c r="X84" s="126"/>
      <c r="Y84" s="125"/>
    </row>
    <row r="85" spans="1:25" ht="15" thickBot="1" x14ac:dyDescent="0.35">
      <c r="A85" s="176"/>
      <c r="B85" s="29" t="s">
        <v>4</v>
      </c>
      <c r="C85" s="374">
        <f>COUNTIF($S$63:$T$78,"Mexiko")</f>
        <v>3</v>
      </c>
      <c r="D85" s="80">
        <f>SUMPRODUCT(($S$63:$T$78=B85)*($X$63:$Y$78=3))</f>
        <v>0</v>
      </c>
      <c r="E85" s="80">
        <f>SUMPRODUCT(($S$63:$T$78=B85)*($X$63:$Y$78=1))</f>
        <v>1</v>
      </c>
      <c r="F85" s="80">
        <f>SUMPRODUCT(($S$63:$T$78=B85)*($X$63:$Y$78=2))</f>
        <v>2</v>
      </c>
      <c r="G85" s="80">
        <f>SUMPRODUCT(($S$63:$S$78=B85)*($U$63:$U$78))+SUMPRODUCT(($T$63:$T$78=B85)*($V$63:$V$78))</f>
        <v>1</v>
      </c>
      <c r="H85" s="80">
        <f>SUMPRODUCT(($S$63:$S$78=B85)*($V$63:$V$78))+SUMPRODUCT(($T$63:$T$78=B85)*($U$63:$U$78))</f>
        <v>8</v>
      </c>
      <c r="I85" s="31">
        <f>(D85*2)+E85</f>
        <v>1</v>
      </c>
      <c r="J85" s="32">
        <f>(F85*2)+E85</f>
        <v>5</v>
      </c>
      <c r="K85" s="108"/>
      <c r="S85" s="117"/>
      <c r="T85" s="138"/>
      <c r="U85" s="138"/>
      <c r="V85" s="138"/>
      <c r="W85" s="138"/>
      <c r="X85" s="138"/>
      <c r="Y85" s="118"/>
    </row>
    <row r="86" spans="1:25" ht="15" thickBot="1" x14ac:dyDescent="0.35">
      <c r="A86" s="176"/>
      <c r="B86" s="173"/>
      <c r="C86" s="173"/>
      <c r="D86" s="173"/>
      <c r="E86" s="173"/>
      <c r="F86" s="173"/>
      <c r="G86" s="5"/>
      <c r="H86" s="5"/>
      <c r="I86" s="5"/>
      <c r="J86" s="5"/>
      <c r="K86" s="193"/>
      <c r="S86" s="117"/>
      <c r="T86" s="138"/>
      <c r="U86" s="138"/>
      <c r="V86" s="138"/>
      <c r="W86" s="138"/>
      <c r="X86" s="126"/>
      <c r="Y86" s="125"/>
    </row>
    <row r="87" spans="1:25" ht="15" thickTop="1" x14ac:dyDescent="0.3">
      <c r="A87" s="106"/>
      <c r="B87" s="25"/>
      <c r="C87" s="25"/>
      <c r="D87" s="25"/>
      <c r="E87" s="25"/>
      <c r="F87" s="25"/>
      <c r="G87" s="26"/>
      <c r="H87" s="26"/>
      <c r="I87" s="26"/>
      <c r="J87" s="26"/>
      <c r="K87" s="108"/>
      <c r="S87" s="117"/>
      <c r="T87" s="138"/>
      <c r="U87" s="138"/>
      <c r="V87" s="138"/>
      <c r="W87" s="138"/>
      <c r="X87" s="126"/>
      <c r="Y87" s="125"/>
    </row>
    <row r="88" spans="1:25" ht="21" x14ac:dyDescent="0.4">
      <c r="A88" s="176"/>
      <c r="B88" s="173"/>
      <c r="C88" s="173"/>
      <c r="D88" s="173"/>
      <c r="E88" s="173"/>
      <c r="F88" s="172" t="s">
        <v>19</v>
      </c>
      <c r="G88" s="5"/>
      <c r="H88" s="5"/>
      <c r="I88" s="5"/>
      <c r="J88" s="5"/>
      <c r="K88" s="108"/>
      <c r="S88" s="117"/>
      <c r="T88" s="138"/>
      <c r="U88" s="138"/>
      <c r="V88" s="138"/>
      <c r="W88" s="138"/>
      <c r="X88" s="126"/>
      <c r="Y88" s="125"/>
    </row>
    <row r="89" spans="1:25" x14ac:dyDescent="0.3">
      <c r="A89" s="176"/>
      <c r="B89" s="173"/>
      <c r="C89" s="173"/>
      <c r="D89" s="173"/>
      <c r="E89" s="173"/>
      <c r="F89" s="28"/>
      <c r="G89" s="5"/>
      <c r="H89" s="5"/>
      <c r="I89" s="5"/>
      <c r="J89" s="5"/>
      <c r="K89" s="108"/>
      <c r="S89" s="122"/>
      <c r="T89" s="17"/>
      <c r="U89" s="17"/>
      <c r="V89" s="17"/>
      <c r="W89" s="17"/>
      <c r="X89" s="126"/>
      <c r="Y89" s="125"/>
    </row>
    <row r="90" spans="1:25" x14ac:dyDescent="0.3">
      <c r="A90" s="176"/>
      <c r="B90" s="173"/>
      <c r="C90" s="40">
        <v>21344</v>
      </c>
      <c r="D90" s="33" t="s">
        <v>9</v>
      </c>
      <c r="E90" s="33" t="s">
        <v>29</v>
      </c>
      <c r="F90" s="33">
        <v>3</v>
      </c>
      <c r="G90" s="33">
        <v>0</v>
      </c>
      <c r="H90" s="33"/>
      <c r="I90" s="309" t="s">
        <v>111</v>
      </c>
      <c r="J90" s="5"/>
      <c r="K90" s="108"/>
      <c r="S90" s="122" t="s">
        <v>9</v>
      </c>
      <c r="T90" s="17" t="s">
        <v>29</v>
      </c>
      <c r="U90" s="17">
        <v>3</v>
      </c>
      <c r="V90" s="17">
        <v>0</v>
      </c>
      <c r="W90" s="17"/>
      <c r="X90" s="126">
        <f t="shared" ref="X90:X95" si="12">(IF(U90&gt;V90,3,IF(U90=V90,1,2)))</f>
        <v>3</v>
      </c>
      <c r="Y90" s="125">
        <f t="shared" ref="Y90:Y95" si="13">(IF(V90&gt;U90,3,IF(U90=V90,1,2)))</f>
        <v>2</v>
      </c>
    </row>
    <row r="91" spans="1:25" ht="15" thickBot="1" x14ac:dyDescent="0.35">
      <c r="A91" s="176"/>
      <c r="B91" s="173"/>
      <c r="C91" s="58"/>
      <c r="D91" s="59"/>
      <c r="E91" s="59"/>
      <c r="F91" s="59" t="s">
        <v>172</v>
      </c>
      <c r="G91" s="59" t="s">
        <v>171</v>
      </c>
      <c r="H91" s="59"/>
      <c r="I91" s="92"/>
      <c r="J91" s="5"/>
      <c r="K91" s="108"/>
      <c r="S91" s="122" t="s">
        <v>101</v>
      </c>
      <c r="T91" s="17" t="s">
        <v>74</v>
      </c>
      <c r="U91" s="17">
        <v>2</v>
      </c>
      <c r="V91" s="17">
        <v>2</v>
      </c>
      <c r="W91" s="17"/>
      <c r="X91" s="126">
        <f t="shared" si="12"/>
        <v>1</v>
      </c>
      <c r="Y91" s="125">
        <f t="shared" si="13"/>
        <v>1</v>
      </c>
    </row>
    <row r="92" spans="1:25" x14ac:dyDescent="0.3">
      <c r="A92" s="176"/>
      <c r="B92" s="173"/>
      <c r="C92" s="40">
        <v>21344</v>
      </c>
      <c r="D92" s="33" t="s">
        <v>101</v>
      </c>
      <c r="E92" s="33" t="s">
        <v>74</v>
      </c>
      <c r="F92" s="33">
        <v>2</v>
      </c>
      <c r="G92" s="33">
        <v>2</v>
      </c>
      <c r="H92" s="33"/>
      <c r="I92" s="309" t="s">
        <v>110</v>
      </c>
      <c r="J92" s="5"/>
      <c r="K92" s="108"/>
      <c r="S92" s="117" t="s">
        <v>9</v>
      </c>
      <c r="T92" s="138" t="s">
        <v>74</v>
      </c>
      <c r="U92" s="138">
        <v>0</v>
      </c>
      <c r="V92" s="138">
        <v>0</v>
      </c>
      <c r="W92" s="138"/>
      <c r="X92" s="126">
        <f t="shared" si="12"/>
        <v>1</v>
      </c>
      <c r="Y92" s="125">
        <f t="shared" si="13"/>
        <v>1</v>
      </c>
    </row>
    <row r="93" spans="1:25" ht="15" thickBot="1" x14ac:dyDescent="0.35">
      <c r="A93" s="176"/>
      <c r="B93" s="173"/>
      <c r="C93" s="58"/>
      <c r="D93" s="59"/>
      <c r="E93" s="59"/>
      <c r="F93" s="59" t="s">
        <v>172</v>
      </c>
      <c r="G93" s="59" t="s">
        <v>171</v>
      </c>
      <c r="H93" s="59"/>
      <c r="I93" s="92"/>
      <c r="J93" s="5"/>
      <c r="K93" s="108"/>
      <c r="S93" s="122" t="s">
        <v>101</v>
      </c>
      <c r="T93" s="17" t="s">
        <v>29</v>
      </c>
      <c r="U93" s="17">
        <v>2</v>
      </c>
      <c r="V93" s="17">
        <v>0</v>
      </c>
      <c r="W93" s="17"/>
      <c r="X93" s="126">
        <f t="shared" si="12"/>
        <v>3</v>
      </c>
      <c r="Y93" s="125">
        <f t="shared" si="13"/>
        <v>2</v>
      </c>
    </row>
    <row r="94" spans="1:25" ht="15" thickBot="1" x14ac:dyDescent="0.35">
      <c r="A94" s="176"/>
      <c r="B94" s="173"/>
      <c r="C94" s="58">
        <v>21347</v>
      </c>
      <c r="D94" s="59" t="s">
        <v>9</v>
      </c>
      <c r="E94" s="59" t="s">
        <v>74</v>
      </c>
      <c r="F94" s="59">
        <v>0</v>
      </c>
      <c r="G94" s="59">
        <v>0</v>
      </c>
      <c r="H94" s="59"/>
      <c r="I94" s="92" t="s">
        <v>110</v>
      </c>
      <c r="J94" s="5"/>
      <c r="K94" s="108"/>
      <c r="S94" s="117" t="s">
        <v>9</v>
      </c>
      <c r="T94" s="138" t="s">
        <v>101</v>
      </c>
      <c r="U94" s="138">
        <v>2</v>
      </c>
      <c r="V94" s="138">
        <v>0</v>
      </c>
      <c r="W94" s="138"/>
      <c r="X94" s="126">
        <f t="shared" si="12"/>
        <v>3</v>
      </c>
      <c r="Y94" s="125">
        <f t="shared" si="13"/>
        <v>2</v>
      </c>
    </row>
    <row r="95" spans="1:25" x14ac:dyDescent="0.3">
      <c r="A95" s="176"/>
      <c r="B95" s="173"/>
      <c r="C95" s="40">
        <v>21347</v>
      </c>
      <c r="D95" s="33" t="s">
        <v>101</v>
      </c>
      <c r="E95" s="33" t="s">
        <v>29</v>
      </c>
      <c r="F95" s="33">
        <v>2</v>
      </c>
      <c r="G95" s="33">
        <v>0</v>
      </c>
      <c r="H95" s="33"/>
      <c r="I95" s="309" t="s">
        <v>112</v>
      </c>
      <c r="J95" s="5"/>
      <c r="K95" s="108"/>
      <c r="S95" s="117" t="s">
        <v>74</v>
      </c>
      <c r="T95" s="138" t="s">
        <v>29</v>
      </c>
      <c r="U95" s="138">
        <v>2</v>
      </c>
      <c r="V95" s="138">
        <v>2</v>
      </c>
      <c r="W95" s="138"/>
      <c r="X95" s="126">
        <f t="shared" si="12"/>
        <v>1</v>
      </c>
      <c r="Y95" s="125">
        <f t="shared" si="13"/>
        <v>1</v>
      </c>
    </row>
    <row r="96" spans="1:25" ht="15" thickBot="1" x14ac:dyDescent="0.35">
      <c r="A96" s="176"/>
      <c r="B96" s="173"/>
      <c r="C96" s="58"/>
      <c r="D96" s="59"/>
      <c r="E96" s="59"/>
      <c r="F96" s="59" t="s">
        <v>172</v>
      </c>
      <c r="G96" s="59" t="s">
        <v>171</v>
      </c>
      <c r="H96" s="59"/>
      <c r="I96" s="92"/>
      <c r="J96" s="5"/>
      <c r="K96" s="108"/>
      <c r="S96" s="117"/>
      <c r="T96" s="138"/>
      <c r="U96" s="138"/>
      <c r="V96" s="138"/>
      <c r="W96" s="138"/>
      <c r="X96" s="126"/>
      <c r="Y96" s="125"/>
    </row>
    <row r="97" spans="1:25" x14ac:dyDescent="0.3">
      <c r="A97" s="176"/>
      <c r="B97" s="173"/>
      <c r="C97" s="40">
        <v>21351</v>
      </c>
      <c r="D97" s="33" t="s">
        <v>9</v>
      </c>
      <c r="E97" s="33" t="s">
        <v>101</v>
      </c>
      <c r="F97" s="33">
        <v>2</v>
      </c>
      <c r="G97" s="33">
        <v>0</v>
      </c>
      <c r="H97" s="33"/>
      <c r="I97" s="309" t="s">
        <v>110</v>
      </c>
      <c r="J97" s="5"/>
      <c r="K97" s="108"/>
      <c r="S97" s="117"/>
      <c r="T97" s="138"/>
      <c r="U97" s="138"/>
      <c r="V97" s="138"/>
      <c r="W97" s="138"/>
      <c r="X97" s="138"/>
      <c r="Y97" s="118"/>
    </row>
    <row r="98" spans="1:25" ht="15" thickBot="1" x14ac:dyDescent="0.35">
      <c r="A98" s="176"/>
      <c r="B98" s="173"/>
      <c r="C98" s="58"/>
      <c r="D98" s="59"/>
      <c r="E98" s="59"/>
      <c r="F98" s="59" t="s">
        <v>172</v>
      </c>
      <c r="G98" s="59" t="s">
        <v>171</v>
      </c>
      <c r="H98" s="59"/>
      <c r="I98" s="92"/>
      <c r="J98" s="5"/>
      <c r="K98" s="108"/>
      <c r="S98" s="117"/>
      <c r="T98" s="138"/>
      <c r="U98" s="138"/>
      <c r="V98" s="138"/>
      <c r="W98" s="138"/>
      <c r="X98" s="138"/>
      <c r="Y98" s="118"/>
    </row>
    <row r="99" spans="1:25" x14ac:dyDescent="0.3">
      <c r="A99" s="176"/>
      <c r="B99" s="173"/>
      <c r="C99" s="40">
        <v>21351</v>
      </c>
      <c r="D99" s="66" t="s">
        <v>74</v>
      </c>
      <c r="E99" s="66" t="s">
        <v>29</v>
      </c>
      <c r="F99" s="66">
        <v>2</v>
      </c>
      <c r="G99" s="66">
        <v>2</v>
      </c>
      <c r="H99" s="33"/>
      <c r="I99" s="309" t="s">
        <v>112</v>
      </c>
      <c r="J99" s="5"/>
      <c r="K99" s="108"/>
      <c r="S99" s="117"/>
      <c r="T99" s="138"/>
      <c r="U99" s="138"/>
      <c r="V99" s="138"/>
      <c r="W99" s="138"/>
      <c r="X99" s="138"/>
      <c r="Y99" s="118"/>
    </row>
    <row r="100" spans="1:25" x14ac:dyDescent="0.3">
      <c r="A100" s="156"/>
      <c r="B100" s="17"/>
      <c r="C100" s="17"/>
      <c r="D100" s="66"/>
      <c r="E100" s="66"/>
      <c r="F100" s="33" t="s">
        <v>170</v>
      </c>
      <c r="G100" s="309" t="s">
        <v>183</v>
      </c>
      <c r="H100" s="309"/>
      <c r="I100" s="309"/>
      <c r="J100" s="5"/>
      <c r="K100" s="108"/>
      <c r="S100" s="117"/>
      <c r="T100" s="138"/>
      <c r="U100" s="138"/>
      <c r="V100" s="138"/>
      <c r="W100" s="138"/>
      <c r="X100" s="126"/>
      <c r="Y100" s="125"/>
    </row>
    <row r="101" spans="1:25" x14ac:dyDescent="0.3">
      <c r="A101" s="156"/>
      <c r="B101" s="173"/>
      <c r="C101" s="17"/>
      <c r="D101" s="66"/>
      <c r="E101" s="66"/>
      <c r="F101" s="33"/>
      <c r="G101" s="309"/>
      <c r="H101" s="309"/>
      <c r="I101" s="309"/>
      <c r="J101" s="5"/>
      <c r="K101" s="108"/>
      <c r="S101" s="117"/>
      <c r="T101" s="138"/>
      <c r="U101" s="138"/>
      <c r="V101" s="138"/>
      <c r="W101" s="138"/>
      <c r="X101" s="126"/>
      <c r="Y101" s="125"/>
    </row>
    <row r="102" spans="1:25" x14ac:dyDescent="0.3">
      <c r="A102" s="156"/>
      <c r="B102" s="195"/>
      <c r="C102" s="17"/>
      <c r="D102" s="66"/>
      <c r="E102" s="66"/>
      <c r="F102" s="33"/>
      <c r="G102" s="309"/>
      <c r="H102" s="309"/>
      <c r="I102" s="309"/>
      <c r="J102" s="5"/>
      <c r="K102" s="108"/>
      <c r="S102" s="117"/>
      <c r="T102" s="138"/>
      <c r="U102" s="138"/>
      <c r="V102" s="138"/>
      <c r="W102" s="138"/>
      <c r="X102" s="126"/>
      <c r="Y102" s="125"/>
    </row>
    <row r="103" spans="1:25" ht="21" x14ac:dyDescent="0.4">
      <c r="A103" s="156"/>
      <c r="B103" s="195"/>
      <c r="C103" s="17"/>
      <c r="D103" s="66"/>
      <c r="E103" s="66"/>
      <c r="F103" s="382" t="s">
        <v>103</v>
      </c>
      <c r="G103" s="309"/>
      <c r="H103" s="309"/>
      <c r="I103" s="309"/>
      <c r="J103" s="5"/>
      <c r="K103" s="108"/>
      <c r="S103" s="117"/>
      <c r="T103" s="138"/>
      <c r="U103" s="138"/>
      <c r="V103" s="138"/>
      <c r="W103" s="138"/>
      <c r="X103" s="126"/>
      <c r="Y103" s="125"/>
    </row>
    <row r="104" spans="1:25" x14ac:dyDescent="0.3">
      <c r="A104" s="156"/>
      <c r="B104" s="195"/>
      <c r="C104" s="17"/>
      <c r="D104" s="66"/>
      <c r="E104" s="66"/>
      <c r="F104" s="33"/>
      <c r="G104" s="309"/>
      <c r="H104" s="309"/>
      <c r="I104" s="309"/>
      <c r="J104" s="5"/>
      <c r="K104" s="108"/>
      <c r="S104" s="122"/>
      <c r="T104" s="17"/>
      <c r="U104" s="17"/>
      <c r="V104" s="17"/>
      <c r="W104" s="17"/>
      <c r="X104" s="126"/>
      <c r="Y104" s="125"/>
    </row>
    <row r="105" spans="1:25" x14ac:dyDescent="0.3">
      <c r="A105" s="156"/>
      <c r="B105" s="195"/>
      <c r="C105" s="40">
        <v>21353</v>
      </c>
      <c r="D105" s="33" t="s">
        <v>101</v>
      </c>
      <c r="E105" s="33" t="s">
        <v>74</v>
      </c>
      <c r="F105" s="33">
        <v>1</v>
      </c>
      <c r="G105" s="33">
        <v>0</v>
      </c>
      <c r="H105" s="33"/>
      <c r="I105" s="309" t="s">
        <v>110</v>
      </c>
      <c r="J105" s="5"/>
      <c r="K105" s="108"/>
      <c r="S105" s="117" t="s">
        <v>101</v>
      </c>
      <c r="T105" s="138" t="s">
        <v>74</v>
      </c>
      <c r="U105" s="138">
        <v>1</v>
      </c>
      <c r="V105" s="138">
        <v>0</v>
      </c>
      <c r="W105" s="138"/>
      <c r="X105" s="126">
        <f t="shared" ref="X105" si="14">(IF(U105&gt;V105,3,IF(U105=V105,1,2)))</f>
        <v>3</v>
      </c>
      <c r="Y105" s="125">
        <f t="shared" ref="Y105" si="15">(IF(V105&gt;U105,3,IF(U105=V105,1,2)))</f>
        <v>2</v>
      </c>
    </row>
    <row r="106" spans="1:25" x14ac:dyDescent="0.3">
      <c r="A106" s="156"/>
      <c r="B106" s="195"/>
      <c r="C106" s="17"/>
      <c r="D106" s="66"/>
      <c r="E106" s="66"/>
      <c r="F106" s="33" t="s">
        <v>170</v>
      </c>
      <c r="G106" s="309" t="s">
        <v>171</v>
      </c>
      <c r="H106" s="309"/>
      <c r="I106" s="309"/>
      <c r="J106" s="5"/>
      <c r="K106" s="108"/>
      <c r="S106" s="117"/>
      <c r="T106" s="138"/>
      <c r="U106" s="138"/>
      <c r="V106" s="138"/>
      <c r="W106" s="138"/>
      <c r="X106" s="138"/>
      <c r="Y106" s="118"/>
    </row>
    <row r="107" spans="1:25" x14ac:dyDescent="0.3">
      <c r="A107" s="156"/>
      <c r="B107" s="173"/>
      <c r="C107" s="173"/>
      <c r="D107" s="173"/>
      <c r="E107" s="173"/>
      <c r="F107" s="173"/>
      <c r="G107" s="5"/>
      <c r="H107" s="5"/>
      <c r="I107" s="5"/>
      <c r="J107" s="5"/>
      <c r="K107" s="108"/>
      <c r="S107" s="117"/>
      <c r="T107" s="138"/>
      <c r="U107" s="138"/>
      <c r="V107" s="138"/>
      <c r="W107" s="138"/>
      <c r="X107" s="138"/>
      <c r="Y107" s="118"/>
    </row>
    <row r="108" spans="1:25" ht="15" thickBot="1" x14ac:dyDescent="0.35">
      <c r="A108" s="176"/>
      <c r="B108" s="173"/>
      <c r="C108" s="173" t="s">
        <v>12</v>
      </c>
      <c r="D108" s="173" t="s">
        <v>13</v>
      </c>
      <c r="E108" s="173" t="s">
        <v>14</v>
      </c>
      <c r="F108" s="173" t="s">
        <v>15</v>
      </c>
      <c r="G108" s="5" t="s">
        <v>24</v>
      </c>
      <c r="H108" s="5" t="s">
        <v>25</v>
      </c>
      <c r="I108" s="5" t="s">
        <v>26</v>
      </c>
      <c r="J108" s="5" t="s">
        <v>27</v>
      </c>
      <c r="K108" s="108"/>
      <c r="S108" s="117"/>
      <c r="T108" s="138"/>
      <c r="U108" s="138"/>
      <c r="V108" s="138"/>
      <c r="W108" s="138"/>
      <c r="X108" s="138"/>
      <c r="Y108" s="118"/>
    </row>
    <row r="109" spans="1:25" s="13" customFormat="1" x14ac:dyDescent="0.3">
      <c r="A109" s="24"/>
      <c r="B109" s="14" t="s">
        <v>9</v>
      </c>
      <c r="C109" s="372">
        <f>COUNTIF($S$90:$T$105,"Brasilien")</f>
        <v>3</v>
      </c>
      <c r="D109" s="124">
        <f>SUMPRODUCT(($S$90:$T$105=B109)*($X$90:$Y$105=3))</f>
        <v>2</v>
      </c>
      <c r="E109" s="124">
        <f>SUMPRODUCT(($S$90:$T$105=B109)*($X$90:$Y$105=1))</f>
        <v>1</v>
      </c>
      <c r="F109" s="124">
        <f>SUMPRODUCT(($S$90:$T$105=B109)*($X$90:$Y$105=2))</f>
        <v>0</v>
      </c>
      <c r="G109" s="124">
        <f>SUMPRODUCT(($S$90:$S$105=B109)*($U$90:$U$105))+SUMPRODUCT(($T$90:$T$105=B109)*($V$90:$V$105))</f>
        <v>5</v>
      </c>
      <c r="H109" s="124">
        <f>SUMPRODUCT(($S$90:$S$105=B109)*($V$90:$V$105))+SUMPRODUCT(($T$90:$T$105=B109)*($U$90:$U$105))</f>
        <v>0</v>
      </c>
      <c r="I109" s="15">
        <f>(D109*2)+E109</f>
        <v>5</v>
      </c>
      <c r="J109" s="16">
        <f>(F109*2)+E109</f>
        <v>1</v>
      </c>
      <c r="K109" s="109"/>
      <c r="S109" s="122"/>
      <c r="T109" s="17"/>
      <c r="U109" s="17"/>
      <c r="V109" s="17"/>
      <c r="W109" s="17"/>
      <c r="X109" s="17"/>
      <c r="Y109" s="123"/>
    </row>
    <row r="110" spans="1:25" x14ac:dyDescent="0.3">
      <c r="A110" s="176"/>
      <c r="B110" s="3" t="s">
        <v>101</v>
      </c>
      <c r="C110" s="370">
        <f>COUNTIF($S$90:$T$105,"UdSSR")</f>
        <v>4</v>
      </c>
      <c r="D110" s="43">
        <f>SUMPRODUCT(($S$90:$T$105=B110)*($X$90:$Y$105=3))</f>
        <v>2</v>
      </c>
      <c r="E110" s="43">
        <f>SUMPRODUCT(($S$90:$T$105=B110)*($X$90:$Y$105=1))</f>
        <v>1</v>
      </c>
      <c r="F110" s="43">
        <f>SUMPRODUCT(($S$90:$T$105=B110)*($X$90:$Y$105=2))</f>
        <v>1</v>
      </c>
      <c r="G110" s="43">
        <f>SUMPRODUCT(($S$90:$S$105=B110)*($U$90:$U$105))+SUMPRODUCT(($T$90:$T$105=B110)*($V$90:$V$105))</f>
        <v>5</v>
      </c>
      <c r="H110" s="43">
        <f>SUMPRODUCT(($S$90:$S$105=B110)*($V$90:$V$105))+SUMPRODUCT(($T$90:$T$105=B110)*($U$90:$U$105))</f>
        <v>4</v>
      </c>
      <c r="I110" s="18">
        <f>(D110*2)+E110</f>
        <v>5</v>
      </c>
      <c r="J110" s="22">
        <f>(F110*2)+E110</f>
        <v>3</v>
      </c>
      <c r="K110" s="108"/>
      <c r="S110" s="117"/>
      <c r="T110" s="138"/>
      <c r="U110" s="138"/>
      <c r="V110" s="138"/>
      <c r="W110" s="138"/>
      <c r="X110" s="138"/>
      <c r="Y110" s="118"/>
    </row>
    <row r="111" spans="1:25" x14ac:dyDescent="0.3">
      <c r="A111" s="176"/>
      <c r="B111" s="3" t="s">
        <v>74</v>
      </c>
      <c r="C111" s="370">
        <f>COUNTIF($S$90:$T$105,"England")</f>
        <v>4</v>
      </c>
      <c r="D111" s="43">
        <f>SUMPRODUCT(($S$90:$T$105=B111)*($X$90:$Y$105=3))</f>
        <v>0</v>
      </c>
      <c r="E111" s="43">
        <f>SUMPRODUCT(($S$90:$T$105=B111)*($X$90:$Y$105=1))</f>
        <v>3</v>
      </c>
      <c r="F111" s="43">
        <f>SUMPRODUCT(($S$90:$T$105=B111)*($X$90:$Y$105=2))</f>
        <v>1</v>
      </c>
      <c r="G111" s="43">
        <f>SUMPRODUCT(($S$90:$S$105=B111)*($U$90:$U$105))+SUMPRODUCT(($T$90:$T$105=B111)*($V$90:$V$105))</f>
        <v>4</v>
      </c>
      <c r="H111" s="43">
        <f>SUMPRODUCT(($S$90:$S$105=B111)*($V$90:$V$105))+SUMPRODUCT(($T$90:$T$105=B111)*($U$90:$U$105))</f>
        <v>5</v>
      </c>
      <c r="I111" s="18">
        <f>(D111*2)+E111</f>
        <v>3</v>
      </c>
      <c r="J111" s="22">
        <f>(F111*2)+E111</f>
        <v>5</v>
      </c>
      <c r="K111" s="108"/>
      <c r="S111" s="117"/>
      <c r="T111" s="138"/>
      <c r="U111" s="138"/>
      <c r="V111" s="138"/>
      <c r="W111" s="138"/>
      <c r="X111" s="138"/>
      <c r="Y111" s="118"/>
    </row>
    <row r="112" spans="1:25" ht="15" thickBot="1" x14ac:dyDescent="0.35">
      <c r="A112" s="176"/>
      <c r="B112" s="29" t="s">
        <v>29</v>
      </c>
      <c r="C112" s="374">
        <f>COUNTIF($S$90:$T$105,"Österreich")</f>
        <v>3</v>
      </c>
      <c r="D112" s="80">
        <f>SUMPRODUCT(($S$90:$T$105=B112)*($X$90:$Y$105=3))</f>
        <v>0</v>
      </c>
      <c r="E112" s="80">
        <f>SUMPRODUCT(($S$90:$T$105=B112)*($X$90:$Y$105=1))</f>
        <v>1</v>
      </c>
      <c r="F112" s="80">
        <f>SUMPRODUCT(($S$90:$T$105=B112)*($X$90:$Y$105=2))</f>
        <v>2</v>
      </c>
      <c r="G112" s="80">
        <f>SUMPRODUCT(($S$90:$S$105=B112)*($U$90:$U$105))+SUMPRODUCT(($T$90:$T$105=B112)*($V$90:$V$105))</f>
        <v>2</v>
      </c>
      <c r="H112" s="80">
        <f>SUMPRODUCT(($S$90:$S$105=B112)*($V$90:$V$105))+SUMPRODUCT(($T$90:$T$105=B112)*($U$90:$U$105))</f>
        <v>7</v>
      </c>
      <c r="I112" s="31">
        <f>(D112*2)+E112</f>
        <v>1</v>
      </c>
      <c r="J112" s="32">
        <f>(F112*2)+E112</f>
        <v>5</v>
      </c>
      <c r="K112" s="108"/>
      <c r="S112" s="117"/>
      <c r="T112" s="138"/>
      <c r="U112" s="138"/>
      <c r="V112" s="138"/>
      <c r="W112" s="138"/>
      <c r="X112" s="126"/>
      <c r="Y112" s="125"/>
    </row>
    <row r="113" spans="1:25" ht="15" thickBot="1" x14ac:dyDescent="0.35">
      <c r="A113" s="176"/>
      <c r="B113" s="173"/>
      <c r="C113" s="173"/>
      <c r="D113" s="173"/>
      <c r="E113" s="173"/>
      <c r="F113" s="173"/>
      <c r="G113" s="5"/>
      <c r="H113" s="5"/>
      <c r="I113" s="5"/>
      <c r="J113" s="5"/>
      <c r="K113" s="193"/>
      <c r="S113" s="117"/>
      <c r="T113" s="138"/>
      <c r="U113" s="138"/>
      <c r="V113" s="138"/>
      <c r="W113" s="138"/>
      <c r="X113" s="126"/>
      <c r="Y113" s="125"/>
    </row>
    <row r="114" spans="1:25" ht="15" thickTop="1" x14ac:dyDescent="0.3">
      <c r="A114" s="106"/>
      <c r="B114" s="25"/>
      <c r="C114" s="25"/>
      <c r="D114" s="25"/>
      <c r="E114" s="25"/>
      <c r="F114" s="25"/>
      <c r="G114" s="26"/>
      <c r="H114" s="26"/>
      <c r="I114" s="26"/>
      <c r="J114" s="26"/>
      <c r="K114" s="108"/>
      <c r="S114" s="117"/>
      <c r="T114" s="138"/>
      <c r="U114" s="138"/>
      <c r="V114" s="138"/>
      <c r="W114" s="138"/>
      <c r="X114" s="138"/>
      <c r="Y114" s="118"/>
    </row>
    <row r="115" spans="1:25" ht="21" x14ac:dyDescent="0.4">
      <c r="A115" s="176"/>
      <c r="B115" s="173"/>
      <c r="C115" s="173"/>
      <c r="D115" s="173"/>
      <c r="E115" s="173"/>
      <c r="F115" s="172" t="s">
        <v>47</v>
      </c>
      <c r="G115" s="5"/>
      <c r="H115" s="5"/>
      <c r="I115" s="5"/>
      <c r="J115" s="5"/>
      <c r="K115" s="108"/>
      <c r="S115" s="117"/>
      <c r="T115" s="138"/>
      <c r="U115" s="138"/>
      <c r="V115" s="138"/>
      <c r="W115" s="138"/>
      <c r="X115" s="138"/>
      <c r="Y115" s="118"/>
    </row>
    <row r="116" spans="1:25" x14ac:dyDescent="0.3">
      <c r="A116" s="176"/>
      <c r="B116" s="173"/>
      <c r="C116" s="173"/>
      <c r="D116" s="173"/>
      <c r="E116" s="173"/>
      <c r="F116" s="173"/>
      <c r="G116" s="5"/>
      <c r="H116" s="5"/>
      <c r="I116" s="5"/>
      <c r="J116" s="5"/>
      <c r="K116" s="108"/>
      <c r="S116" s="117"/>
      <c r="T116" s="138"/>
      <c r="U116" s="138"/>
      <c r="V116" s="138"/>
      <c r="W116" s="138"/>
      <c r="X116" s="138"/>
      <c r="Y116" s="118"/>
    </row>
    <row r="117" spans="1:25" x14ac:dyDescent="0.3">
      <c r="A117" s="176"/>
      <c r="B117" s="173"/>
      <c r="C117" s="40">
        <v>21355</v>
      </c>
      <c r="D117" s="33" t="s">
        <v>88</v>
      </c>
      <c r="E117" s="33" t="s">
        <v>8</v>
      </c>
      <c r="F117" s="33">
        <v>1</v>
      </c>
      <c r="G117" s="33">
        <v>0</v>
      </c>
      <c r="H117" s="33"/>
      <c r="I117" s="309" t="s">
        <v>97</v>
      </c>
      <c r="J117" s="5"/>
      <c r="K117" s="108"/>
      <c r="S117" s="117" t="s">
        <v>88</v>
      </c>
      <c r="T117" s="138" t="s">
        <v>8</v>
      </c>
      <c r="U117" s="138">
        <v>1</v>
      </c>
      <c r="V117" s="138">
        <v>0</v>
      </c>
      <c r="W117" s="138"/>
      <c r="X117" s="126">
        <f t="shared" ref="X117:X119" si="16">(IF(U117&gt;V117,3,IF(U117=V117,1,2)))</f>
        <v>3</v>
      </c>
      <c r="Y117" s="125">
        <f t="shared" ref="Y117:Y119" si="17">(IF(V117&gt;U117,3,IF(U117=V117,1,2)))</f>
        <v>2</v>
      </c>
    </row>
    <row r="118" spans="1:25" ht="15" thickBot="1" x14ac:dyDescent="0.35">
      <c r="A118" s="176"/>
      <c r="B118" s="173"/>
      <c r="C118" s="58"/>
      <c r="D118" s="59"/>
      <c r="E118" s="59"/>
      <c r="F118" s="59" t="s">
        <v>172</v>
      </c>
      <c r="G118" s="59" t="s">
        <v>171</v>
      </c>
      <c r="H118" s="59"/>
      <c r="I118" s="92"/>
      <c r="J118" s="5"/>
      <c r="K118" s="108"/>
      <c r="S118" s="117" t="s">
        <v>41</v>
      </c>
      <c r="T118" s="138" t="s">
        <v>101</v>
      </c>
      <c r="U118" s="138">
        <v>2</v>
      </c>
      <c r="V118" s="138">
        <v>0</v>
      </c>
      <c r="W118" s="138"/>
      <c r="X118" s="126">
        <f t="shared" si="16"/>
        <v>3</v>
      </c>
      <c r="Y118" s="125">
        <f t="shared" si="17"/>
        <v>2</v>
      </c>
    </row>
    <row r="119" spans="1:25" x14ac:dyDescent="0.3">
      <c r="A119" s="176"/>
      <c r="B119" s="173"/>
      <c r="C119" s="165">
        <v>21355</v>
      </c>
      <c r="D119" s="66" t="s">
        <v>41</v>
      </c>
      <c r="E119" s="66" t="s">
        <v>101</v>
      </c>
      <c r="F119" s="66">
        <v>2</v>
      </c>
      <c r="G119" s="66">
        <v>0</v>
      </c>
      <c r="H119" s="66"/>
      <c r="I119" s="94" t="s">
        <v>108</v>
      </c>
      <c r="J119" s="5"/>
      <c r="K119" s="108"/>
      <c r="S119" s="117" t="s">
        <v>3</v>
      </c>
      <c r="T119" s="138" t="s">
        <v>98</v>
      </c>
      <c r="U119" s="138">
        <v>4</v>
      </c>
      <c r="V119" s="138">
        <v>0</v>
      </c>
      <c r="W119" s="138"/>
      <c r="X119" s="126">
        <f t="shared" si="16"/>
        <v>3</v>
      </c>
      <c r="Y119" s="125">
        <f t="shared" si="17"/>
        <v>2</v>
      </c>
    </row>
    <row r="120" spans="1:25" ht="15" thickBot="1" x14ac:dyDescent="0.35">
      <c r="A120" s="176"/>
      <c r="B120" s="173"/>
      <c r="C120" s="62"/>
      <c r="D120" s="367"/>
      <c r="E120" s="367"/>
      <c r="F120" s="367" t="s">
        <v>170</v>
      </c>
      <c r="G120" s="367" t="s">
        <v>171</v>
      </c>
      <c r="H120" s="367"/>
      <c r="I120" s="162"/>
      <c r="J120" s="5"/>
      <c r="K120" s="108"/>
      <c r="S120" s="117" t="s">
        <v>9</v>
      </c>
      <c r="T120" s="138" t="s">
        <v>102</v>
      </c>
      <c r="U120" s="138">
        <v>1</v>
      </c>
      <c r="V120" s="138">
        <v>0</v>
      </c>
      <c r="W120" s="138"/>
      <c r="X120" s="126">
        <f t="shared" ref="X120" si="18">(IF(U120&gt;V120,3,IF(U120=V120,1,2)))</f>
        <v>3</v>
      </c>
      <c r="Y120" s="125">
        <f t="shared" ref="Y120" si="19">(IF(V120&gt;U120,3,IF(U120=V120,1,2)))</f>
        <v>2</v>
      </c>
    </row>
    <row r="121" spans="1:25" s="13" customFormat="1" x14ac:dyDescent="0.3">
      <c r="A121" s="186"/>
      <c r="B121" s="95"/>
      <c r="C121" s="40">
        <v>21355</v>
      </c>
      <c r="D121" s="33" t="s">
        <v>3</v>
      </c>
      <c r="E121" s="33" t="s">
        <v>98</v>
      </c>
      <c r="F121" s="33">
        <v>4</v>
      </c>
      <c r="G121" s="33">
        <v>0</v>
      </c>
      <c r="H121" s="33"/>
      <c r="I121" s="309" t="s">
        <v>104</v>
      </c>
      <c r="J121" s="18"/>
      <c r="K121" s="109"/>
      <c r="S121" s="122"/>
      <c r="T121" s="17"/>
      <c r="U121" s="17"/>
      <c r="V121" s="17"/>
      <c r="W121" s="17"/>
      <c r="X121" s="17"/>
      <c r="Y121" s="123"/>
    </row>
    <row r="122" spans="1:25" s="13" customFormat="1" ht="15" thickBot="1" x14ac:dyDescent="0.35">
      <c r="A122" s="186"/>
      <c r="B122" s="95"/>
      <c r="C122" s="58"/>
      <c r="D122" s="59"/>
      <c r="E122" s="59"/>
      <c r="F122" s="59" t="s">
        <v>172</v>
      </c>
      <c r="G122" s="59" t="s">
        <v>171</v>
      </c>
      <c r="H122" s="59"/>
      <c r="I122" s="92"/>
      <c r="J122" s="18"/>
      <c r="K122" s="109"/>
      <c r="S122" s="117"/>
      <c r="T122" s="138"/>
      <c r="U122" s="138"/>
      <c r="V122" s="138"/>
      <c r="W122" s="138"/>
      <c r="X122" s="138"/>
      <c r="Y122" s="118"/>
    </row>
    <row r="123" spans="1:25" s="13" customFormat="1" x14ac:dyDescent="0.3">
      <c r="A123" s="186"/>
      <c r="B123" s="95"/>
      <c r="C123" s="165">
        <v>21355</v>
      </c>
      <c r="D123" s="66" t="s">
        <v>9</v>
      </c>
      <c r="E123" s="66" t="s">
        <v>102</v>
      </c>
      <c r="F123" s="66">
        <v>1</v>
      </c>
      <c r="G123" s="66">
        <v>0</v>
      </c>
      <c r="H123" s="66"/>
      <c r="I123" s="94" t="s">
        <v>110</v>
      </c>
      <c r="J123" s="18"/>
      <c r="K123" s="109"/>
      <c r="S123" s="117"/>
      <c r="T123" s="138"/>
      <c r="U123" s="138"/>
      <c r="V123" s="138"/>
      <c r="W123" s="138"/>
      <c r="X123" s="138"/>
      <c r="Y123" s="118"/>
    </row>
    <row r="124" spans="1:25" s="13" customFormat="1" x14ac:dyDescent="0.3">
      <c r="A124" s="194"/>
      <c r="B124" s="17"/>
      <c r="C124" s="17"/>
      <c r="D124" s="66"/>
      <c r="E124" s="66"/>
      <c r="F124" s="66" t="s">
        <v>170</v>
      </c>
      <c r="G124" s="94" t="s">
        <v>171</v>
      </c>
      <c r="H124" s="94"/>
      <c r="I124" s="94"/>
      <c r="J124" s="18"/>
      <c r="K124" s="109"/>
      <c r="S124" s="117"/>
      <c r="T124" s="138"/>
      <c r="U124" s="138"/>
      <c r="V124" s="138"/>
      <c r="W124" s="138"/>
      <c r="X124" s="138"/>
      <c r="Y124" s="118"/>
    </row>
    <row r="125" spans="1:25" s="13" customFormat="1" x14ac:dyDescent="0.3">
      <c r="A125" s="194"/>
      <c r="B125" s="17"/>
      <c r="C125" s="17"/>
      <c r="D125" s="66"/>
      <c r="E125" s="66"/>
      <c r="F125" s="66"/>
      <c r="G125" s="94"/>
      <c r="H125" s="94"/>
      <c r="I125" s="94"/>
      <c r="J125" s="18"/>
      <c r="K125" s="109"/>
      <c r="S125" s="117"/>
      <c r="T125" s="138"/>
      <c r="U125" s="138"/>
      <c r="V125" s="138"/>
      <c r="W125" s="138"/>
      <c r="X125" s="138"/>
      <c r="Y125" s="118"/>
    </row>
    <row r="126" spans="1:25" s="13" customFormat="1" x14ac:dyDescent="0.3">
      <c r="A126" s="194"/>
      <c r="B126" s="17"/>
      <c r="C126" s="17"/>
      <c r="D126" s="17"/>
      <c r="E126" s="17"/>
      <c r="F126" s="17"/>
      <c r="G126" s="18"/>
      <c r="H126" s="18"/>
      <c r="I126" s="18"/>
      <c r="J126" s="18"/>
      <c r="K126" s="109"/>
      <c r="S126" s="117"/>
      <c r="T126" s="138"/>
      <c r="U126" s="138"/>
      <c r="V126" s="138"/>
      <c r="W126" s="138"/>
      <c r="X126" s="138"/>
      <c r="Y126" s="118"/>
    </row>
    <row r="127" spans="1:25" s="13" customFormat="1" ht="21" x14ac:dyDescent="0.4">
      <c r="A127" s="194"/>
      <c r="B127" s="17"/>
      <c r="C127" s="17"/>
      <c r="D127" s="17"/>
      <c r="E127" s="17"/>
      <c r="F127" s="70" t="s">
        <v>48</v>
      </c>
      <c r="G127" s="18"/>
      <c r="H127" s="18"/>
      <c r="I127" s="18"/>
      <c r="J127" s="18"/>
      <c r="K127" s="109"/>
      <c r="S127" s="117"/>
      <c r="T127" s="138"/>
      <c r="U127" s="138"/>
      <c r="V127" s="138"/>
      <c r="W127" s="138"/>
      <c r="X127" s="138"/>
      <c r="Y127" s="118"/>
    </row>
    <row r="128" spans="1:25" s="13" customFormat="1" x14ac:dyDescent="0.3">
      <c r="A128" s="194"/>
      <c r="B128" s="95"/>
      <c r="C128" s="17"/>
      <c r="D128" s="17"/>
      <c r="E128" s="17"/>
      <c r="F128" s="17"/>
      <c r="G128" s="18"/>
      <c r="H128" s="18"/>
      <c r="I128" s="18"/>
      <c r="J128" s="18"/>
      <c r="K128" s="109"/>
      <c r="S128" s="117"/>
      <c r="T128" s="138"/>
      <c r="U128" s="138"/>
      <c r="V128" s="138"/>
      <c r="W128" s="138"/>
      <c r="X128" s="126"/>
      <c r="Y128" s="125"/>
    </row>
    <row r="129" spans="1:25" s="13" customFormat="1" x14ac:dyDescent="0.3">
      <c r="A129" s="186"/>
      <c r="B129" s="95"/>
      <c r="C129" s="165">
        <v>21360</v>
      </c>
      <c r="D129" s="17" t="s">
        <v>88</v>
      </c>
      <c r="E129" s="66" t="s">
        <v>41</v>
      </c>
      <c r="F129" s="66">
        <v>1</v>
      </c>
      <c r="G129" s="66">
        <v>3</v>
      </c>
      <c r="H129" s="17"/>
      <c r="I129" s="18" t="s">
        <v>110</v>
      </c>
      <c r="J129" s="18"/>
      <c r="K129" s="109"/>
      <c r="S129" s="117" t="s">
        <v>88</v>
      </c>
      <c r="T129" s="138" t="s">
        <v>41</v>
      </c>
      <c r="U129" s="138">
        <v>1</v>
      </c>
      <c r="V129" s="138">
        <v>3</v>
      </c>
      <c r="W129" s="138"/>
      <c r="X129" s="126">
        <f t="shared" ref="X129:X130" si="20">(IF(U129&gt;V129,3,IF(U129=V129,1,2)))</f>
        <v>2</v>
      </c>
      <c r="Y129" s="125">
        <f t="shared" ref="Y129:Y130" si="21">(IF(V129&gt;U129,3,IF(U129=V129,1,2)))</f>
        <v>3</v>
      </c>
    </row>
    <row r="130" spans="1:25" s="13" customFormat="1" ht="15" thickBot="1" x14ac:dyDescent="0.35">
      <c r="A130" s="186"/>
      <c r="B130" s="95"/>
      <c r="C130" s="62"/>
      <c r="D130" s="30"/>
      <c r="E130" s="367"/>
      <c r="F130" s="367" t="s">
        <v>172</v>
      </c>
      <c r="G130" s="367" t="s">
        <v>183</v>
      </c>
      <c r="H130" s="30"/>
      <c r="I130" s="31"/>
      <c r="J130" s="18"/>
      <c r="K130" s="109"/>
      <c r="S130" s="117" t="s">
        <v>3</v>
      </c>
      <c r="T130" s="140" t="s">
        <v>9</v>
      </c>
      <c r="U130" s="140">
        <v>2</v>
      </c>
      <c r="V130" s="140">
        <v>5</v>
      </c>
      <c r="W130" s="140"/>
      <c r="X130" s="126">
        <f t="shared" si="20"/>
        <v>2</v>
      </c>
      <c r="Y130" s="125">
        <f t="shared" si="21"/>
        <v>3</v>
      </c>
    </row>
    <row r="131" spans="1:25" s="13" customFormat="1" x14ac:dyDescent="0.3">
      <c r="A131" s="186"/>
      <c r="B131" s="95"/>
      <c r="C131" s="165">
        <v>21360</v>
      </c>
      <c r="D131" s="17" t="s">
        <v>3</v>
      </c>
      <c r="E131" s="66" t="s">
        <v>9</v>
      </c>
      <c r="F131" s="66">
        <v>2</v>
      </c>
      <c r="G131" s="66">
        <v>5</v>
      </c>
      <c r="H131" s="17"/>
      <c r="I131" s="18" t="s">
        <v>108</v>
      </c>
      <c r="J131" s="18"/>
      <c r="K131" s="109"/>
      <c r="S131" s="117"/>
      <c r="T131" s="140"/>
      <c r="U131" s="140"/>
      <c r="V131" s="140"/>
      <c r="W131" s="140"/>
      <c r="X131" s="126"/>
      <c r="Y131" s="125"/>
    </row>
    <row r="132" spans="1:25" s="13" customFormat="1" x14ac:dyDescent="0.3">
      <c r="A132" s="194"/>
      <c r="B132" s="17"/>
      <c r="C132" s="17"/>
      <c r="D132" s="17"/>
      <c r="E132" s="66"/>
      <c r="F132" s="66" t="s">
        <v>172</v>
      </c>
      <c r="G132" s="94" t="s">
        <v>173</v>
      </c>
      <c r="H132" s="18"/>
      <c r="I132" s="18"/>
      <c r="J132" s="18"/>
      <c r="K132" s="109"/>
      <c r="S132" s="117"/>
      <c r="T132" s="140"/>
      <c r="U132" s="140"/>
      <c r="V132" s="140"/>
      <c r="W132" s="140"/>
      <c r="X132" s="126"/>
      <c r="Y132" s="125"/>
    </row>
    <row r="133" spans="1:25" s="13" customFormat="1" x14ac:dyDescent="0.3">
      <c r="A133" s="194"/>
      <c r="B133" s="17"/>
      <c r="C133" s="17"/>
      <c r="D133" s="17"/>
      <c r="E133" s="17"/>
      <c r="F133" s="17"/>
      <c r="G133" s="18"/>
      <c r="H133" s="18"/>
      <c r="I133" s="18"/>
      <c r="J133" s="18"/>
      <c r="K133" s="109"/>
      <c r="S133" s="117"/>
      <c r="T133" s="140"/>
      <c r="U133" s="140"/>
      <c r="V133" s="140"/>
      <c r="W133" s="140"/>
      <c r="X133" s="126"/>
      <c r="Y133" s="125"/>
    </row>
    <row r="134" spans="1:25" s="13" customFormat="1" ht="15" thickBot="1" x14ac:dyDescent="0.35">
      <c r="A134" s="194"/>
      <c r="B134" s="17"/>
      <c r="C134" s="17"/>
      <c r="D134" s="17"/>
      <c r="E134" s="17"/>
      <c r="F134" s="17"/>
      <c r="G134" s="18"/>
      <c r="H134" s="18"/>
      <c r="I134" s="18"/>
      <c r="J134" s="18"/>
      <c r="K134" s="109"/>
      <c r="S134" s="117"/>
      <c r="T134" s="140"/>
      <c r="U134" s="140"/>
      <c r="V134" s="140"/>
      <c r="W134" s="140"/>
      <c r="X134" s="126"/>
      <c r="Y134" s="125"/>
    </row>
    <row r="135" spans="1:25" s="13" customFormat="1" ht="21" x14ac:dyDescent="0.4">
      <c r="A135" s="194"/>
      <c r="B135" s="17"/>
      <c r="C135" s="443" t="s">
        <v>325</v>
      </c>
      <c r="D135" s="433"/>
      <c r="E135" s="433"/>
      <c r="F135" s="433"/>
      <c r="G135" s="433"/>
      <c r="H135" s="433"/>
      <c r="I135" s="422"/>
      <c r="J135" s="18"/>
      <c r="K135" s="109"/>
      <c r="S135" s="117"/>
      <c r="T135" s="140"/>
      <c r="U135" s="140"/>
      <c r="V135" s="140"/>
      <c r="W135" s="140"/>
      <c r="X135" s="126"/>
      <c r="Y135" s="125"/>
    </row>
    <row r="136" spans="1:25" s="13" customFormat="1" ht="14.4" customHeight="1" x14ac:dyDescent="0.4">
      <c r="A136" s="194"/>
      <c r="B136" s="17"/>
      <c r="C136" s="383"/>
      <c r="D136" s="370"/>
      <c r="E136" s="370"/>
      <c r="F136" s="370"/>
      <c r="G136" s="370"/>
      <c r="H136" s="370"/>
      <c r="I136" s="373"/>
      <c r="J136" s="18"/>
      <c r="K136" s="109"/>
      <c r="S136" s="117"/>
      <c r="T136" s="370"/>
      <c r="U136" s="370"/>
      <c r="V136" s="370"/>
      <c r="W136" s="370"/>
      <c r="X136" s="126"/>
      <c r="Y136" s="125"/>
    </row>
    <row r="137" spans="1:25" s="13" customFormat="1" x14ac:dyDescent="0.3">
      <c r="A137" s="194"/>
      <c r="B137" s="95"/>
      <c r="C137" s="21"/>
      <c r="D137" s="17" t="s">
        <v>88</v>
      </c>
      <c r="E137" s="64" t="s">
        <v>3</v>
      </c>
      <c r="F137" s="94">
        <v>3</v>
      </c>
      <c r="G137" s="18">
        <v>6</v>
      </c>
      <c r="I137" s="22"/>
      <c r="J137" s="18"/>
      <c r="K137" s="109"/>
      <c r="S137" s="117" t="s">
        <v>88</v>
      </c>
      <c r="T137" s="140" t="s">
        <v>3</v>
      </c>
      <c r="U137" s="140">
        <v>3</v>
      </c>
      <c r="V137" s="140">
        <v>6</v>
      </c>
      <c r="W137" s="140"/>
      <c r="X137" s="126">
        <f t="shared" ref="X137:X146" si="22">(IF(U137&gt;V137,3,IF(U137=V137,1,2)))</f>
        <v>2</v>
      </c>
      <c r="Y137" s="125">
        <f t="shared" ref="Y137:Y146" si="23">(IF(V137&gt;U137,3,IF(U137=V137,1,2)))</f>
        <v>3</v>
      </c>
    </row>
    <row r="138" spans="1:25" s="13" customFormat="1" x14ac:dyDescent="0.3">
      <c r="A138" s="194"/>
      <c r="B138" s="17"/>
      <c r="C138" s="21"/>
      <c r="D138" s="17"/>
      <c r="E138" s="17"/>
      <c r="F138" s="94" t="s">
        <v>172</v>
      </c>
      <c r="G138" s="18" t="s">
        <v>274</v>
      </c>
      <c r="I138" s="22"/>
      <c r="J138" s="18"/>
      <c r="K138" s="109"/>
      <c r="S138" s="117"/>
      <c r="T138" s="140"/>
      <c r="U138" s="140"/>
      <c r="V138" s="140"/>
      <c r="W138" s="140"/>
      <c r="X138" s="126"/>
      <c r="Y138" s="125"/>
    </row>
    <row r="139" spans="1:25" s="13" customFormat="1" ht="15" thickBot="1" x14ac:dyDescent="0.35">
      <c r="A139" s="194"/>
      <c r="B139" s="17"/>
      <c r="C139" s="29"/>
      <c r="D139" s="30"/>
      <c r="E139" s="30"/>
      <c r="F139" s="30"/>
      <c r="G139" s="31"/>
      <c r="H139" s="31"/>
      <c r="I139" s="32"/>
      <c r="J139" s="18"/>
      <c r="K139" s="109"/>
      <c r="S139" s="117"/>
      <c r="T139" s="140"/>
      <c r="U139" s="140"/>
      <c r="V139" s="140"/>
      <c r="W139" s="140"/>
      <c r="X139" s="126"/>
      <c r="Y139" s="125"/>
    </row>
    <row r="140" spans="1:25" s="13" customFormat="1" x14ac:dyDescent="0.3">
      <c r="A140" s="194"/>
      <c r="B140" s="17"/>
      <c r="C140" s="17"/>
      <c r="D140" s="17"/>
      <c r="E140" s="17"/>
      <c r="F140" s="17"/>
      <c r="G140" s="18"/>
      <c r="H140" s="18"/>
      <c r="I140" s="18"/>
      <c r="J140" s="18"/>
      <c r="K140" s="109"/>
      <c r="S140" s="117"/>
      <c r="T140" s="140"/>
      <c r="U140" s="140"/>
      <c r="V140" s="140"/>
      <c r="W140" s="140"/>
      <c r="X140" s="126"/>
      <c r="Y140" s="125"/>
    </row>
    <row r="141" spans="1:25" s="13" customFormat="1" x14ac:dyDescent="0.3">
      <c r="A141" s="194"/>
      <c r="B141" s="17"/>
      <c r="C141" s="17"/>
      <c r="D141" s="17"/>
      <c r="E141" s="17"/>
      <c r="F141" s="17"/>
      <c r="G141" s="18"/>
      <c r="H141" s="18"/>
      <c r="I141" s="18"/>
      <c r="J141" s="18"/>
      <c r="K141" s="109"/>
      <c r="S141" s="117"/>
      <c r="T141" s="140"/>
      <c r="U141" s="140"/>
      <c r="V141" s="140"/>
      <c r="W141" s="140"/>
      <c r="X141" s="126"/>
      <c r="Y141" s="125"/>
    </row>
    <row r="142" spans="1:25" s="13" customFormat="1" x14ac:dyDescent="0.3">
      <c r="A142" s="194"/>
      <c r="B142" s="17"/>
      <c r="C142" s="17"/>
      <c r="D142" s="17"/>
      <c r="E142" s="17"/>
      <c r="F142" s="17"/>
      <c r="G142" s="18"/>
      <c r="H142" s="18"/>
      <c r="I142" s="18"/>
      <c r="J142" s="18"/>
      <c r="K142" s="109"/>
      <c r="S142" s="117"/>
      <c r="T142" s="140"/>
      <c r="U142" s="140"/>
      <c r="V142" s="140"/>
      <c r="W142" s="140"/>
      <c r="X142" s="126"/>
      <c r="Y142" s="125"/>
    </row>
    <row r="143" spans="1:25" s="13" customFormat="1" ht="15" thickBot="1" x14ac:dyDescent="0.35">
      <c r="A143" s="194"/>
      <c r="B143" s="17"/>
      <c r="C143" s="17"/>
      <c r="D143" s="17"/>
      <c r="E143" s="17"/>
      <c r="F143" s="17"/>
      <c r="G143" s="18"/>
      <c r="H143" s="18"/>
      <c r="I143" s="18"/>
      <c r="J143" s="18"/>
      <c r="K143" s="109"/>
      <c r="S143" s="117"/>
      <c r="T143" s="140"/>
      <c r="U143" s="140"/>
      <c r="V143" s="140"/>
      <c r="W143" s="140"/>
      <c r="X143" s="126"/>
      <c r="Y143" s="125"/>
    </row>
    <row r="144" spans="1:25" s="13" customFormat="1" ht="21" x14ac:dyDescent="0.4">
      <c r="A144" s="194"/>
      <c r="B144" s="17"/>
      <c r="C144" s="443" t="s">
        <v>326</v>
      </c>
      <c r="D144" s="421"/>
      <c r="E144" s="421"/>
      <c r="F144" s="421"/>
      <c r="G144" s="421"/>
      <c r="H144" s="421"/>
      <c r="I144" s="435"/>
      <c r="J144" s="18"/>
      <c r="K144" s="109"/>
      <c r="S144" s="117"/>
      <c r="T144" s="140"/>
      <c r="U144" s="140"/>
      <c r="V144" s="140"/>
      <c r="W144" s="140"/>
      <c r="X144" s="126"/>
      <c r="Y144" s="125"/>
    </row>
    <row r="145" spans="1:25" s="13" customFormat="1" ht="14.4" customHeight="1" x14ac:dyDescent="0.4">
      <c r="A145" s="194"/>
      <c r="B145" s="17"/>
      <c r="C145" s="383"/>
      <c r="D145" s="369"/>
      <c r="E145" s="369"/>
      <c r="F145" s="369"/>
      <c r="G145" s="369"/>
      <c r="H145" s="369"/>
      <c r="I145" s="368"/>
      <c r="J145" s="18"/>
      <c r="K145" s="109"/>
      <c r="S145" s="117"/>
      <c r="T145" s="370"/>
      <c r="U145" s="370"/>
      <c r="V145" s="370"/>
      <c r="W145" s="370"/>
      <c r="X145" s="126"/>
      <c r="Y145" s="125"/>
    </row>
    <row r="146" spans="1:25" s="13" customFormat="1" x14ac:dyDescent="0.3">
      <c r="A146" s="194"/>
      <c r="B146" s="95"/>
      <c r="C146" s="21"/>
      <c r="D146" s="17" t="s">
        <v>41</v>
      </c>
      <c r="E146" s="64" t="s">
        <v>9</v>
      </c>
      <c r="F146" s="94">
        <v>2</v>
      </c>
      <c r="G146" s="18">
        <v>5</v>
      </c>
      <c r="I146" s="22"/>
      <c r="J146" s="18"/>
      <c r="K146" s="109"/>
      <c r="S146" s="122" t="s">
        <v>41</v>
      </c>
      <c r="T146" s="17" t="s">
        <v>9</v>
      </c>
      <c r="U146" s="17">
        <v>2</v>
      </c>
      <c r="V146" s="17">
        <v>5</v>
      </c>
      <c r="W146" s="17"/>
      <c r="X146" s="126">
        <f t="shared" si="22"/>
        <v>2</v>
      </c>
      <c r="Y146" s="125">
        <f t="shared" si="23"/>
        <v>3</v>
      </c>
    </row>
    <row r="147" spans="1:25" s="13" customFormat="1" x14ac:dyDescent="0.3">
      <c r="A147" s="194"/>
      <c r="B147" s="17"/>
      <c r="C147" s="21"/>
      <c r="D147" s="17"/>
      <c r="E147" s="17"/>
      <c r="F147" s="94" t="s">
        <v>172</v>
      </c>
      <c r="G147" s="18" t="s">
        <v>173</v>
      </c>
      <c r="I147" s="22"/>
      <c r="J147" s="18"/>
      <c r="K147" s="109"/>
      <c r="S147" s="117"/>
      <c r="T147" s="140"/>
      <c r="U147" s="140"/>
      <c r="V147" s="140"/>
      <c r="W147" s="140"/>
      <c r="X147" s="140"/>
      <c r="Y147" s="118"/>
    </row>
    <row r="148" spans="1:25" s="13" customFormat="1" ht="15" thickBot="1" x14ac:dyDescent="0.35">
      <c r="A148" s="194"/>
      <c r="B148" s="17"/>
      <c r="C148" s="29"/>
      <c r="D148" s="30"/>
      <c r="E148" s="30"/>
      <c r="F148" s="30"/>
      <c r="G148" s="31"/>
      <c r="H148" s="31"/>
      <c r="I148" s="32"/>
      <c r="J148" s="18"/>
      <c r="K148" s="109"/>
      <c r="S148" s="119"/>
      <c r="T148" s="120"/>
      <c r="U148" s="120"/>
      <c r="V148" s="120"/>
      <c r="W148" s="120"/>
      <c r="X148" s="120"/>
      <c r="Y148" s="121"/>
    </row>
    <row r="149" spans="1:25" s="13" customFormat="1" x14ac:dyDescent="0.3">
      <c r="A149" s="24"/>
      <c r="B149" s="17"/>
      <c r="C149" s="17"/>
      <c r="D149" s="17"/>
      <c r="E149" s="17"/>
      <c r="F149" s="17"/>
      <c r="G149" s="18"/>
      <c r="H149" s="18"/>
      <c r="I149" s="18"/>
      <c r="J149" s="18"/>
      <c r="K149" s="109"/>
      <c r="S149" s="139"/>
      <c r="T149" s="139"/>
      <c r="U149" s="139"/>
      <c r="V149" s="139"/>
      <c r="W149" s="139"/>
      <c r="X149" s="139"/>
      <c r="Y149" s="139"/>
    </row>
    <row r="150" spans="1:25" s="13" customFormat="1" x14ac:dyDescent="0.3">
      <c r="A150" s="24"/>
      <c r="B150" s="17"/>
      <c r="C150" s="17"/>
      <c r="D150" s="17"/>
      <c r="E150" s="17"/>
      <c r="F150" s="17"/>
      <c r="G150" s="18"/>
      <c r="H150" s="18"/>
      <c r="I150" s="18"/>
      <c r="J150" s="18"/>
      <c r="K150" s="109"/>
      <c r="S150" s="139"/>
      <c r="T150" s="139"/>
      <c r="U150" s="139"/>
      <c r="V150" s="139"/>
      <c r="W150" s="139"/>
      <c r="X150" s="139"/>
      <c r="Y150" s="139"/>
    </row>
    <row r="151" spans="1:25" s="13" customFormat="1" x14ac:dyDescent="0.3">
      <c r="A151" s="24"/>
      <c r="B151" s="17"/>
      <c r="C151" s="17"/>
      <c r="D151" s="17"/>
      <c r="E151" s="17"/>
      <c r="F151" s="17"/>
      <c r="G151" s="18"/>
      <c r="H151" s="18"/>
      <c r="I151" s="18"/>
      <c r="J151" s="18"/>
      <c r="K151" s="109"/>
      <c r="S151" s="139"/>
      <c r="T151" s="139"/>
      <c r="U151" s="139"/>
      <c r="V151" s="139"/>
      <c r="W151" s="139"/>
      <c r="X151" s="139"/>
      <c r="Y151" s="139"/>
    </row>
    <row r="152" spans="1:25" s="13" customFormat="1" x14ac:dyDescent="0.3">
      <c r="A152" s="24"/>
      <c r="B152" s="17"/>
      <c r="C152" s="17"/>
      <c r="D152" s="17"/>
      <c r="E152" s="17"/>
      <c r="F152" s="17"/>
      <c r="G152" s="18"/>
      <c r="H152" s="18"/>
      <c r="I152" s="18"/>
      <c r="J152" s="18"/>
      <c r="K152" s="109"/>
      <c r="S152" s="139"/>
      <c r="T152" s="139"/>
      <c r="U152" s="139"/>
      <c r="V152" s="139"/>
      <c r="W152" s="139"/>
      <c r="X152" s="139"/>
      <c r="Y152" s="139"/>
    </row>
    <row r="153" spans="1:25" s="13" customFormat="1" ht="15" thickBot="1" x14ac:dyDescent="0.35">
      <c r="A153" s="24"/>
      <c r="B153" s="17" t="s">
        <v>298</v>
      </c>
      <c r="C153" s="17" t="s">
        <v>12</v>
      </c>
      <c r="D153" s="17" t="s">
        <v>13</v>
      </c>
      <c r="E153" s="17" t="s">
        <v>14</v>
      </c>
      <c r="F153" s="17" t="s">
        <v>15</v>
      </c>
      <c r="G153" s="18" t="s">
        <v>24</v>
      </c>
      <c r="H153" s="18" t="s">
        <v>25</v>
      </c>
      <c r="I153" s="18" t="s">
        <v>26</v>
      </c>
      <c r="J153" s="18" t="s">
        <v>27</v>
      </c>
      <c r="K153" s="109"/>
      <c r="S153" s="139"/>
      <c r="T153" s="139"/>
      <c r="U153" s="139"/>
      <c r="V153" s="139"/>
      <c r="W153" s="139"/>
      <c r="X153" s="139"/>
      <c r="Y153" s="139"/>
    </row>
    <row r="154" spans="1:25" s="13" customFormat="1" x14ac:dyDescent="0.3">
      <c r="A154" s="24"/>
      <c r="B154" s="14" t="s">
        <v>9</v>
      </c>
      <c r="C154" s="248">
        <f>COUNTIF($S$12:$T$146,"Brasilien")</f>
        <v>6</v>
      </c>
      <c r="D154" s="124">
        <f t="shared" ref="D154:D169" si="24">SUMPRODUCT(($S$12:$T$146=B154)*($X$12:$Y$146=3))</f>
        <v>5</v>
      </c>
      <c r="E154" s="124">
        <f t="shared" ref="E154:E169" si="25">SUMPRODUCT(($S$12:$T$146=B154)*($X$12:$Y$146=1))</f>
        <v>1</v>
      </c>
      <c r="F154" s="124">
        <f t="shared" ref="F154:F169" si="26">SUMPRODUCT(($S$12:$T$146=B154)*($X$12:$Y$146=2))</f>
        <v>0</v>
      </c>
      <c r="G154" s="124">
        <f t="shared" ref="G154:G169" si="27">SUMPRODUCT(($S$12:$S$146=B154)*($U$12:$U$146))+SUMPRODUCT(($T$12:$T$146=B154)*($V$12:$V$146))</f>
        <v>16</v>
      </c>
      <c r="H154" s="124">
        <f t="shared" ref="H154:H169" si="28">SUMPRODUCT(($S$12:$S$146=B154)*($V$12:$V$146))+SUMPRODUCT(($T$12:$T$146=B154)*($U$12:$U$146))</f>
        <v>4</v>
      </c>
      <c r="I154" s="15">
        <f t="shared" ref="I154:I169" si="29">(D154*2)+E154</f>
        <v>11</v>
      </c>
      <c r="J154" s="16">
        <f t="shared" ref="J154:J169" si="30">(F154*2)+E154</f>
        <v>1</v>
      </c>
      <c r="K154" s="109"/>
      <c r="S154" s="10"/>
      <c r="T154" s="10"/>
      <c r="U154" s="10"/>
      <c r="V154" s="10"/>
      <c r="W154" s="10"/>
      <c r="X154" s="10"/>
      <c r="Y154" s="10"/>
    </row>
    <row r="155" spans="1:25" s="13" customFormat="1" x14ac:dyDescent="0.3">
      <c r="A155" s="24"/>
      <c r="B155" s="21" t="s">
        <v>41</v>
      </c>
      <c r="C155" s="17">
        <f>COUNTIF($S$12:$T$146,"Schweden")</f>
        <v>6</v>
      </c>
      <c r="D155" s="43">
        <f t="shared" si="24"/>
        <v>4</v>
      </c>
      <c r="E155" s="43">
        <f t="shared" si="25"/>
        <v>1</v>
      </c>
      <c r="F155" s="43">
        <f t="shared" si="26"/>
        <v>1</v>
      </c>
      <c r="G155" s="43">
        <f t="shared" si="27"/>
        <v>12</v>
      </c>
      <c r="H155" s="43">
        <f t="shared" si="28"/>
        <v>7</v>
      </c>
      <c r="I155" s="18">
        <f t="shared" si="29"/>
        <v>9</v>
      </c>
      <c r="J155" s="22">
        <f t="shared" si="30"/>
        <v>3</v>
      </c>
      <c r="K155" s="109"/>
      <c r="S155" s="139"/>
      <c r="T155" s="139"/>
      <c r="U155" s="139"/>
      <c r="V155" s="139"/>
      <c r="W155" s="139"/>
      <c r="X155" s="139"/>
      <c r="Y155" s="139"/>
    </row>
    <row r="156" spans="1:25" s="13" customFormat="1" x14ac:dyDescent="0.3">
      <c r="A156" s="24"/>
      <c r="B156" s="21" t="s">
        <v>3</v>
      </c>
      <c r="C156" s="17">
        <f>COUNTIF($S$12:$T$146,"Frankreich")</f>
        <v>6</v>
      </c>
      <c r="D156" s="43">
        <f t="shared" si="24"/>
        <v>4</v>
      </c>
      <c r="E156" s="43">
        <f t="shared" si="25"/>
        <v>0</v>
      </c>
      <c r="F156" s="43">
        <f t="shared" si="26"/>
        <v>2</v>
      </c>
      <c r="G156" s="43">
        <f t="shared" si="27"/>
        <v>23</v>
      </c>
      <c r="H156" s="43">
        <f t="shared" si="28"/>
        <v>15</v>
      </c>
      <c r="I156" s="18">
        <f t="shared" si="29"/>
        <v>8</v>
      </c>
      <c r="J156" s="22">
        <f t="shared" si="30"/>
        <v>4</v>
      </c>
      <c r="K156" s="109"/>
      <c r="S156" s="139"/>
      <c r="T156" s="139"/>
      <c r="U156" s="139"/>
      <c r="V156" s="139"/>
      <c r="W156" s="139"/>
      <c r="X156" s="139"/>
      <c r="Y156" s="139"/>
    </row>
    <row r="157" spans="1:25" s="13" customFormat="1" x14ac:dyDescent="0.3">
      <c r="A157" s="24"/>
      <c r="B157" s="21" t="s">
        <v>88</v>
      </c>
      <c r="C157" s="17">
        <f>COUNTIF($S$12:$T$146,"BRD")</f>
        <v>6</v>
      </c>
      <c r="D157" s="43">
        <f t="shared" si="24"/>
        <v>2</v>
      </c>
      <c r="E157" s="43">
        <f t="shared" si="25"/>
        <v>2</v>
      </c>
      <c r="F157" s="43">
        <f t="shared" si="26"/>
        <v>2</v>
      </c>
      <c r="G157" s="43">
        <f t="shared" si="27"/>
        <v>12</v>
      </c>
      <c r="H157" s="43">
        <f t="shared" si="28"/>
        <v>14</v>
      </c>
      <c r="I157" s="18">
        <f t="shared" si="29"/>
        <v>6</v>
      </c>
      <c r="J157" s="22">
        <f t="shared" si="30"/>
        <v>6</v>
      </c>
      <c r="K157" s="109"/>
      <c r="S157" s="10"/>
      <c r="T157" s="10"/>
      <c r="U157" s="10"/>
      <c r="V157" s="10"/>
      <c r="W157" s="10"/>
      <c r="X157" s="10"/>
      <c r="Y157" s="10"/>
    </row>
    <row r="158" spans="1:25" s="13" customFormat="1" x14ac:dyDescent="0.3">
      <c r="A158" s="24"/>
      <c r="B158" s="21" t="s">
        <v>98</v>
      </c>
      <c r="C158" s="17">
        <f>COUNTIF($S$12:$T$146,"Nordirland")</f>
        <v>5</v>
      </c>
      <c r="D158" s="43">
        <f t="shared" si="24"/>
        <v>2</v>
      </c>
      <c r="E158" s="43">
        <f t="shared" si="25"/>
        <v>1</v>
      </c>
      <c r="F158" s="43">
        <f t="shared" si="26"/>
        <v>2</v>
      </c>
      <c r="G158" s="43">
        <f t="shared" si="27"/>
        <v>6</v>
      </c>
      <c r="H158" s="43">
        <f t="shared" si="28"/>
        <v>10</v>
      </c>
      <c r="I158" s="18">
        <f t="shared" si="29"/>
        <v>5</v>
      </c>
      <c r="J158" s="22">
        <f t="shared" si="30"/>
        <v>5</v>
      </c>
      <c r="K158" s="109"/>
      <c r="S158" s="139"/>
      <c r="T158" s="139"/>
      <c r="U158" s="139"/>
      <c r="V158" s="139"/>
      <c r="W158" s="139"/>
      <c r="X158" s="139"/>
      <c r="Y158" s="139"/>
    </row>
    <row r="159" spans="1:25" s="13" customFormat="1" x14ac:dyDescent="0.3">
      <c r="A159" s="24"/>
      <c r="B159" s="21" t="s">
        <v>101</v>
      </c>
      <c r="C159" s="17">
        <f>COUNTIF($S$12:$T$146,"UdSSR")</f>
        <v>5</v>
      </c>
      <c r="D159" s="43">
        <f t="shared" si="24"/>
        <v>2</v>
      </c>
      <c r="E159" s="43">
        <f t="shared" si="25"/>
        <v>1</v>
      </c>
      <c r="F159" s="43">
        <f t="shared" si="26"/>
        <v>2</v>
      </c>
      <c r="G159" s="43">
        <f t="shared" si="27"/>
        <v>5</v>
      </c>
      <c r="H159" s="43">
        <f t="shared" si="28"/>
        <v>6</v>
      </c>
      <c r="I159" s="18">
        <f t="shared" si="29"/>
        <v>5</v>
      </c>
      <c r="J159" s="22">
        <f t="shared" si="30"/>
        <v>5</v>
      </c>
      <c r="K159" s="109"/>
      <c r="S159" s="139"/>
      <c r="T159" s="139"/>
      <c r="U159" s="139"/>
      <c r="V159" s="139"/>
      <c r="W159" s="139"/>
      <c r="X159" s="139"/>
      <c r="Y159" s="139"/>
    </row>
    <row r="160" spans="1:25" s="13" customFormat="1" x14ac:dyDescent="0.3">
      <c r="A160" s="24"/>
      <c r="B160" s="21" t="s">
        <v>102</v>
      </c>
      <c r="C160" s="17">
        <f>COUNTIF($S$12:$T$146,"Wales")</f>
        <v>5</v>
      </c>
      <c r="D160" s="43">
        <f t="shared" si="24"/>
        <v>1</v>
      </c>
      <c r="E160" s="43">
        <f t="shared" si="25"/>
        <v>3</v>
      </c>
      <c r="F160" s="43">
        <f t="shared" si="26"/>
        <v>1</v>
      </c>
      <c r="G160" s="43">
        <f t="shared" si="27"/>
        <v>4</v>
      </c>
      <c r="H160" s="43">
        <f t="shared" si="28"/>
        <v>4</v>
      </c>
      <c r="I160" s="18">
        <f t="shared" si="29"/>
        <v>5</v>
      </c>
      <c r="J160" s="22">
        <f t="shared" si="30"/>
        <v>5</v>
      </c>
      <c r="K160" s="109"/>
      <c r="S160" s="139"/>
      <c r="T160" s="139"/>
      <c r="U160" s="139"/>
      <c r="V160" s="139"/>
      <c r="W160" s="139"/>
      <c r="X160" s="139"/>
      <c r="Y160" s="139"/>
    </row>
    <row r="161" spans="1:25" s="13" customFormat="1" x14ac:dyDescent="0.3">
      <c r="A161" s="24"/>
      <c r="B161" s="21" t="s">
        <v>8</v>
      </c>
      <c r="C161" s="17">
        <f>COUNTIF($S$12:$T$146,"Jugoslawien")</f>
        <v>4</v>
      </c>
      <c r="D161" s="43">
        <f t="shared" si="24"/>
        <v>1</v>
      </c>
      <c r="E161" s="43">
        <f t="shared" si="25"/>
        <v>2</v>
      </c>
      <c r="F161" s="43">
        <f t="shared" si="26"/>
        <v>1</v>
      </c>
      <c r="G161" s="43">
        <f t="shared" si="27"/>
        <v>7</v>
      </c>
      <c r="H161" s="43">
        <f t="shared" si="28"/>
        <v>7</v>
      </c>
      <c r="I161" s="18">
        <f t="shared" si="29"/>
        <v>4</v>
      </c>
      <c r="J161" s="22">
        <f t="shared" si="30"/>
        <v>4</v>
      </c>
      <c r="K161" s="109"/>
      <c r="S161" s="139"/>
      <c r="T161" s="139"/>
      <c r="U161" s="139"/>
      <c r="V161" s="139"/>
      <c r="W161" s="139"/>
      <c r="X161" s="139"/>
      <c r="Y161" s="139"/>
    </row>
    <row r="162" spans="1:25" s="13" customFormat="1" x14ac:dyDescent="0.3">
      <c r="A162" s="24"/>
      <c r="B162" s="21" t="s">
        <v>22</v>
      </c>
      <c r="C162" s="17">
        <f>COUNTIF($S$12:$T$146,"Paraguay")</f>
        <v>3</v>
      </c>
      <c r="D162" s="43">
        <f t="shared" si="24"/>
        <v>1</v>
      </c>
      <c r="E162" s="43">
        <f t="shared" si="25"/>
        <v>1</v>
      </c>
      <c r="F162" s="43">
        <f t="shared" si="26"/>
        <v>1</v>
      </c>
      <c r="G162" s="43">
        <f t="shared" si="27"/>
        <v>9</v>
      </c>
      <c r="H162" s="43">
        <f t="shared" si="28"/>
        <v>12</v>
      </c>
      <c r="I162" s="18">
        <f t="shared" si="29"/>
        <v>3</v>
      </c>
      <c r="J162" s="22">
        <f t="shared" si="30"/>
        <v>3</v>
      </c>
      <c r="K162" s="109"/>
      <c r="S162" s="139"/>
      <c r="T162" s="139"/>
      <c r="U162" s="139"/>
      <c r="V162" s="139"/>
      <c r="W162" s="139"/>
      <c r="X162" s="139"/>
      <c r="Y162" s="139"/>
    </row>
    <row r="163" spans="1:25" s="13" customFormat="1" x14ac:dyDescent="0.3">
      <c r="A163" s="24"/>
      <c r="B163" s="21" t="s">
        <v>45</v>
      </c>
      <c r="C163" s="17">
        <f>COUNTIF($S$12:$T$146,"CSSR")</f>
        <v>4</v>
      </c>
      <c r="D163" s="43">
        <f t="shared" si="24"/>
        <v>1</v>
      </c>
      <c r="E163" s="43">
        <f t="shared" si="25"/>
        <v>1</v>
      </c>
      <c r="F163" s="43">
        <f t="shared" si="26"/>
        <v>2</v>
      </c>
      <c r="G163" s="43">
        <f t="shared" si="27"/>
        <v>9</v>
      </c>
      <c r="H163" s="43">
        <f t="shared" si="28"/>
        <v>6</v>
      </c>
      <c r="I163" s="18">
        <f t="shared" si="29"/>
        <v>3</v>
      </c>
      <c r="J163" s="22">
        <f t="shared" si="30"/>
        <v>5</v>
      </c>
      <c r="K163" s="109"/>
      <c r="S163" s="139"/>
      <c r="T163" s="139"/>
      <c r="U163" s="139"/>
      <c r="V163" s="139"/>
      <c r="W163" s="139"/>
      <c r="X163" s="139"/>
      <c r="Y163" s="139"/>
    </row>
    <row r="164" spans="1:25" s="13" customFormat="1" x14ac:dyDescent="0.3">
      <c r="A164" s="24"/>
      <c r="B164" s="21" t="s">
        <v>32</v>
      </c>
      <c r="C164" s="17">
        <f>COUNTIF($S$12:$T$146,"Ungarn")</f>
        <v>4</v>
      </c>
      <c r="D164" s="43">
        <f t="shared" si="24"/>
        <v>1</v>
      </c>
      <c r="E164" s="43">
        <f t="shared" si="25"/>
        <v>1</v>
      </c>
      <c r="F164" s="43">
        <f t="shared" si="26"/>
        <v>2</v>
      </c>
      <c r="G164" s="43">
        <f t="shared" si="27"/>
        <v>7</v>
      </c>
      <c r="H164" s="43">
        <f t="shared" si="28"/>
        <v>5</v>
      </c>
      <c r="I164" s="18">
        <f t="shared" si="29"/>
        <v>3</v>
      </c>
      <c r="J164" s="22">
        <f t="shared" si="30"/>
        <v>5</v>
      </c>
      <c r="K164" s="109"/>
      <c r="S164" s="139"/>
      <c r="T164" s="139"/>
      <c r="U164" s="139"/>
      <c r="V164" s="139"/>
      <c r="W164" s="139"/>
      <c r="X164" s="139"/>
      <c r="Y164" s="139"/>
    </row>
    <row r="165" spans="1:25" s="13" customFormat="1" x14ac:dyDescent="0.3">
      <c r="A165" s="24"/>
      <c r="B165" s="21" t="s">
        <v>74</v>
      </c>
      <c r="C165" s="17">
        <f>COUNTIF($S$12:$T$146,"England")</f>
        <v>4</v>
      </c>
      <c r="D165" s="43">
        <f t="shared" si="24"/>
        <v>0</v>
      </c>
      <c r="E165" s="43">
        <f t="shared" si="25"/>
        <v>3</v>
      </c>
      <c r="F165" s="43">
        <f t="shared" si="26"/>
        <v>1</v>
      </c>
      <c r="G165" s="43">
        <f t="shared" si="27"/>
        <v>4</v>
      </c>
      <c r="H165" s="43">
        <f t="shared" si="28"/>
        <v>5</v>
      </c>
      <c r="I165" s="18">
        <f t="shared" si="29"/>
        <v>3</v>
      </c>
      <c r="J165" s="22">
        <f t="shared" si="30"/>
        <v>5</v>
      </c>
      <c r="K165" s="109"/>
      <c r="S165" s="139"/>
      <c r="T165" s="139"/>
      <c r="U165" s="139"/>
      <c r="V165" s="139"/>
      <c r="W165" s="139"/>
      <c r="X165" s="139"/>
      <c r="Y165" s="139"/>
    </row>
    <row r="166" spans="1:25" s="13" customFormat="1" x14ac:dyDescent="0.3">
      <c r="A166" s="24"/>
      <c r="B166" s="21" t="s">
        <v>5</v>
      </c>
      <c r="C166" s="17">
        <f>COUNTIF($S$12:$T$146,"Argentinien")</f>
        <v>3</v>
      </c>
      <c r="D166" s="43">
        <f t="shared" si="24"/>
        <v>1</v>
      </c>
      <c r="E166" s="43">
        <f t="shared" si="25"/>
        <v>0</v>
      </c>
      <c r="F166" s="43">
        <f t="shared" si="26"/>
        <v>2</v>
      </c>
      <c r="G166" s="43">
        <f t="shared" si="27"/>
        <v>5</v>
      </c>
      <c r="H166" s="43">
        <f t="shared" si="28"/>
        <v>10</v>
      </c>
      <c r="I166" s="18">
        <f t="shared" si="29"/>
        <v>2</v>
      </c>
      <c r="J166" s="22">
        <f t="shared" si="30"/>
        <v>4</v>
      </c>
      <c r="K166" s="109"/>
      <c r="S166" s="139"/>
      <c r="T166" s="139"/>
      <c r="U166" s="139"/>
      <c r="V166" s="139"/>
      <c r="W166" s="139"/>
      <c r="X166" s="139"/>
      <c r="Y166" s="139"/>
    </row>
    <row r="167" spans="1:25" s="13" customFormat="1" x14ac:dyDescent="0.3">
      <c r="A167" s="24"/>
      <c r="B167" s="21" t="s">
        <v>81</v>
      </c>
      <c r="C167" s="17">
        <f>COUNTIF($S$12:$T$146,"Schottland")</f>
        <v>3</v>
      </c>
      <c r="D167" s="43">
        <f t="shared" si="24"/>
        <v>0</v>
      </c>
      <c r="E167" s="43">
        <f t="shared" si="25"/>
        <v>1</v>
      </c>
      <c r="F167" s="43">
        <f t="shared" si="26"/>
        <v>2</v>
      </c>
      <c r="G167" s="43">
        <f t="shared" si="27"/>
        <v>4</v>
      </c>
      <c r="H167" s="43">
        <f t="shared" si="28"/>
        <v>6</v>
      </c>
      <c r="I167" s="18">
        <f t="shared" si="29"/>
        <v>1</v>
      </c>
      <c r="J167" s="22">
        <f t="shared" si="30"/>
        <v>5</v>
      </c>
      <c r="K167" s="109"/>
      <c r="S167" s="139"/>
      <c r="T167" s="139"/>
      <c r="U167" s="139"/>
      <c r="V167" s="139"/>
      <c r="W167" s="139"/>
      <c r="X167" s="139"/>
      <c r="Y167" s="139"/>
    </row>
    <row r="168" spans="1:25" s="13" customFormat="1" x14ac:dyDescent="0.3">
      <c r="A168" s="24"/>
      <c r="B168" s="21" t="s">
        <v>29</v>
      </c>
      <c r="C168" s="17">
        <f>COUNTIF($S$12:$T$146,"Österreich")</f>
        <v>3</v>
      </c>
      <c r="D168" s="43">
        <f t="shared" si="24"/>
        <v>0</v>
      </c>
      <c r="E168" s="43">
        <f t="shared" si="25"/>
        <v>1</v>
      </c>
      <c r="F168" s="43">
        <f t="shared" si="26"/>
        <v>2</v>
      </c>
      <c r="G168" s="43">
        <f t="shared" si="27"/>
        <v>2</v>
      </c>
      <c r="H168" s="43">
        <f t="shared" si="28"/>
        <v>7</v>
      </c>
      <c r="I168" s="18">
        <f t="shared" si="29"/>
        <v>1</v>
      </c>
      <c r="J168" s="22">
        <f t="shared" si="30"/>
        <v>5</v>
      </c>
      <c r="K168" s="109"/>
      <c r="S168" s="139"/>
      <c r="T168" s="139"/>
      <c r="U168" s="139"/>
      <c r="V168" s="139"/>
      <c r="W168" s="139"/>
      <c r="X168" s="139"/>
      <c r="Y168" s="139"/>
    </row>
    <row r="169" spans="1:25" s="13" customFormat="1" ht="15" thickBot="1" x14ac:dyDescent="0.35">
      <c r="A169" s="24"/>
      <c r="B169" s="29" t="s">
        <v>4</v>
      </c>
      <c r="C169" s="30">
        <f>COUNTIF($S$12:$T$146,"Mexiko")</f>
        <v>3</v>
      </c>
      <c r="D169" s="80">
        <f t="shared" si="24"/>
        <v>0</v>
      </c>
      <c r="E169" s="80">
        <f t="shared" si="25"/>
        <v>1</v>
      </c>
      <c r="F169" s="80">
        <f t="shared" si="26"/>
        <v>2</v>
      </c>
      <c r="G169" s="80">
        <f t="shared" si="27"/>
        <v>1</v>
      </c>
      <c r="H169" s="80">
        <f t="shared" si="28"/>
        <v>8</v>
      </c>
      <c r="I169" s="31">
        <f t="shared" si="29"/>
        <v>1</v>
      </c>
      <c r="J169" s="32">
        <f t="shared" si="30"/>
        <v>5</v>
      </c>
      <c r="K169" s="109"/>
      <c r="S169" s="139"/>
      <c r="T169" s="139"/>
      <c r="U169" s="139"/>
      <c r="V169" s="139"/>
      <c r="W169" s="139"/>
      <c r="X169" s="139"/>
      <c r="Y169" s="139"/>
    </row>
    <row r="170" spans="1:25" x14ac:dyDescent="0.3">
      <c r="A170" s="176"/>
      <c r="B170" s="173"/>
      <c r="C170" s="173"/>
      <c r="D170" s="173"/>
      <c r="E170" s="173"/>
      <c r="F170" s="173"/>
      <c r="G170" s="5"/>
      <c r="H170" s="5"/>
      <c r="I170" s="5"/>
      <c r="J170" s="5"/>
      <c r="K170" s="108"/>
    </row>
    <row r="171" spans="1:25" ht="15" thickBot="1" x14ac:dyDescent="0.35">
      <c r="A171" s="110"/>
      <c r="B171" s="36"/>
      <c r="C171" s="36"/>
      <c r="D171" s="36"/>
      <c r="E171" s="36"/>
      <c r="F171" s="36"/>
      <c r="G171" s="37"/>
      <c r="H171" s="37"/>
      <c r="I171" s="37"/>
      <c r="J171" s="37"/>
      <c r="K171" s="193"/>
    </row>
    <row r="172" spans="1:25" ht="15" thickTop="1" x14ac:dyDescent="0.3"/>
    <row r="174" spans="1:25" x14ac:dyDescent="0.3">
      <c r="C174" s="17"/>
      <c r="D174" s="43"/>
    </row>
  </sheetData>
  <sortState ref="A109:J112">
    <sortCondition descending="1" ref="I109:I112"/>
    <sortCondition ref="J109:J112"/>
    <sortCondition descending="1" ref="G109:G112"/>
    <sortCondition ref="H109:H112"/>
  </sortState>
  <mergeCells count="5">
    <mergeCell ref="A2:K2"/>
    <mergeCell ref="A4:K4"/>
    <mergeCell ref="A5:K5"/>
    <mergeCell ref="C135:I135"/>
    <mergeCell ref="C144:I144"/>
  </mergeCells>
  <pageMargins left="0.7" right="0.7" top="0.78740157499999996" bottom="0.78740157499999996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A151"/>
  <sheetViews>
    <sheetView topLeftCell="A124" workbookViewId="0">
      <selection activeCell="N141" sqref="N141"/>
    </sheetView>
  </sheetViews>
  <sheetFormatPr baseColWidth="10" defaultRowHeight="14.4" x14ac:dyDescent="0.3"/>
  <cols>
    <col min="1" max="6" width="11.77734375" style="1" customWidth="1"/>
    <col min="7" max="10" width="11.77734375" style="2" customWidth="1"/>
    <col min="11" max="11" width="11.77734375" customWidth="1"/>
    <col min="19" max="25" width="11.77734375" style="139" customWidth="1"/>
  </cols>
  <sheetData>
    <row r="1" spans="1:27" ht="15" thickTop="1" x14ac:dyDescent="0.3">
      <c r="A1" s="106"/>
      <c r="B1" s="25"/>
      <c r="C1" s="25"/>
      <c r="D1" s="25"/>
      <c r="E1" s="25"/>
      <c r="F1" s="25"/>
      <c r="G1" s="26"/>
      <c r="H1" s="26"/>
      <c r="I1" s="26"/>
      <c r="J1" s="26"/>
      <c r="K1" s="107"/>
      <c r="S1" s="114">
        <v>1</v>
      </c>
      <c r="T1" s="115">
        <v>2</v>
      </c>
      <c r="U1" s="115">
        <v>3</v>
      </c>
      <c r="V1" s="115">
        <v>4</v>
      </c>
      <c r="W1" s="115">
        <v>5</v>
      </c>
      <c r="X1" s="115">
        <v>6</v>
      </c>
      <c r="Y1" s="116">
        <v>7</v>
      </c>
    </row>
    <row r="2" spans="1:27" ht="46.2" x14ac:dyDescent="0.85">
      <c r="A2" s="425" t="s">
        <v>150</v>
      </c>
      <c r="B2" s="426"/>
      <c r="C2" s="426"/>
      <c r="D2" s="426"/>
      <c r="E2" s="426"/>
      <c r="F2" s="426"/>
      <c r="G2" s="426"/>
      <c r="H2" s="426"/>
      <c r="I2" s="426"/>
      <c r="J2" s="426"/>
      <c r="K2" s="437"/>
      <c r="S2" s="117"/>
      <c r="T2" s="138"/>
      <c r="U2" s="138"/>
      <c r="V2" s="138"/>
      <c r="W2" s="138"/>
      <c r="X2" s="138"/>
      <c r="Y2" s="118"/>
    </row>
    <row r="3" spans="1:27" x14ac:dyDescent="0.3">
      <c r="A3" s="176"/>
      <c r="B3" s="173"/>
      <c r="C3" s="173"/>
      <c r="D3" s="173"/>
      <c r="E3" s="173"/>
      <c r="F3" s="173"/>
      <c r="G3" s="5"/>
      <c r="H3" s="5"/>
      <c r="I3" s="5"/>
      <c r="J3" s="5"/>
      <c r="K3" s="108"/>
      <c r="S3" s="117"/>
      <c r="T3" s="138"/>
      <c r="U3" s="138"/>
      <c r="V3" s="138"/>
      <c r="W3" s="138"/>
      <c r="X3" s="138"/>
      <c r="Y3" s="118"/>
    </row>
    <row r="4" spans="1:27" ht="28.8" x14ac:dyDescent="0.55000000000000004">
      <c r="A4" s="428" t="s">
        <v>116</v>
      </c>
      <c r="B4" s="429"/>
      <c r="C4" s="429"/>
      <c r="D4" s="429"/>
      <c r="E4" s="429"/>
      <c r="F4" s="429"/>
      <c r="G4" s="429"/>
      <c r="H4" s="429"/>
      <c r="I4" s="429"/>
      <c r="J4" s="429"/>
      <c r="K4" s="438"/>
      <c r="S4" s="117"/>
      <c r="T4" s="138"/>
      <c r="U4" s="138"/>
      <c r="V4" s="138"/>
      <c r="W4" s="138"/>
      <c r="X4" s="138"/>
      <c r="Y4" s="118"/>
    </row>
    <row r="5" spans="1:27" ht="21" x14ac:dyDescent="0.4">
      <c r="A5" s="430" t="s">
        <v>283</v>
      </c>
      <c r="B5" s="431"/>
      <c r="C5" s="431"/>
      <c r="D5" s="431"/>
      <c r="E5" s="431"/>
      <c r="F5" s="431"/>
      <c r="G5" s="431"/>
      <c r="H5" s="431"/>
      <c r="I5" s="431"/>
      <c r="J5" s="431"/>
      <c r="K5" s="439"/>
      <c r="S5" s="117"/>
      <c r="T5" s="138"/>
      <c r="U5" s="138"/>
      <c r="V5" s="138"/>
      <c r="W5" s="138"/>
      <c r="X5" s="138"/>
      <c r="Y5" s="118"/>
    </row>
    <row r="6" spans="1:27" x14ac:dyDescent="0.3">
      <c r="A6" s="176"/>
      <c r="B6" s="173"/>
      <c r="C6" s="173"/>
      <c r="D6" s="173"/>
      <c r="E6" s="173"/>
      <c r="F6" s="173"/>
      <c r="G6" s="5"/>
      <c r="H6" s="5"/>
      <c r="I6" s="5"/>
      <c r="J6" s="5"/>
      <c r="K6" s="108"/>
      <c r="S6" s="117"/>
      <c r="T6" s="138"/>
      <c r="U6" s="138"/>
      <c r="V6" s="138"/>
      <c r="W6" s="138"/>
      <c r="X6" s="138"/>
      <c r="Y6" s="118"/>
    </row>
    <row r="7" spans="1:27" x14ac:dyDescent="0.3">
      <c r="A7" s="176"/>
      <c r="B7" s="173"/>
      <c r="C7" s="173"/>
      <c r="D7" s="173"/>
      <c r="E7" s="173"/>
      <c r="F7" s="173"/>
      <c r="G7" s="5"/>
      <c r="H7" s="5"/>
      <c r="I7" s="5"/>
      <c r="J7" s="5"/>
      <c r="K7" s="108"/>
      <c r="S7" s="117"/>
      <c r="T7" s="140"/>
      <c r="U7" s="140"/>
      <c r="V7" s="140"/>
      <c r="W7" s="140"/>
      <c r="X7" s="140"/>
      <c r="Y7" s="118"/>
    </row>
    <row r="8" spans="1:27" x14ac:dyDescent="0.3">
      <c r="A8" s="176"/>
      <c r="B8" s="173"/>
      <c r="C8" s="173"/>
      <c r="D8" s="173"/>
      <c r="E8" s="173"/>
      <c r="F8" s="173"/>
      <c r="G8" s="5"/>
      <c r="H8" s="5"/>
      <c r="I8" s="5"/>
      <c r="J8" s="5"/>
      <c r="K8" s="108"/>
      <c r="S8" s="117"/>
      <c r="T8" s="140"/>
      <c r="U8" s="140"/>
      <c r="V8" s="140"/>
      <c r="W8" s="140"/>
      <c r="X8" s="140"/>
      <c r="Y8" s="118"/>
    </row>
    <row r="9" spans="1:27" x14ac:dyDescent="0.3">
      <c r="A9" s="176"/>
      <c r="B9" s="173"/>
      <c r="C9" s="173"/>
      <c r="D9" s="173"/>
      <c r="E9" s="173"/>
      <c r="F9" s="173"/>
      <c r="G9" s="5"/>
      <c r="H9" s="5"/>
      <c r="I9" s="5"/>
      <c r="J9" s="5"/>
      <c r="K9" s="108"/>
      <c r="S9" s="117"/>
      <c r="T9" s="138"/>
      <c r="U9" s="138"/>
      <c r="V9" s="138"/>
      <c r="W9" s="138"/>
      <c r="X9" s="138"/>
      <c r="Y9" s="118"/>
    </row>
    <row r="10" spans="1:27" ht="21" x14ac:dyDescent="0.4">
      <c r="A10" s="176"/>
      <c r="B10" s="173"/>
      <c r="C10" s="173"/>
      <c r="D10" s="173"/>
      <c r="E10" s="173"/>
      <c r="F10" s="172" t="s">
        <v>119</v>
      </c>
      <c r="G10" s="5"/>
      <c r="H10" s="5"/>
      <c r="I10" s="5"/>
      <c r="J10" s="5"/>
      <c r="K10" s="108"/>
      <c r="S10" s="117"/>
      <c r="T10" s="138"/>
      <c r="U10" s="138"/>
      <c r="V10" s="138"/>
      <c r="W10" s="138"/>
      <c r="X10" s="138"/>
      <c r="Y10" s="118"/>
    </row>
    <row r="11" spans="1:27" x14ac:dyDescent="0.3">
      <c r="A11" s="176"/>
      <c r="B11" s="173"/>
      <c r="C11" s="173"/>
      <c r="D11" s="173"/>
      <c r="E11" s="173"/>
      <c r="F11" s="28"/>
      <c r="G11" s="5"/>
      <c r="H11" s="5"/>
      <c r="I11" s="5"/>
      <c r="J11" s="5"/>
      <c r="K11" s="108"/>
      <c r="S11" s="117"/>
      <c r="T11" s="138"/>
      <c r="U11" s="138"/>
      <c r="V11" s="138"/>
      <c r="W11" s="138"/>
      <c r="X11" s="138"/>
      <c r="Y11" s="118"/>
    </row>
    <row r="12" spans="1:27" x14ac:dyDescent="0.3">
      <c r="A12" s="176"/>
      <c r="B12" s="173"/>
      <c r="C12" s="40">
        <v>22796</v>
      </c>
      <c r="D12" s="33" t="s">
        <v>18</v>
      </c>
      <c r="E12" s="33" t="s">
        <v>117</v>
      </c>
      <c r="F12" s="33">
        <v>2</v>
      </c>
      <c r="G12" s="33">
        <v>1</v>
      </c>
      <c r="H12" s="173"/>
      <c r="I12" s="5" t="s">
        <v>118</v>
      </c>
      <c r="J12" s="5"/>
      <c r="K12" s="108"/>
      <c r="S12" s="117" t="s">
        <v>18</v>
      </c>
      <c r="T12" s="138" t="s">
        <v>117</v>
      </c>
      <c r="U12" s="138">
        <v>2</v>
      </c>
      <c r="V12" s="138">
        <v>1</v>
      </c>
      <c r="W12" s="138"/>
      <c r="X12" s="126">
        <f t="shared" ref="X12:X13" si="0">(IF(U12&gt;V12,3,IF(U12=V12,1,2)))</f>
        <v>3</v>
      </c>
      <c r="Y12" s="125">
        <f t="shared" ref="Y12:Y13" si="1">(IF(V12&gt;U12,3,IF(U12=V12,1,2)))</f>
        <v>2</v>
      </c>
      <c r="AA12" t="s">
        <v>9</v>
      </c>
    </row>
    <row r="13" spans="1:27" ht="15" thickBot="1" x14ac:dyDescent="0.35">
      <c r="A13" s="176"/>
      <c r="B13" s="173"/>
      <c r="C13" s="58"/>
      <c r="D13" s="59"/>
      <c r="E13" s="59"/>
      <c r="F13" s="59" t="s">
        <v>170</v>
      </c>
      <c r="G13" s="59" t="s">
        <v>183</v>
      </c>
      <c r="H13" s="178"/>
      <c r="I13" s="8"/>
      <c r="J13" s="5"/>
      <c r="K13" s="108"/>
      <c r="S13" s="117" t="s">
        <v>101</v>
      </c>
      <c r="T13" s="138" t="s">
        <v>8</v>
      </c>
      <c r="U13" s="138">
        <v>2</v>
      </c>
      <c r="V13" s="138">
        <v>0</v>
      </c>
      <c r="W13" s="138"/>
      <c r="X13" s="126">
        <f t="shared" si="0"/>
        <v>3</v>
      </c>
      <c r="Y13" s="125">
        <f t="shared" si="1"/>
        <v>2</v>
      </c>
      <c r="AA13" t="s">
        <v>6</v>
      </c>
    </row>
    <row r="14" spans="1:27" x14ac:dyDescent="0.3">
      <c r="A14" s="176"/>
      <c r="B14" s="173"/>
      <c r="C14" s="40">
        <v>22797</v>
      </c>
      <c r="D14" s="33" t="s">
        <v>101</v>
      </c>
      <c r="E14" s="33" t="s">
        <v>8</v>
      </c>
      <c r="F14" s="33">
        <v>2</v>
      </c>
      <c r="G14" s="33">
        <v>0</v>
      </c>
      <c r="H14" s="173"/>
      <c r="I14" s="5" t="s">
        <v>118</v>
      </c>
      <c r="J14" s="5"/>
      <c r="K14" s="108"/>
      <c r="S14" s="117" t="s">
        <v>8</v>
      </c>
      <c r="T14" s="138" t="s">
        <v>18</v>
      </c>
      <c r="U14" s="138">
        <v>3</v>
      </c>
      <c r="V14" s="138">
        <v>1</v>
      </c>
      <c r="W14" s="138"/>
      <c r="X14" s="126">
        <f t="shared" ref="X14:X15" si="2">(IF(U14&gt;V14,3,IF(U14=V14,1,2)))</f>
        <v>3</v>
      </c>
      <c r="Y14" s="125">
        <f t="shared" ref="Y14:Y15" si="3">(IF(V14&gt;U14,3,IF(U14=V14,1,2)))</f>
        <v>2</v>
      </c>
      <c r="AA14" t="s">
        <v>45</v>
      </c>
    </row>
    <row r="15" spans="1:27" ht="15" thickBot="1" x14ac:dyDescent="0.35">
      <c r="A15" s="176"/>
      <c r="B15" s="173"/>
      <c r="C15" s="58"/>
      <c r="D15" s="59"/>
      <c r="E15" s="59"/>
      <c r="F15" s="59" t="s">
        <v>170</v>
      </c>
      <c r="G15" s="59" t="s">
        <v>171</v>
      </c>
      <c r="H15" s="178"/>
      <c r="I15" s="8"/>
      <c r="J15" s="5"/>
      <c r="K15" s="108"/>
      <c r="S15" s="117" t="s">
        <v>101</v>
      </c>
      <c r="T15" s="138" t="s">
        <v>117</v>
      </c>
      <c r="U15" s="138">
        <v>4</v>
      </c>
      <c r="V15" s="138">
        <v>4</v>
      </c>
      <c r="W15" s="138"/>
      <c r="X15" s="126">
        <f t="shared" si="2"/>
        <v>1</v>
      </c>
      <c r="Y15" s="125">
        <f t="shared" si="3"/>
        <v>1</v>
      </c>
      <c r="AA15" t="s">
        <v>8</v>
      </c>
    </row>
    <row r="16" spans="1:27" x14ac:dyDescent="0.3">
      <c r="A16" s="176"/>
      <c r="B16" s="173"/>
      <c r="C16" s="40">
        <v>22799</v>
      </c>
      <c r="D16" s="33" t="s">
        <v>8</v>
      </c>
      <c r="E16" s="33" t="s">
        <v>18</v>
      </c>
      <c r="F16" s="33">
        <v>3</v>
      </c>
      <c r="G16" s="33">
        <v>1</v>
      </c>
      <c r="H16" s="173"/>
      <c r="I16" s="5" t="s">
        <v>118</v>
      </c>
      <c r="J16" s="5"/>
      <c r="K16" s="108"/>
      <c r="S16" s="122" t="s">
        <v>18</v>
      </c>
      <c r="T16" s="17" t="s">
        <v>101</v>
      </c>
      <c r="U16" s="17">
        <v>1</v>
      </c>
      <c r="V16" s="17">
        <v>2</v>
      </c>
      <c r="X16" s="126">
        <f>(IF(U16&gt;V16,3,IF(U16=V16,1,2)))</f>
        <v>2</v>
      </c>
      <c r="Y16" s="125">
        <f>(IF(V16&gt;U16,3,IF(U16=V16,1,2)))</f>
        <v>3</v>
      </c>
      <c r="AA16" t="s">
        <v>101</v>
      </c>
    </row>
    <row r="17" spans="1:27" ht="15" thickBot="1" x14ac:dyDescent="0.35">
      <c r="A17" s="176"/>
      <c r="B17" s="173"/>
      <c r="C17" s="58"/>
      <c r="D17" s="59"/>
      <c r="E17" s="59"/>
      <c r="F17" s="59" t="s">
        <v>215</v>
      </c>
      <c r="G17" s="59" t="s">
        <v>183</v>
      </c>
      <c r="H17" s="178"/>
      <c r="I17" s="8"/>
      <c r="J17" s="5"/>
      <c r="K17" s="108"/>
      <c r="S17" s="117" t="s">
        <v>117</v>
      </c>
      <c r="T17" s="138" t="s">
        <v>8</v>
      </c>
      <c r="U17" s="138">
        <v>0</v>
      </c>
      <c r="V17" s="138">
        <v>5</v>
      </c>
      <c r="X17" s="126">
        <f t="shared" ref="X17" si="4">(IF(U17&gt;V17,3,IF(U17=V17,1,2)))</f>
        <v>2</v>
      </c>
      <c r="Y17" s="125">
        <f t="shared" ref="Y17" si="5">(IF(V17&gt;U17,3,IF(U17=V17,1,2)))</f>
        <v>3</v>
      </c>
      <c r="AA17" t="s">
        <v>32</v>
      </c>
    </row>
    <row r="18" spans="1:27" x14ac:dyDescent="0.3">
      <c r="A18" s="176"/>
      <c r="B18" s="173"/>
      <c r="C18" s="40">
        <v>22800</v>
      </c>
      <c r="D18" s="33" t="s">
        <v>101</v>
      </c>
      <c r="E18" s="33" t="s">
        <v>117</v>
      </c>
      <c r="F18" s="33">
        <v>4</v>
      </c>
      <c r="G18" s="33">
        <v>4</v>
      </c>
      <c r="H18" s="173"/>
      <c r="I18" s="5" t="s">
        <v>118</v>
      </c>
      <c r="J18" s="5"/>
      <c r="K18" s="108"/>
      <c r="S18" s="117"/>
      <c r="T18" s="138"/>
      <c r="U18" s="138"/>
      <c r="V18" s="138"/>
      <c r="X18" s="126"/>
      <c r="Y18" s="125"/>
      <c r="AA18" t="s">
        <v>88</v>
      </c>
    </row>
    <row r="19" spans="1:27" ht="15" thickBot="1" x14ac:dyDescent="0.35">
      <c r="A19" s="176"/>
      <c r="B19" s="173"/>
      <c r="C19" s="58"/>
      <c r="D19" s="59"/>
      <c r="E19" s="59"/>
      <c r="F19" s="59" t="s">
        <v>264</v>
      </c>
      <c r="G19" s="59" t="s">
        <v>183</v>
      </c>
      <c r="H19" s="178"/>
      <c r="I19" s="8"/>
      <c r="J19" s="5"/>
      <c r="K19" s="108"/>
      <c r="S19" s="117"/>
      <c r="T19" s="138"/>
      <c r="U19" s="138"/>
      <c r="V19" s="138"/>
      <c r="X19" s="126"/>
      <c r="Y19" s="125"/>
      <c r="AA19" t="s">
        <v>37</v>
      </c>
    </row>
    <row r="20" spans="1:27" x14ac:dyDescent="0.3">
      <c r="A20" s="176"/>
      <c r="B20" s="173"/>
      <c r="C20" s="40">
        <v>22803</v>
      </c>
      <c r="D20" s="33" t="s">
        <v>18</v>
      </c>
      <c r="E20" s="33" t="s">
        <v>101</v>
      </c>
      <c r="F20" s="33">
        <v>1</v>
      </c>
      <c r="G20" s="33">
        <v>2</v>
      </c>
      <c r="H20" s="173"/>
      <c r="I20" s="5" t="s">
        <v>118</v>
      </c>
      <c r="J20" s="5"/>
      <c r="K20" s="108"/>
      <c r="S20" s="117"/>
      <c r="T20" s="138"/>
      <c r="U20" s="138"/>
      <c r="V20" s="138"/>
      <c r="X20" s="126"/>
      <c r="Y20" s="125"/>
      <c r="AA20" t="s">
        <v>5</v>
      </c>
    </row>
    <row r="21" spans="1:27" ht="15" thickBot="1" x14ac:dyDescent="0.35">
      <c r="A21" s="176"/>
      <c r="B21" s="173"/>
      <c r="C21" s="58"/>
      <c r="D21" s="59"/>
      <c r="E21" s="59"/>
      <c r="F21" s="59" t="s">
        <v>170</v>
      </c>
      <c r="G21" s="59" t="s">
        <v>183</v>
      </c>
      <c r="H21" s="178"/>
      <c r="I21" s="8"/>
      <c r="J21" s="5"/>
      <c r="K21" s="108"/>
      <c r="S21" s="117"/>
      <c r="T21" s="138"/>
      <c r="U21" s="138"/>
      <c r="V21" s="138"/>
      <c r="X21" s="126"/>
      <c r="Y21" s="125"/>
      <c r="AA21" t="s">
        <v>74</v>
      </c>
    </row>
    <row r="22" spans="1:27" x14ac:dyDescent="0.3">
      <c r="A22" s="176"/>
      <c r="B22" s="173"/>
      <c r="C22" s="40">
        <v>22804</v>
      </c>
      <c r="D22" s="33" t="s">
        <v>117</v>
      </c>
      <c r="E22" s="33" t="s">
        <v>8</v>
      </c>
      <c r="F22" s="33">
        <v>0</v>
      </c>
      <c r="G22" s="33">
        <v>5</v>
      </c>
      <c r="H22" s="173"/>
      <c r="I22" s="5" t="s">
        <v>118</v>
      </c>
      <c r="J22" s="5"/>
      <c r="K22" s="108"/>
      <c r="S22" s="117"/>
      <c r="T22" s="138"/>
      <c r="U22" s="138"/>
      <c r="V22" s="138"/>
      <c r="W22" s="138"/>
      <c r="X22" s="138"/>
      <c r="Y22" s="118"/>
      <c r="AA22" t="s">
        <v>18</v>
      </c>
    </row>
    <row r="23" spans="1:27" x14ac:dyDescent="0.3">
      <c r="A23" s="156"/>
      <c r="B23" s="173"/>
      <c r="C23" s="173"/>
      <c r="D23" s="33"/>
      <c r="E23" s="33"/>
      <c r="F23" s="33" t="s">
        <v>170</v>
      </c>
      <c r="G23" s="309" t="s">
        <v>173</v>
      </c>
      <c r="H23" s="5"/>
      <c r="I23" s="5"/>
      <c r="J23" s="5"/>
      <c r="K23" s="108"/>
      <c r="S23" s="117"/>
      <c r="T23" s="138"/>
      <c r="U23" s="138"/>
      <c r="V23" s="138"/>
      <c r="W23" s="138"/>
      <c r="X23" s="138"/>
      <c r="Y23" s="118"/>
      <c r="AA23" t="s">
        <v>4</v>
      </c>
    </row>
    <row r="24" spans="1:27" x14ac:dyDescent="0.3">
      <c r="A24" s="156"/>
      <c r="B24" s="173"/>
      <c r="C24" s="173"/>
      <c r="D24" s="173"/>
      <c r="E24" s="173"/>
      <c r="F24" s="173"/>
      <c r="G24" s="5"/>
      <c r="H24" s="5"/>
      <c r="I24" s="5"/>
      <c r="J24" s="5"/>
      <c r="K24" s="108"/>
      <c r="S24" s="117"/>
      <c r="T24" s="138"/>
      <c r="U24" s="138"/>
      <c r="V24" s="138"/>
      <c r="W24" s="138"/>
      <c r="X24" s="138"/>
      <c r="Y24" s="118"/>
      <c r="AA24" t="s">
        <v>35</v>
      </c>
    </row>
    <row r="25" spans="1:27" ht="15" thickBot="1" x14ac:dyDescent="0.35">
      <c r="A25" s="176"/>
      <c r="B25" s="173"/>
      <c r="C25" s="173" t="s">
        <v>12</v>
      </c>
      <c r="D25" s="173" t="s">
        <v>13</v>
      </c>
      <c r="E25" s="173" t="s">
        <v>14</v>
      </c>
      <c r="F25" s="173" t="s">
        <v>15</v>
      </c>
      <c r="G25" s="5" t="s">
        <v>24</v>
      </c>
      <c r="H25" s="5" t="s">
        <v>25</v>
      </c>
      <c r="I25" s="5" t="s">
        <v>26</v>
      </c>
      <c r="J25" s="5" t="s">
        <v>27</v>
      </c>
      <c r="K25" s="108"/>
      <c r="S25" s="117"/>
      <c r="T25" s="138"/>
      <c r="U25" s="138"/>
      <c r="V25" s="138"/>
      <c r="W25" s="138"/>
      <c r="X25" s="138"/>
      <c r="Y25" s="118"/>
      <c r="AA25" t="s">
        <v>117</v>
      </c>
    </row>
    <row r="26" spans="1:27" s="13" customFormat="1" x14ac:dyDescent="0.3">
      <c r="A26" s="378"/>
      <c r="B26" s="19" t="s">
        <v>101</v>
      </c>
      <c r="C26" s="379">
        <f>COUNTIF($S$12:$T$17,"UdSSR")</f>
        <v>3</v>
      </c>
      <c r="D26" s="124">
        <f>SUMPRODUCT(($S$12:$T$17=B26)*($X$12:$Y$17=3))</f>
        <v>2</v>
      </c>
      <c r="E26" s="124">
        <f>SUMPRODUCT(($S$12:$T$17=B26)*($X$12:$Y$17=1))</f>
        <v>1</v>
      </c>
      <c r="F26" s="124">
        <f>SUMPRODUCT(($S$12:$T$17=B26)*($X$12:$Y$17=2))</f>
        <v>0</v>
      </c>
      <c r="G26" s="124">
        <f>SUMPRODUCT(($S$12:$S$17=B26)*($U$12:$U$17))+SUMPRODUCT(($T$12:$T$17=B26)*($V$12:$V$17))</f>
        <v>8</v>
      </c>
      <c r="H26" s="124">
        <f>SUMPRODUCT(($S$12:$S$17=B26)*($V$12:$V$17))+SUMPRODUCT(($T$12:$T$17=B26)*($U$12:$U$17))</f>
        <v>5</v>
      </c>
      <c r="I26" s="15">
        <f>(D26*2)+E26</f>
        <v>5</v>
      </c>
      <c r="J26" s="16">
        <f>(F26*2)+E26</f>
        <v>1</v>
      </c>
      <c r="K26" s="109"/>
      <c r="S26" s="117"/>
      <c r="T26" s="138"/>
      <c r="U26" s="138"/>
      <c r="V26" s="138"/>
      <c r="W26" s="138"/>
      <c r="X26" s="138"/>
      <c r="Y26" s="118"/>
      <c r="AA26" s="13" t="s">
        <v>125</v>
      </c>
    </row>
    <row r="27" spans="1:27" s="13" customFormat="1" x14ac:dyDescent="0.3">
      <c r="A27" s="378"/>
      <c r="B27" s="3" t="s">
        <v>8</v>
      </c>
      <c r="C27" s="376">
        <f>COUNTIF($S$12:$T$17,"UdSSR")</f>
        <v>3</v>
      </c>
      <c r="D27" s="43">
        <f>SUMPRODUCT(($S$12:$T$17=B27)*($X$12:$Y$17=3))</f>
        <v>2</v>
      </c>
      <c r="E27" s="43">
        <f>SUMPRODUCT(($S$12:$T$17=B27)*($X$12:$Y$17=1))</f>
        <v>0</v>
      </c>
      <c r="F27" s="43">
        <f>SUMPRODUCT(($S$12:$T$17=B27)*($X$12:$Y$17=2))</f>
        <v>1</v>
      </c>
      <c r="G27" s="43">
        <f>SUMPRODUCT(($S$12:$S$17=B27)*($U$12:$U$17))+SUMPRODUCT(($T$12:$T$17=B27)*($V$12:$V$17))</f>
        <v>8</v>
      </c>
      <c r="H27" s="43">
        <f>SUMPRODUCT(($S$12:$S$17=B27)*($V$12:$V$17))+SUMPRODUCT(($T$12:$T$17=B27)*($U$12:$U$17))</f>
        <v>3</v>
      </c>
      <c r="I27" s="18">
        <f>(D27*2)+E27</f>
        <v>4</v>
      </c>
      <c r="J27" s="22">
        <f>(F27*2)+E27</f>
        <v>2</v>
      </c>
      <c r="K27" s="109"/>
      <c r="S27" s="117"/>
      <c r="T27" s="138"/>
      <c r="U27" s="138"/>
      <c r="V27" s="138"/>
      <c r="W27" s="138"/>
      <c r="X27" s="138"/>
      <c r="Y27" s="118"/>
      <c r="AA27" s="13" t="s">
        <v>43</v>
      </c>
    </row>
    <row r="28" spans="1:27" x14ac:dyDescent="0.3">
      <c r="A28" s="24"/>
      <c r="B28" s="21" t="s">
        <v>18</v>
      </c>
      <c r="C28" s="376">
        <f>COUNTIF($S$12:$T$17,"UdSSR")</f>
        <v>3</v>
      </c>
      <c r="D28" s="43">
        <f>SUMPRODUCT(($S$12:$T$17=B28)*($X$12:$Y$17=3))</f>
        <v>1</v>
      </c>
      <c r="E28" s="43">
        <f>SUMPRODUCT(($S$12:$T$17=B28)*($X$12:$Y$17=1))</f>
        <v>0</v>
      </c>
      <c r="F28" s="43">
        <f>SUMPRODUCT(($S$12:$T$17=B28)*($X$12:$Y$17=2))</f>
        <v>2</v>
      </c>
      <c r="G28" s="43">
        <f>SUMPRODUCT(($S$12:$S$17=B28)*($U$12:$U$17))+SUMPRODUCT(($T$12:$T$17=B28)*($V$12:$V$17))</f>
        <v>4</v>
      </c>
      <c r="H28" s="43">
        <f>SUMPRODUCT(($S$12:$S$17=B28)*($V$12:$V$17))+SUMPRODUCT(($T$12:$T$17=B28)*($U$12:$U$17))</f>
        <v>6</v>
      </c>
      <c r="I28" s="18">
        <f>(D28*2)+E28</f>
        <v>2</v>
      </c>
      <c r="J28" s="22">
        <f>(F28*2)+E28</f>
        <v>4</v>
      </c>
      <c r="K28" s="108"/>
      <c r="S28" s="117"/>
      <c r="T28" s="138"/>
      <c r="U28" s="138"/>
      <c r="V28" s="138"/>
      <c r="W28" s="138"/>
      <c r="X28" s="138"/>
      <c r="Y28" s="118"/>
    </row>
    <row r="29" spans="1:27" ht="15" thickBot="1" x14ac:dyDescent="0.35">
      <c r="A29" s="24"/>
      <c r="B29" s="29" t="s">
        <v>117</v>
      </c>
      <c r="C29" s="381">
        <f>COUNTIF($S$12:$T$17,"UdSSR")</f>
        <v>3</v>
      </c>
      <c r="D29" s="80">
        <f>SUMPRODUCT(($S$12:$T$17=B29)*($X$12:$Y$17=3))</f>
        <v>0</v>
      </c>
      <c r="E29" s="80">
        <f>SUMPRODUCT(($S$12:$T$17=B29)*($X$12:$Y$17=1))</f>
        <v>1</v>
      </c>
      <c r="F29" s="80">
        <f>SUMPRODUCT(($S$12:$T$17=B29)*($X$12:$Y$17=2))</f>
        <v>2</v>
      </c>
      <c r="G29" s="80">
        <f>SUMPRODUCT(($S$12:$S$17=B29)*($U$12:$U$17))+SUMPRODUCT(($T$12:$T$17=B29)*($V$12:$V$17))</f>
        <v>5</v>
      </c>
      <c r="H29" s="80">
        <f>SUMPRODUCT(($S$12:$S$17=B29)*($V$12:$V$17))+SUMPRODUCT(($T$12:$T$17=B29)*($U$12:$U$17))</f>
        <v>11</v>
      </c>
      <c r="I29" s="31">
        <f>(D29*2)+E29</f>
        <v>1</v>
      </c>
      <c r="J29" s="32">
        <f>(F29*2)+E29</f>
        <v>5</v>
      </c>
      <c r="K29" s="108"/>
      <c r="S29" s="117"/>
      <c r="T29" s="138"/>
      <c r="U29" s="138"/>
      <c r="V29" s="138"/>
      <c r="W29" s="138"/>
      <c r="X29" s="5"/>
      <c r="Y29" s="127"/>
    </row>
    <row r="30" spans="1:27" ht="15" thickBot="1" x14ac:dyDescent="0.35">
      <c r="A30" s="176"/>
      <c r="B30" s="173"/>
      <c r="C30" s="173"/>
      <c r="D30" s="173"/>
      <c r="E30" s="173"/>
      <c r="F30" s="173"/>
      <c r="G30" s="5"/>
      <c r="H30" s="5"/>
      <c r="I30" s="5"/>
      <c r="J30" s="5"/>
      <c r="K30" s="193"/>
      <c r="S30" s="122"/>
      <c r="T30" s="17"/>
      <c r="U30" s="17"/>
      <c r="V30" s="17"/>
      <c r="W30" s="17"/>
      <c r="X30" s="18"/>
      <c r="Y30" s="128"/>
    </row>
    <row r="31" spans="1:27" ht="15" thickTop="1" x14ac:dyDescent="0.3">
      <c r="A31" s="106"/>
      <c r="B31" s="25"/>
      <c r="C31" s="25"/>
      <c r="D31" s="25"/>
      <c r="E31" s="25"/>
      <c r="F31" s="25"/>
      <c r="G31" s="26"/>
      <c r="H31" s="26"/>
      <c r="I31" s="26"/>
      <c r="J31" s="26"/>
      <c r="K31" s="108"/>
      <c r="S31" s="122"/>
      <c r="T31" s="17"/>
      <c r="U31" s="17"/>
      <c r="V31" s="17"/>
      <c r="W31" s="17"/>
      <c r="X31" s="18"/>
      <c r="Y31" s="128"/>
    </row>
    <row r="32" spans="1:27" ht="21" x14ac:dyDescent="0.4">
      <c r="A32" s="176"/>
      <c r="B32" s="173"/>
      <c r="C32" s="173"/>
      <c r="D32" s="173"/>
      <c r="E32" s="173"/>
      <c r="F32" s="172" t="s">
        <v>120</v>
      </c>
      <c r="G32" s="5"/>
      <c r="H32" s="5"/>
      <c r="I32" s="5"/>
      <c r="J32" s="5"/>
      <c r="K32" s="108"/>
      <c r="S32" s="122"/>
      <c r="T32" s="17"/>
      <c r="U32" s="17"/>
      <c r="V32" s="17"/>
      <c r="W32" s="17"/>
      <c r="X32" s="18"/>
      <c r="Y32" s="128"/>
    </row>
    <row r="33" spans="1:25" x14ac:dyDescent="0.3">
      <c r="A33" s="176"/>
      <c r="B33" s="173"/>
      <c r="C33" s="173"/>
      <c r="D33" s="173"/>
      <c r="E33" s="173"/>
      <c r="F33" s="173"/>
      <c r="G33" s="5"/>
      <c r="H33" s="5"/>
      <c r="I33" s="5"/>
      <c r="J33" s="5"/>
      <c r="K33" s="108"/>
      <c r="S33" s="122"/>
      <c r="T33" s="17"/>
      <c r="U33" s="17"/>
      <c r="V33" s="17"/>
      <c r="W33" s="17"/>
      <c r="X33" s="126"/>
      <c r="Y33" s="125"/>
    </row>
    <row r="34" spans="1:25" x14ac:dyDescent="0.3">
      <c r="A34" s="176"/>
      <c r="B34" s="173"/>
      <c r="C34" s="40">
        <v>22796</v>
      </c>
      <c r="D34" s="33" t="s">
        <v>6</v>
      </c>
      <c r="E34" s="33" t="s">
        <v>43</v>
      </c>
      <c r="F34" s="33">
        <v>3</v>
      </c>
      <c r="G34" s="33">
        <v>1</v>
      </c>
      <c r="H34" s="173"/>
      <c r="I34" s="5" t="s">
        <v>123</v>
      </c>
      <c r="J34" s="5"/>
      <c r="K34" s="108"/>
      <c r="S34" s="117" t="s">
        <v>6</v>
      </c>
      <c r="T34" s="138" t="s">
        <v>43</v>
      </c>
      <c r="U34" s="138">
        <v>3</v>
      </c>
      <c r="V34" s="138">
        <v>1</v>
      </c>
      <c r="W34" s="138"/>
      <c r="X34" s="126">
        <f t="shared" ref="X34:X36" si="6">(IF(U34&gt;V34,3,IF(U34=V34,1,2)))</f>
        <v>3</v>
      </c>
      <c r="Y34" s="125">
        <f t="shared" ref="Y34:Y36" si="7">(IF(V34&gt;U34,3,IF(U34=V34,1,2)))</f>
        <v>2</v>
      </c>
    </row>
    <row r="35" spans="1:25" ht="15" thickBot="1" x14ac:dyDescent="0.35">
      <c r="A35" s="176"/>
      <c r="B35" s="173"/>
      <c r="C35" s="58"/>
      <c r="D35" s="59"/>
      <c r="E35" s="59"/>
      <c r="F35" s="59" t="s">
        <v>172</v>
      </c>
      <c r="G35" s="59" t="s">
        <v>183</v>
      </c>
      <c r="H35" s="178"/>
      <c r="I35" s="8"/>
      <c r="J35" s="5"/>
      <c r="K35" s="108"/>
      <c r="S35" s="117" t="s">
        <v>88</v>
      </c>
      <c r="T35" s="138" t="s">
        <v>37</v>
      </c>
      <c r="U35" s="138">
        <v>0</v>
      </c>
      <c r="V35" s="138">
        <v>0</v>
      </c>
      <c r="W35" s="138"/>
      <c r="X35" s="126">
        <f t="shared" si="6"/>
        <v>1</v>
      </c>
      <c r="Y35" s="125">
        <f t="shared" si="7"/>
        <v>1</v>
      </c>
    </row>
    <row r="36" spans="1:25" ht="15" thickBot="1" x14ac:dyDescent="0.35">
      <c r="A36" s="176"/>
      <c r="B36" s="173"/>
      <c r="C36" s="58">
        <v>22797</v>
      </c>
      <c r="D36" s="59" t="s">
        <v>88</v>
      </c>
      <c r="E36" s="59" t="s">
        <v>37</v>
      </c>
      <c r="F36" s="59">
        <v>0</v>
      </c>
      <c r="G36" s="59">
        <v>0</v>
      </c>
      <c r="H36" s="178"/>
      <c r="I36" s="8" t="s">
        <v>123</v>
      </c>
      <c r="J36" s="5"/>
      <c r="K36" s="108"/>
      <c r="S36" s="117" t="s">
        <v>6</v>
      </c>
      <c r="T36" s="138" t="s">
        <v>37</v>
      </c>
      <c r="U36" s="138">
        <v>2</v>
      </c>
      <c r="V36" s="138">
        <v>0</v>
      </c>
      <c r="W36" s="138"/>
      <c r="X36" s="126">
        <f t="shared" si="6"/>
        <v>3</v>
      </c>
      <c r="Y36" s="125">
        <f t="shared" si="7"/>
        <v>2</v>
      </c>
    </row>
    <row r="37" spans="1:25" x14ac:dyDescent="0.3">
      <c r="A37" s="176"/>
      <c r="B37" s="173"/>
      <c r="C37" s="40">
        <v>22799</v>
      </c>
      <c r="D37" s="33" t="s">
        <v>6</v>
      </c>
      <c r="E37" s="33" t="s">
        <v>37</v>
      </c>
      <c r="F37" s="33">
        <v>2</v>
      </c>
      <c r="G37" s="33">
        <v>0</v>
      </c>
      <c r="H37" s="173"/>
      <c r="I37" s="5" t="s">
        <v>123</v>
      </c>
      <c r="J37" s="5"/>
      <c r="K37" s="108"/>
      <c r="S37" s="117" t="s">
        <v>88</v>
      </c>
      <c r="T37" s="138" t="s">
        <v>43</v>
      </c>
      <c r="U37" s="138">
        <v>2</v>
      </c>
      <c r="V37" s="138">
        <v>1</v>
      </c>
      <c r="W37" s="138"/>
      <c r="X37" s="126">
        <f t="shared" ref="X37:X39" si="8">(IF(U37&gt;V37,3,IF(U37=V37,1,2)))</f>
        <v>3</v>
      </c>
      <c r="Y37" s="125">
        <f t="shared" ref="Y37:Y39" si="9">(IF(V37&gt;U37,3,IF(U37=V37,1,2)))</f>
        <v>2</v>
      </c>
    </row>
    <row r="38" spans="1:25" ht="15" thickBot="1" x14ac:dyDescent="0.35">
      <c r="A38" s="176"/>
      <c r="B38" s="173"/>
      <c r="C38" s="58"/>
      <c r="D38" s="59"/>
      <c r="E38" s="59"/>
      <c r="F38" s="59" t="s">
        <v>170</v>
      </c>
      <c r="G38" s="59" t="s">
        <v>171</v>
      </c>
      <c r="H38" s="178"/>
      <c r="I38" s="8"/>
      <c r="J38" s="5"/>
      <c r="K38" s="108"/>
      <c r="S38" s="117" t="s">
        <v>88</v>
      </c>
      <c r="T38" s="138" t="s">
        <v>6</v>
      </c>
      <c r="U38" s="138">
        <v>2</v>
      </c>
      <c r="V38" s="138">
        <v>0</v>
      </c>
      <c r="W38" s="138"/>
      <c r="X38" s="126">
        <f t="shared" si="8"/>
        <v>3</v>
      </c>
      <c r="Y38" s="125">
        <f t="shared" si="9"/>
        <v>2</v>
      </c>
    </row>
    <row r="39" spans="1:25" x14ac:dyDescent="0.3">
      <c r="A39" s="176"/>
      <c r="B39" s="173"/>
      <c r="C39" s="40">
        <v>22800</v>
      </c>
      <c r="D39" s="33" t="s">
        <v>88</v>
      </c>
      <c r="E39" s="33" t="s">
        <v>43</v>
      </c>
      <c r="F39" s="33">
        <v>2</v>
      </c>
      <c r="G39" s="33">
        <v>1</v>
      </c>
      <c r="H39" s="173"/>
      <c r="I39" s="5" t="s">
        <v>123</v>
      </c>
      <c r="J39" s="5"/>
      <c r="K39" s="108"/>
      <c r="S39" s="117" t="s">
        <v>37</v>
      </c>
      <c r="T39" s="138" t="s">
        <v>43</v>
      </c>
      <c r="U39" s="138">
        <v>3</v>
      </c>
      <c r="V39" s="138">
        <v>0</v>
      </c>
      <c r="W39" s="138"/>
      <c r="X39" s="126">
        <f t="shared" si="8"/>
        <v>3</v>
      </c>
      <c r="Y39" s="125">
        <f t="shared" si="9"/>
        <v>2</v>
      </c>
    </row>
    <row r="40" spans="1:25" ht="15" thickBot="1" x14ac:dyDescent="0.35">
      <c r="A40" s="176"/>
      <c r="B40" s="173"/>
      <c r="C40" s="58"/>
      <c r="D40" s="59"/>
      <c r="E40" s="59"/>
      <c r="F40" s="59" t="s">
        <v>172</v>
      </c>
      <c r="G40" s="59" t="s">
        <v>171</v>
      </c>
      <c r="H40" s="178"/>
      <c r="I40" s="8"/>
      <c r="J40" s="5"/>
      <c r="K40" s="108"/>
      <c r="S40" s="117"/>
      <c r="T40" s="138"/>
      <c r="U40" s="138"/>
      <c r="V40" s="138"/>
      <c r="W40" s="138"/>
      <c r="X40" s="126"/>
      <c r="Y40" s="125"/>
    </row>
    <row r="41" spans="1:25" x14ac:dyDescent="0.3">
      <c r="A41" s="176"/>
      <c r="B41" s="173"/>
      <c r="C41" s="40">
        <v>22803</v>
      </c>
      <c r="D41" s="66" t="s">
        <v>88</v>
      </c>
      <c r="E41" s="66" t="s">
        <v>6</v>
      </c>
      <c r="F41" s="66">
        <v>2</v>
      </c>
      <c r="G41" s="66">
        <v>0</v>
      </c>
      <c r="H41" s="17"/>
      <c r="I41" s="18" t="s">
        <v>123</v>
      </c>
      <c r="J41" s="5"/>
      <c r="K41" s="108"/>
      <c r="S41" s="117"/>
      <c r="T41" s="138"/>
      <c r="U41" s="138"/>
      <c r="V41" s="138"/>
      <c r="W41" s="138"/>
      <c r="X41" s="138"/>
      <c r="Y41" s="118"/>
    </row>
    <row r="42" spans="1:25" ht="15" thickBot="1" x14ac:dyDescent="0.35">
      <c r="A42" s="176"/>
      <c r="B42" s="173"/>
      <c r="C42" s="58"/>
      <c r="D42" s="367"/>
      <c r="E42" s="367"/>
      <c r="F42" s="367" t="s">
        <v>172</v>
      </c>
      <c r="G42" s="367" t="s">
        <v>171</v>
      </c>
      <c r="H42" s="30"/>
      <c r="I42" s="31"/>
      <c r="J42" s="5"/>
      <c r="K42" s="108"/>
      <c r="S42" s="117"/>
      <c r="T42" s="138"/>
      <c r="U42" s="138"/>
      <c r="V42" s="138"/>
      <c r="W42" s="138"/>
      <c r="X42" s="138"/>
      <c r="Y42" s="118"/>
    </row>
    <row r="43" spans="1:25" x14ac:dyDescent="0.3">
      <c r="A43" s="156"/>
      <c r="B43" s="17"/>
      <c r="C43" s="40">
        <v>22804</v>
      </c>
      <c r="D43" s="66" t="s">
        <v>37</v>
      </c>
      <c r="E43" s="66" t="s">
        <v>43</v>
      </c>
      <c r="F43" s="66">
        <v>3</v>
      </c>
      <c r="G43" s="66">
        <v>0</v>
      </c>
      <c r="H43" s="17"/>
      <c r="I43" s="18" t="s">
        <v>123</v>
      </c>
      <c r="J43" s="5"/>
      <c r="K43" s="108"/>
      <c r="S43" s="117"/>
      <c r="T43" s="138"/>
      <c r="U43" s="138"/>
      <c r="V43" s="138"/>
      <c r="W43" s="138"/>
      <c r="X43" s="138"/>
      <c r="Y43" s="118"/>
    </row>
    <row r="44" spans="1:25" x14ac:dyDescent="0.3">
      <c r="A44" s="156"/>
      <c r="B44" s="17"/>
      <c r="C44" s="17"/>
      <c r="D44" s="66"/>
      <c r="E44" s="66"/>
      <c r="F44" s="66" t="s">
        <v>172</v>
      </c>
      <c r="G44" s="94" t="s">
        <v>171</v>
      </c>
      <c r="H44" s="5"/>
      <c r="I44" s="5"/>
      <c r="J44" s="5"/>
      <c r="K44" s="108"/>
      <c r="S44" s="117"/>
      <c r="T44" s="138"/>
      <c r="U44" s="138"/>
      <c r="V44" s="138"/>
      <c r="W44" s="138"/>
      <c r="X44" s="126"/>
      <c r="Y44" s="125"/>
    </row>
    <row r="45" spans="1:25" x14ac:dyDescent="0.3">
      <c r="A45" s="156"/>
      <c r="B45" s="17"/>
      <c r="C45" s="17"/>
      <c r="D45" s="17"/>
      <c r="E45" s="17"/>
      <c r="F45" s="17"/>
      <c r="G45" s="18"/>
      <c r="H45" s="5"/>
      <c r="I45" s="5"/>
      <c r="J45" s="5"/>
      <c r="K45" s="108"/>
      <c r="S45" s="117"/>
      <c r="T45" s="138"/>
      <c r="U45" s="138"/>
      <c r="V45" s="138"/>
      <c r="W45" s="138"/>
      <c r="X45" s="138"/>
      <c r="Y45" s="118"/>
    </row>
    <row r="46" spans="1:25" ht="15" thickBot="1" x14ac:dyDescent="0.35">
      <c r="A46" s="176"/>
      <c r="B46" s="173"/>
      <c r="C46" s="173" t="s">
        <v>12</v>
      </c>
      <c r="D46" s="173" t="s">
        <v>13</v>
      </c>
      <c r="E46" s="173" t="s">
        <v>14</v>
      </c>
      <c r="F46" s="173" t="s">
        <v>15</v>
      </c>
      <c r="G46" s="5" t="s">
        <v>24</v>
      </c>
      <c r="H46" s="5" t="s">
        <v>25</v>
      </c>
      <c r="I46" s="5" t="s">
        <v>26</v>
      </c>
      <c r="J46" s="5" t="s">
        <v>27</v>
      </c>
      <c r="K46" s="108"/>
      <c r="S46" s="117"/>
      <c r="T46" s="138"/>
      <c r="U46" s="138"/>
      <c r="V46" s="138"/>
      <c r="W46" s="138"/>
      <c r="X46" s="126"/>
      <c r="Y46" s="125"/>
    </row>
    <row r="47" spans="1:25" s="13" customFormat="1" x14ac:dyDescent="0.3">
      <c r="A47" s="24"/>
      <c r="B47" s="14" t="s">
        <v>6</v>
      </c>
      <c r="C47" s="370">
        <f>COUNTIF($S$90:$T$105,"UdSSR")</f>
        <v>1</v>
      </c>
      <c r="D47" s="43">
        <f>SUMPRODUCT(($S$90:$T$105=B47)*($X$90:$Y$105=3))</f>
        <v>1</v>
      </c>
      <c r="E47" s="43">
        <f>SUMPRODUCT(($S$90:$T$105=B47)*($X$90:$Y$105=1))</f>
        <v>0</v>
      </c>
      <c r="F47" s="43">
        <f>SUMPRODUCT(($S$90:$T$105=B47)*($X$90:$Y$105=2))</f>
        <v>0</v>
      </c>
      <c r="G47" s="43">
        <f>SUMPRODUCT(($S$90:$S$105=B47)*($U$90:$U$105))+SUMPRODUCT(($T$90:$T$105=B47)*($V$90:$V$105))</f>
        <v>2</v>
      </c>
      <c r="H47" s="43">
        <f>SUMPRODUCT(($S$90:$S$105=B47)*($V$90:$V$105))+SUMPRODUCT(($T$90:$T$105=B47)*($U$90:$U$105))</f>
        <v>1</v>
      </c>
      <c r="I47" s="18">
        <f>(D47*2)+E47</f>
        <v>2</v>
      </c>
      <c r="J47" s="22">
        <f>(F47*2)+E47</f>
        <v>0</v>
      </c>
      <c r="K47" s="109"/>
      <c r="S47" s="117"/>
      <c r="T47" s="138"/>
      <c r="U47" s="138"/>
      <c r="V47" s="138"/>
      <c r="W47" s="138"/>
      <c r="X47" s="126"/>
      <c r="Y47" s="125"/>
    </row>
    <row r="48" spans="1:25" s="13" customFormat="1" x14ac:dyDescent="0.3">
      <c r="A48" s="24"/>
      <c r="B48" s="21" t="s">
        <v>43</v>
      </c>
      <c r="C48" s="17"/>
      <c r="D48" s="17"/>
      <c r="E48" s="17"/>
      <c r="F48" s="17"/>
      <c r="G48" s="18"/>
      <c r="H48" s="18"/>
      <c r="I48" s="18"/>
      <c r="J48" s="22"/>
      <c r="K48" s="109"/>
      <c r="S48" s="117"/>
      <c r="T48" s="138"/>
      <c r="U48" s="138"/>
      <c r="V48" s="138"/>
      <c r="W48" s="138"/>
      <c r="X48" s="126"/>
      <c r="Y48" s="125"/>
    </row>
    <row r="49" spans="1:25" x14ac:dyDescent="0.3">
      <c r="A49" s="176"/>
      <c r="B49" s="3" t="s">
        <v>88</v>
      </c>
      <c r="C49" s="173"/>
      <c r="D49" s="173"/>
      <c r="E49" s="173"/>
      <c r="F49" s="173"/>
      <c r="G49" s="5"/>
      <c r="H49" s="5"/>
      <c r="I49" s="5"/>
      <c r="J49" s="6"/>
      <c r="K49" s="108"/>
      <c r="S49" s="117"/>
      <c r="T49" s="138"/>
      <c r="U49" s="138"/>
      <c r="V49" s="138"/>
      <c r="W49" s="138"/>
      <c r="X49" s="126"/>
      <c r="Y49" s="125"/>
    </row>
    <row r="50" spans="1:25" ht="15" thickBot="1" x14ac:dyDescent="0.35">
      <c r="A50" s="176"/>
      <c r="B50" s="7" t="s">
        <v>37</v>
      </c>
      <c r="C50" s="178"/>
      <c r="D50" s="178"/>
      <c r="E50" s="178"/>
      <c r="F50" s="178"/>
      <c r="G50" s="8"/>
      <c r="H50" s="8"/>
      <c r="I50" s="8"/>
      <c r="J50" s="9"/>
      <c r="K50" s="108"/>
      <c r="S50" s="117"/>
      <c r="T50" s="138"/>
      <c r="U50" s="138"/>
      <c r="V50" s="138"/>
      <c r="W50" s="138"/>
      <c r="X50" s="138"/>
      <c r="Y50" s="118"/>
    </row>
    <row r="51" spans="1:25" ht="15" thickBot="1" x14ac:dyDescent="0.35">
      <c r="A51" s="176"/>
      <c r="B51" s="173"/>
      <c r="C51" s="173"/>
      <c r="D51" s="173"/>
      <c r="E51" s="173"/>
      <c r="F51" s="173"/>
      <c r="G51" s="5"/>
      <c r="H51" s="5"/>
      <c r="I51" s="5"/>
      <c r="J51" s="5"/>
      <c r="K51" s="193"/>
      <c r="S51" s="117"/>
      <c r="T51" s="138"/>
      <c r="U51" s="138"/>
      <c r="V51" s="138"/>
      <c r="W51" s="138"/>
      <c r="X51" s="138"/>
      <c r="Y51" s="118"/>
    </row>
    <row r="52" spans="1:25" ht="15" thickTop="1" x14ac:dyDescent="0.3">
      <c r="A52" s="106"/>
      <c r="B52" s="25"/>
      <c r="C52" s="25"/>
      <c r="D52" s="25"/>
      <c r="E52" s="25"/>
      <c r="F52" s="25"/>
      <c r="G52" s="26"/>
      <c r="H52" s="26"/>
      <c r="I52" s="26"/>
      <c r="J52" s="26"/>
      <c r="K52" s="108"/>
      <c r="S52" s="117"/>
      <c r="T52" s="138"/>
      <c r="U52" s="138"/>
      <c r="V52" s="138"/>
      <c r="W52" s="138"/>
      <c r="X52" s="126"/>
      <c r="Y52" s="125"/>
    </row>
    <row r="53" spans="1:25" ht="21" x14ac:dyDescent="0.4">
      <c r="A53" s="176"/>
      <c r="B53" s="173"/>
      <c r="C53" s="173"/>
      <c r="D53" s="173"/>
      <c r="E53" s="173"/>
      <c r="F53" s="172" t="s">
        <v>121</v>
      </c>
      <c r="G53" s="5"/>
      <c r="H53" s="5"/>
      <c r="I53" s="5"/>
      <c r="J53" s="5"/>
      <c r="K53" s="108"/>
      <c r="S53" s="117"/>
      <c r="T53" s="138"/>
      <c r="U53" s="138"/>
      <c r="V53" s="138"/>
      <c r="W53" s="138"/>
      <c r="X53" s="126"/>
      <c r="Y53" s="125"/>
    </row>
    <row r="54" spans="1:25" x14ac:dyDescent="0.3">
      <c r="A54" s="176"/>
      <c r="B54" s="173"/>
      <c r="C54" s="173"/>
      <c r="D54" s="173"/>
      <c r="E54" s="173"/>
      <c r="F54" s="28"/>
      <c r="G54" s="5"/>
      <c r="H54" s="5"/>
      <c r="I54" s="5"/>
      <c r="J54" s="5"/>
      <c r="K54" s="108"/>
      <c r="S54" s="117"/>
      <c r="T54" s="138"/>
      <c r="U54" s="138"/>
      <c r="V54" s="138"/>
      <c r="W54" s="138"/>
      <c r="X54" s="126"/>
      <c r="Y54" s="125"/>
    </row>
    <row r="55" spans="1:25" x14ac:dyDescent="0.3">
      <c r="A55" s="176"/>
      <c r="B55" s="173"/>
      <c r="C55" s="40">
        <v>22796</v>
      </c>
      <c r="D55" s="33" t="s">
        <v>9</v>
      </c>
      <c r="E55" s="33" t="s">
        <v>4</v>
      </c>
      <c r="F55" s="33">
        <v>2</v>
      </c>
      <c r="G55" s="33">
        <v>0</v>
      </c>
      <c r="H55" s="173"/>
      <c r="I55" s="5" t="s">
        <v>124</v>
      </c>
      <c r="J55" s="5"/>
      <c r="K55" s="108"/>
      <c r="S55" s="117" t="s">
        <v>9</v>
      </c>
      <c r="T55" s="138" t="s">
        <v>4</v>
      </c>
      <c r="U55" s="138">
        <v>2</v>
      </c>
      <c r="V55" s="138">
        <v>0</v>
      </c>
      <c r="W55" s="138"/>
      <c r="X55" s="126">
        <f t="shared" ref="X55" si="10">(IF(U55&gt;V55,3,IF(U55=V55,1,2)))</f>
        <v>3</v>
      </c>
      <c r="Y55" s="125">
        <f t="shared" ref="Y55" si="11">(IF(V55&gt;U55,3,IF(U55=V55,1,2)))</f>
        <v>2</v>
      </c>
    </row>
    <row r="56" spans="1:25" ht="15" thickBot="1" x14ac:dyDescent="0.35">
      <c r="A56" s="176"/>
      <c r="B56" s="173"/>
      <c r="C56" s="58"/>
      <c r="D56" s="59"/>
      <c r="E56" s="59"/>
      <c r="F56" s="59" t="s">
        <v>170</v>
      </c>
      <c r="G56" s="59" t="s">
        <v>171</v>
      </c>
      <c r="H56" s="178"/>
      <c r="I56" s="8"/>
      <c r="J56" s="5"/>
      <c r="K56" s="108"/>
      <c r="S56" s="117" t="s">
        <v>35</v>
      </c>
      <c r="T56" s="138" t="s">
        <v>45</v>
      </c>
      <c r="U56" s="138">
        <v>0</v>
      </c>
      <c r="V56" s="138">
        <v>1</v>
      </c>
      <c r="W56" s="138"/>
      <c r="X56" s="126">
        <f t="shared" ref="X56:X59" si="12">(IF(U56&gt;V56,3,IF(U56=V56,1,2)))</f>
        <v>2</v>
      </c>
      <c r="Y56" s="125">
        <f t="shared" ref="Y56:Y59" si="13">(IF(V56&gt;U56,3,IF(U56=V56,1,2)))</f>
        <v>3</v>
      </c>
    </row>
    <row r="57" spans="1:25" x14ac:dyDescent="0.3">
      <c r="A57" s="176"/>
      <c r="B57" s="173"/>
      <c r="C57" s="40">
        <v>22797</v>
      </c>
      <c r="D57" s="33" t="s">
        <v>35</v>
      </c>
      <c r="E57" s="33" t="s">
        <v>45</v>
      </c>
      <c r="F57" s="33">
        <v>0</v>
      </c>
      <c r="G57" s="33">
        <v>1</v>
      </c>
      <c r="H57" s="173"/>
      <c r="I57" s="5" t="s">
        <v>124</v>
      </c>
      <c r="J57" s="5"/>
      <c r="K57" s="108"/>
      <c r="S57" s="117" t="s">
        <v>9</v>
      </c>
      <c r="T57" s="138" t="s">
        <v>45</v>
      </c>
      <c r="U57" s="138">
        <v>0</v>
      </c>
      <c r="V57" s="138">
        <v>0</v>
      </c>
      <c r="W57" s="138"/>
      <c r="X57" s="126">
        <f t="shared" si="12"/>
        <v>1</v>
      </c>
      <c r="Y57" s="125">
        <f t="shared" si="13"/>
        <v>1</v>
      </c>
    </row>
    <row r="58" spans="1:25" ht="15" thickBot="1" x14ac:dyDescent="0.35">
      <c r="A58" s="176"/>
      <c r="B58" s="173"/>
      <c r="C58" s="58"/>
      <c r="D58" s="59"/>
      <c r="E58" s="59"/>
      <c r="F58" s="59" t="s">
        <v>170</v>
      </c>
      <c r="G58" s="59" t="s">
        <v>171</v>
      </c>
      <c r="H58" s="178"/>
      <c r="I58" s="8"/>
      <c r="J58" s="5"/>
      <c r="K58" s="108"/>
      <c r="S58" s="117" t="s">
        <v>4</v>
      </c>
      <c r="T58" s="138" t="s">
        <v>35</v>
      </c>
      <c r="U58" s="138">
        <v>0</v>
      </c>
      <c r="V58" s="138">
        <v>1</v>
      </c>
      <c r="W58" s="138"/>
      <c r="X58" s="126">
        <f t="shared" si="12"/>
        <v>2</v>
      </c>
      <c r="Y58" s="125">
        <f t="shared" si="13"/>
        <v>3</v>
      </c>
    </row>
    <row r="59" spans="1:25" ht="15" thickBot="1" x14ac:dyDescent="0.35">
      <c r="A59" s="176"/>
      <c r="B59" s="173"/>
      <c r="C59" s="58">
        <v>22799</v>
      </c>
      <c r="D59" s="59" t="s">
        <v>9</v>
      </c>
      <c r="E59" s="59" t="s">
        <v>45</v>
      </c>
      <c r="F59" s="59">
        <v>0</v>
      </c>
      <c r="G59" s="59">
        <v>0</v>
      </c>
      <c r="H59" s="178"/>
      <c r="I59" s="8" t="s">
        <v>124</v>
      </c>
      <c r="J59" s="5"/>
      <c r="K59" s="108"/>
      <c r="S59" s="117" t="s">
        <v>9</v>
      </c>
      <c r="T59" s="138" t="s">
        <v>35</v>
      </c>
      <c r="U59" s="138">
        <v>2</v>
      </c>
      <c r="V59" s="138">
        <v>1</v>
      </c>
      <c r="W59" s="138"/>
      <c r="X59" s="126">
        <f t="shared" si="12"/>
        <v>3</v>
      </c>
      <c r="Y59" s="125">
        <f t="shared" si="13"/>
        <v>2</v>
      </c>
    </row>
    <row r="60" spans="1:25" x14ac:dyDescent="0.3">
      <c r="A60" s="176"/>
      <c r="B60" s="173"/>
      <c r="C60" s="40">
        <v>22800</v>
      </c>
      <c r="D60" s="33" t="s">
        <v>4</v>
      </c>
      <c r="E60" s="33" t="s">
        <v>35</v>
      </c>
      <c r="F60" s="33">
        <v>0</v>
      </c>
      <c r="G60" s="33">
        <v>1</v>
      </c>
      <c r="H60" s="173"/>
      <c r="I60" s="5" t="s">
        <v>124</v>
      </c>
      <c r="J60" s="5"/>
      <c r="K60" s="108"/>
      <c r="S60" s="117" t="s">
        <v>4</v>
      </c>
      <c r="T60" s="138" t="s">
        <v>45</v>
      </c>
      <c r="U60" s="138">
        <v>3</v>
      </c>
      <c r="V60" s="138">
        <v>1</v>
      </c>
      <c r="W60" s="138"/>
      <c r="X60" s="138">
        <f>(IF(U60&gt;V60,3,IF(U60=V60,1,2)))</f>
        <v>3</v>
      </c>
      <c r="Y60" s="118">
        <f>(IF(V60&gt;U60,3,IF(U60=V60,1,2)))</f>
        <v>2</v>
      </c>
    </row>
    <row r="61" spans="1:25" ht="15" thickBot="1" x14ac:dyDescent="0.35">
      <c r="A61" s="176"/>
      <c r="B61" s="173"/>
      <c r="C61" s="58"/>
      <c r="D61" s="59"/>
      <c r="E61" s="59"/>
      <c r="F61" s="59" t="s">
        <v>170</v>
      </c>
      <c r="G61" s="59" t="s">
        <v>171</v>
      </c>
      <c r="H61" s="178"/>
      <c r="I61" s="8"/>
      <c r="J61" s="5"/>
      <c r="K61" s="108"/>
      <c r="S61" s="117"/>
      <c r="T61" s="138"/>
      <c r="U61" s="138"/>
      <c r="V61" s="138"/>
      <c r="W61" s="138"/>
      <c r="X61" s="126"/>
      <c r="Y61" s="125"/>
    </row>
    <row r="62" spans="1:25" x14ac:dyDescent="0.3">
      <c r="A62" s="176"/>
      <c r="B62" s="173"/>
      <c r="C62" s="40">
        <v>22803</v>
      </c>
      <c r="D62" s="33" t="s">
        <v>9</v>
      </c>
      <c r="E62" s="33" t="s">
        <v>35</v>
      </c>
      <c r="F62" s="33">
        <v>2</v>
      </c>
      <c r="G62" s="33">
        <v>1</v>
      </c>
      <c r="H62" s="173"/>
      <c r="I62" s="5" t="s">
        <v>124</v>
      </c>
      <c r="J62" s="5"/>
      <c r="K62" s="108"/>
      <c r="S62" s="117"/>
      <c r="T62" s="138"/>
      <c r="U62" s="138"/>
      <c r="V62" s="138"/>
      <c r="W62" s="138"/>
      <c r="X62" s="138"/>
      <c r="Y62" s="118"/>
    </row>
    <row r="63" spans="1:25" ht="15" thickBot="1" x14ac:dyDescent="0.35">
      <c r="A63" s="176"/>
      <c r="B63" s="173"/>
      <c r="C63" s="58"/>
      <c r="D63" s="59"/>
      <c r="E63" s="59"/>
      <c r="F63" s="59" t="s">
        <v>170</v>
      </c>
      <c r="G63" s="59" t="s">
        <v>183</v>
      </c>
      <c r="H63" s="178"/>
      <c r="I63" s="8"/>
      <c r="J63" s="5"/>
      <c r="K63" s="108"/>
      <c r="S63" s="117"/>
      <c r="T63" s="138"/>
      <c r="U63" s="138"/>
      <c r="V63" s="138"/>
      <c r="W63" s="138"/>
      <c r="X63" s="138"/>
      <c r="Y63" s="118"/>
    </row>
    <row r="64" spans="1:25" x14ac:dyDescent="0.3">
      <c r="A64" s="176"/>
      <c r="B64" s="173"/>
      <c r="C64" s="40">
        <v>22804</v>
      </c>
      <c r="D64" s="33" t="s">
        <v>4</v>
      </c>
      <c r="E64" s="33" t="s">
        <v>45</v>
      </c>
      <c r="F64" s="33">
        <v>3</v>
      </c>
      <c r="G64" s="33">
        <v>1</v>
      </c>
      <c r="H64" s="173"/>
      <c r="I64" s="5" t="s">
        <v>124</v>
      </c>
      <c r="J64" s="5"/>
      <c r="K64" s="108"/>
      <c r="S64" s="117"/>
      <c r="T64" s="138"/>
      <c r="U64" s="138"/>
      <c r="V64" s="138"/>
      <c r="W64" s="138"/>
      <c r="X64" s="126"/>
      <c r="Y64" s="125"/>
    </row>
    <row r="65" spans="1:25" x14ac:dyDescent="0.3">
      <c r="A65" s="156"/>
      <c r="B65" s="173"/>
      <c r="C65" s="173"/>
      <c r="D65" s="33"/>
      <c r="E65" s="33"/>
      <c r="F65" s="33" t="s">
        <v>215</v>
      </c>
      <c r="G65" s="309" t="s">
        <v>183</v>
      </c>
      <c r="H65" s="5"/>
      <c r="I65" s="5"/>
      <c r="J65" s="5"/>
      <c r="K65" s="108"/>
      <c r="S65" s="117"/>
      <c r="T65" s="138"/>
      <c r="U65" s="138"/>
      <c r="V65" s="138"/>
      <c r="W65" s="138"/>
      <c r="X65" s="126"/>
      <c r="Y65" s="125"/>
    </row>
    <row r="66" spans="1:25" x14ac:dyDescent="0.3">
      <c r="A66" s="156"/>
      <c r="B66" s="173"/>
      <c r="C66" s="173"/>
      <c r="D66" s="173"/>
      <c r="E66" s="173"/>
      <c r="F66" s="173"/>
      <c r="G66" s="5"/>
      <c r="H66" s="5"/>
      <c r="I66" s="5"/>
      <c r="J66" s="5"/>
      <c r="K66" s="108"/>
      <c r="S66" s="117"/>
      <c r="T66" s="138"/>
      <c r="U66" s="138"/>
      <c r="V66" s="138"/>
      <c r="W66" s="138"/>
      <c r="X66" s="126"/>
      <c r="Y66" s="125"/>
    </row>
    <row r="67" spans="1:25" ht="15" thickBot="1" x14ac:dyDescent="0.35">
      <c r="A67" s="176"/>
      <c r="B67" s="173"/>
      <c r="C67" s="173" t="s">
        <v>12</v>
      </c>
      <c r="D67" s="173" t="s">
        <v>13</v>
      </c>
      <c r="E67" s="173" t="s">
        <v>14</v>
      </c>
      <c r="F67" s="173" t="s">
        <v>15</v>
      </c>
      <c r="G67" s="5" t="s">
        <v>24</v>
      </c>
      <c r="H67" s="5" t="s">
        <v>25</v>
      </c>
      <c r="I67" s="5" t="s">
        <v>26</v>
      </c>
      <c r="J67" s="5" t="s">
        <v>27</v>
      </c>
      <c r="K67" s="108"/>
      <c r="S67" s="117"/>
      <c r="T67" s="138"/>
      <c r="U67" s="138"/>
      <c r="V67" s="138"/>
      <c r="W67" s="138"/>
      <c r="X67" s="126"/>
      <c r="Y67" s="125"/>
    </row>
    <row r="68" spans="1:25" s="13" customFormat="1" x14ac:dyDescent="0.3">
      <c r="A68" s="24"/>
      <c r="B68" s="14" t="s">
        <v>9</v>
      </c>
      <c r="C68" s="370">
        <f>COUNTIF($S$90:$T$105,"UdSSR")</f>
        <v>1</v>
      </c>
      <c r="D68" s="43">
        <f>SUMPRODUCT(($S$90:$T$105=B68)*($X$90:$Y$105=3))</f>
        <v>1</v>
      </c>
      <c r="E68" s="43">
        <f>SUMPRODUCT(($S$90:$T$105=B68)*($X$90:$Y$105=1))</f>
        <v>0</v>
      </c>
      <c r="F68" s="43">
        <f>SUMPRODUCT(($S$90:$T$105=B68)*($X$90:$Y$105=2))</f>
        <v>0</v>
      </c>
      <c r="G68" s="43">
        <f>SUMPRODUCT(($S$90:$S$105=B68)*($U$90:$U$105))+SUMPRODUCT(($T$90:$T$105=B68)*($V$90:$V$105))</f>
        <v>3</v>
      </c>
      <c r="H68" s="43">
        <f>SUMPRODUCT(($S$90:$S$105=B68)*($V$90:$V$105))+SUMPRODUCT(($T$90:$T$105=B68)*($U$90:$U$105))</f>
        <v>1</v>
      </c>
      <c r="I68" s="18">
        <f>(D68*2)+E68</f>
        <v>2</v>
      </c>
      <c r="J68" s="22">
        <f>(F68*2)+E68</f>
        <v>0</v>
      </c>
      <c r="K68" s="109"/>
      <c r="S68" s="117"/>
      <c r="T68" s="138"/>
      <c r="U68" s="138"/>
      <c r="V68" s="138"/>
      <c r="W68" s="138"/>
      <c r="X68" s="126"/>
      <c r="Y68" s="125"/>
    </row>
    <row r="69" spans="1:25" s="13" customFormat="1" x14ac:dyDescent="0.3">
      <c r="A69" s="24"/>
      <c r="B69" s="21" t="s">
        <v>4</v>
      </c>
      <c r="C69" s="17"/>
      <c r="D69" s="17"/>
      <c r="E69" s="17"/>
      <c r="F69" s="17"/>
      <c r="G69" s="18"/>
      <c r="H69" s="18"/>
      <c r="I69" s="18"/>
      <c r="J69" s="22"/>
      <c r="K69" s="109"/>
      <c r="S69" s="117"/>
      <c r="T69" s="138"/>
      <c r="U69" s="138"/>
      <c r="V69" s="138"/>
      <c r="W69" s="138"/>
      <c r="X69" s="126"/>
      <c r="Y69" s="125"/>
    </row>
    <row r="70" spans="1:25" x14ac:dyDescent="0.3">
      <c r="A70" s="176"/>
      <c r="B70" s="3" t="s">
        <v>35</v>
      </c>
      <c r="C70" s="173"/>
      <c r="D70" s="173"/>
      <c r="E70" s="173"/>
      <c r="F70" s="173"/>
      <c r="G70" s="5"/>
      <c r="H70" s="5"/>
      <c r="I70" s="5"/>
      <c r="J70" s="6"/>
      <c r="K70" s="108"/>
      <c r="S70" s="117"/>
      <c r="T70" s="138"/>
      <c r="U70" s="138"/>
      <c r="V70" s="138"/>
      <c r="W70" s="138"/>
      <c r="X70" s="138"/>
      <c r="Y70" s="118"/>
    </row>
    <row r="71" spans="1:25" ht="15" thickBot="1" x14ac:dyDescent="0.35">
      <c r="A71" s="176"/>
      <c r="B71" s="7" t="s">
        <v>45</v>
      </c>
      <c r="C71" s="178"/>
      <c r="D71" s="178"/>
      <c r="E71" s="178"/>
      <c r="F71" s="178"/>
      <c r="G71" s="8"/>
      <c r="H71" s="8"/>
      <c r="I71" s="8"/>
      <c r="J71" s="9"/>
      <c r="K71" s="108"/>
      <c r="S71" s="117"/>
      <c r="T71" s="138"/>
      <c r="U71" s="138"/>
      <c r="V71" s="138"/>
      <c r="W71" s="138"/>
      <c r="X71" s="126"/>
      <c r="Y71" s="125"/>
    </row>
    <row r="72" spans="1:25" ht="15" thickBot="1" x14ac:dyDescent="0.35">
      <c r="A72" s="176"/>
      <c r="B72" s="173"/>
      <c r="C72" s="173"/>
      <c r="D72" s="173"/>
      <c r="E72" s="173"/>
      <c r="F72" s="173"/>
      <c r="G72" s="5"/>
      <c r="H72" s="5"/>
      <c r="I72" s="5"/>
      <c r="J72" s="5"/>
      <c r="K72" s="193"/>
      <c r="S72" s="117"/>
      <c r="T72" s="138"/>
      <c r="U72" s="138"/>
      <c r="V72" s="138"/>
      <c r="W72" s="138"/>
      <c r="X72" s="126"/>
      <c r="Y72" s="125"/>
    </row>
    <row r="73" spans="1:25" ht="15" thickTop="1" x14ac:dyDescent="0.3">
      <c r="A73" s="106"/>
      <c r="B73" s="25"/>
      <c r="C73" s="25"/>
      <c r="D73" s="25"/>
      <c r="E73" s="25"/>
      <c r="F73" s="25"/>
      <c r="G73" s="26"/>
      <c r="H73" s="26"/>
      <c r="I73" s="26"/>
      <c r="J73" s="26"/>
      <c r="K73" s="108"/>
      <c r="S73" s="117"/>
      <c r="T73" s="138"/>
      <c r="U73" s="138"/>
      <c r="V73" s="138"/>
      <c r="W73" s="138"/>
      <c r="X73" s="126"/>
      <c r="Y73" s="125"/>
    </row>
    <row r="74" spans="1:25" ht="21" x14ac:dyDescent="0.4">
      <c r="A74" s="176"/>
      <c r="B74" s="173"/>
      <c r="C74" s="173"/>
      <c r="D74" s="173"/>
      <c r="E74" s="173"/>
      <c r="F74" s="172" t="s">
        <v>122</v>
      </c>
      <c r="G74" s="5"/>
      <c r="H74" s="5"/>
      <c r="I74" s="5"/>
      <c r="J74" s="5"/>
      <c r="K74" s="108"/>
      <c r="S74" s="117"/>
      <c r="T74" s="138"/>
      <c r="U74" s="138"/>
      <c r="V74" s="138"/>
      <c r="W74" s="138"/>
      <c r="X74" s="126"/>
      <c r="Y74" s="125"/>
    </row>
    <row r="75" spans="1:25" x14ac:dyDescent="0.3">
      <c r="A75" s="176"/>
      <c r="B75" s="173"/>
      <c r="C75" s="173"/>
      <c r="D75" s="173"/>
      <c r="E75" s="173"/>
      <c r="F75" s="28"/>
      <c r="G75" s="5"/>
      <c r="H75" s="5"/>
      <c r="I75" s="5"/>
      <c r="J75" s="5"/>
      <c r="K75" s="108"/>
      <c r="S75" s="117"/>
      <c r="T75" s="138"/>
      <c r="U75" s="138"/>
      <c r="V75" s="138"/>
      <c r="W75" s="138"/>
      <c r="X75" s="126"/>
      <c r="Y75" s="125"/>
    </row>
    <row r="76" spans="1:25" x14ac:dyDescent="0.3">
      <c r="A76" s="176"/>
      <c r="B76" s="173"/>
      <c r="C76" s="40">
        <v>22796</v>
      </c>
      <c r="D76" s="33" t="s">
        <v>5</v>
      </c>
      <c r="E76" s="33" t="s">
        <v>125</v>
      </c>
      <c r="F76" s="33">
        <v>1</v>
      </c>
      <c r="G76" s="33">
        <v>0</v>
      </c>
      <c r="H76" s="173"/>
      <c r="I76" s="5" t="s">
        <v>126</v>
      </c>
      <c r="J76" s="5"/>
      <c r="K76" s="108"/>
      <c r="S76" s="117" t="s">
        <v>5</v>
      </c>
      <c r="T76" s="138" t="s">
        <v>125</v>
      </c>
      <c r="U76" s="138">
        <v>1</v>
      </c>
      <c r="V76" s="138">
        <v>0</v>
      </c>
      <c r="W76" s="138"/>
      <c r="X76" s="126">
        <f t="shared" ref="X76" si="14">(IF(U76&gt;V76,3,IF(U76=V76,1,2)))</f>
        <v>3</v>
      </c>
      <c r="Y76" s="125">
        <f t="shared" ref="Y76" si="15">(IF(V76&gt;U76,3,IF(U76=V76,1,2)))</f>
        <v>2</v>
      </c>
    </row>
    <row r="77" spans="1:25" ht="15" thickBot="1" x14ac:dyDescent="0.35">
      <c r="A77" s="176"/>
      <c r="B77" s="173"/>
      <c r="C77" s="58"/>
      <c r="D77" s="59"/>
      <c r="E77" s="59"/>
      <c r="F77" s="59" t="s">
        <v>172</v>
      </c>
      <c r="G77" s="59" t="s">
        <v>171</v>
      </c>
      <c r="H77" s="178"/>
      <c r="I77" s="8"/>
      <c r="J77" s="5"/>
      <c r="K77" s="108"/>
      <c r="S77" s="117" t="s">
        <v>32</v>
      </c>
      <c r="T77" s="138" t="s">
        <v>74</v>
      </c>
      <c r="U77" s="138">
        <v>2</v>
      </c>
      <c r="V77" s="138">
        <v>1</v>
      </c>
      <c r="W77" s="138"/>
      <c r="X77" s="126">
        <f t="shared" ref="X77:X81" si="16">(IF(U77&gt;V77,3,IF(U77=V77,1,2)))</f>
        <v>3</v>
      </c>
      <c r="Y77" s="125">
        <f t="shared" ref="Y77:Y81" si="17">(IF(V77&gt;U77,3,IF(U77=V77,1,2)))</f>
        <v>2</v>
      </c>
    </row>
    <row r="78" spans="1:25" x14ac:dyDescent="0.3">
      <c r="A78" s="176"/>
      <c r="B78" s="173"/>
      <c r="C78" s="40">
        <v>22797</v>
      </c>
      <c r="D78" s="33" t="s">
        <v>32</v>
      </c>
      <c r="E78" s="33" t="s">
        <v>74</v>
      </c>
      <c r="F78" s="33">
        <v>2</v>
      </c>
      <c r="G78" s="33">
        <v>1</v>
      </c>
      <c r="H78" s="173"/>
      <c r="I78" s="5" t="s">
        <v>126</v>
      </c>
      <c r="J78" s="5"/>
      <c r="K78" s="108"/>
      <c r="S78" s="117" t="s">
        <v>74</v>
      </c>
      <c r="T78" s="138" t="s">
        <v>5</v>
      </c>
      <c r="U78" s="138">
        <v>3</v>
      </c>
      <c r="V78" s="138">
        <v>1</v>
      </c>
      <c r="W78" s="138"/>
      <c r="X78" s="126">
        <f t="shared" si="16"/>
        <v>3</v>
      </c>
      <c r="Y78" s="125">
        <f t="shared" si="17"/>
        <v>2</v>
      </c>
    </row>
    <row r="79" spans="1:25" ht="15" thickBot="1" x14ac:dyDescent="0.35">
      <c r="A79" s="176"/>
      <c r="B79" s="173"/>
      <c r="C79" s="58"/>
      <c r="D79" s="59"/>
      <c r="E79" s="59"/>
      <c r="F79" s="59" t="s">
        <v>172</v>
      </c>
      <c r="G79" s="59" t="s">
        <v>171</v>
      </c>
      <c r="H79" s="178"/>
      <c r="I79" s="8"/>
      <c r="J79" s="5"/>
      <c r="K79" s="108"/>
      <c r="S79" s="117" t="s">
        <v>32</v>
      </c>
      <c r="T79" s="138" t="s">
        <v>125</v>
      </c>
      <c r="U79" s="138">
        <v>6</v>
      </c>
      <c r="V79" s="138">
        <v>1</v>
      </c>
      <c r="W79" s="138"/>
      <c r="X79" s="126">
        <f t="shared" si="16"/>
        <v>3</v>
      </c>
      <c r="Y79" s="125">
        <f t="shared" si="17"/>
        <v>2</v>
      </c>
    </row>
    <row r="80" spans="1:25" x14ac:dyDescent="0.3">
      <c r="A80" s="176"/>
      <c r="B80" s="173"/>
      <c r="C80" s="40">
        <v>22799</v>
      </c>
      <c r="D80" s="33" t="s">
        <v>74</v>
      </c>
      <c r="E80" s="33" t="s">
        <v>5</v>
      </c>
      <c r="F80" s="33">
        <v>3</v>
      </c>
      <c r="G80" s="33">
        <v>1</v>
      </c>
      <c r="H80" s="173"/>
      <c r="I80" s="5" t="s">
        <v>126</v>
      </c>
      <c r="J80" s="5"/>
      <c r="K80" s="108"/>
      <c r="S80" s="117" t="s">
        <v>32</v>
      </c>
      <c r="T80" s="138" t="s">
        <v>5</v>
      </c>
      <c r="U80" s="138">
        <v>0</v>
      </c>
      <c r="V80" s="138">
        <v>0</v>
      </c>
      <c r="W80" s="138"/>
      <c r="X80" s="126">
        <f t="shared" si="16"/>
        <v>1</v>
      </c>
      <c r="Y80" s="125">
        <f t="shared" si="17"/>
        <v>1</v>
      </c>
    </row>
    <row r="81" spans="1:25" ht="15" thickBot="1" x14ac:dyDescent="0.35">
      <c r="A81" s="176"/>
      <c r="B81" s="173"/>
      <c r="C81" s="58"/>
      <c r="D81" s="59"/>
      <c r="E81" s="59"/>
      <c r="F81" s="59" t="s">
        <v>215</v>
      </c>
      <c r="G81" s="59" t="s">
        <v>171</v>
      </c>
      <c r="H81" s="178"/>
      <c r="I81" s="8"/>
      <c r="J81" s="5"/>
      <c r="K81" s="108"/>
      <c r="S81" s="117" t="s">
        <v>74</v>
      </c>
      <c r="T81" s="138" t="s">
        <v>125</v>
      </c>
      <c r="U81" s="138">
        <v>0</v>
      </c>
      <c r="V81" s="138">
        <v>0</v>
      </c>
      <c r="W81" s="138"/>
      <c r="X81" s="126">
        <f t="shared" si="16"/>
        <v>1</v>
      </c>
      <c r="Y81" s="125">
        <f t="shared" si="17"/>
        <v>1</v>
      </c>
    </row>
    <row r="82" spans="1:25" x14ac:dyDescent="0.3">
      <c r="A82" s="176"/>
      <c r="B82" s="173"/>
      <c r="C82" s="40">
        <v>22800</v>
      </c>
      <c r="D82" s="33" t="s">
        <v>32</v>
      </c>
      <c r="E82" s="33" t="s">
        <v>125</v>
      </c>
      <c r="F82" s="33">
        <v>6</v>
      </c>
      <c r="G82" s="33">
        <v>1</v>
      </c>
      <c r="H82" s="173"/>
      <c r="I82" s="5" t="s">
        <v>126</v>
      </c>
      <c r="J82" s="5"/>
      <c r="K82" s="108"/>
      <c r="S82" s="117"/>
      <c r="T82" s="138"/>
      <c r="U82" s="138"/>
      <c r="V82" s="138"/>
      <c r="W82" s="138"/>
      <c r="X82" s="126"/>
      <c r="Y82" s="125"/>
    </row>
    <row r="83" spans="1:25" ht="15" thickBot="1" x14ac:dyDescent="0.35">
      <c r="A83" s="176"/>
      <c r="B83" s="173"/>
      <c r="C83" s="58"/>
      <c r="D83" s="59"/>
      <c r="E83" s="59"/>
      <c r="F83" s="59" t="s">
        <v>268</v>
      </c>
      <c r="G83" s="59" t="s">
        <v>171</v>
      </c>
      <c r="H83" s="178"/>
      <c r="I83" s="8"/>
      <c r="J83" s="5"/>
      <c r="K83" s="108"/>
      <c r="S83" s="117"/>
      <c r="T83" s="138"/>
      <c r="U83" s="138"/>
      <c r="V83" s="138"/>
      <c r="W83" s="138"/>
      <c r="X83" s="138"/>
      <c r="Y83" s="118"/>
    </row>
    <row r="84" spans="1:25" ht="15" thickBot="1" x14ac:dyDescent="0.35">
      <c r="A84" s="176"/>
      <c r="B84" s="173"/>
      <c r="C84" s="58">
        <v>22803</v>
      </c>
      <c r="D84" s="59" t="s">
        <v>32</v>
      </c>
      <c r="E84" s="59" t="s">
        <v>5</v>
      </c>
      <c r="F84" s="59">
        <v>0</v>
      </c>
      <c r="G84" s="59">
        <v>0</v>
      </c>
      <c r="H84" s="178"/>
      <c r="I84" s="8" t="s">
        <v>126</v>
      </c>
      <c r="J84" s="5"/>
      <c r="K84" s="108"/>
      <c r="S84" s="117"/>
      <c r="T84" s="138"/>
      <c r="U84" s="138"/>
      <c r="V84" s="138"/>
      <c r="W84" s="138"/>
      <c r="X84" s="126"/>
      <c r="Y84" s="125"/>
    </row>
    <row r="85" spans="1:25" x14ac:dyDescent="0.3">
      <c r="A85" s="176"/>
      <c r="B85" s="173"/>
      <c r="C85" s="40">
        <v>22804</v>
      </c>
      <c r="D85" s="17" t="s">
        <v>74</v>
      </c>
      <c r="E85" s="17" t="s">
        <v>125</v>
      </c>
      <c r="F85" s="17">
        <v>0</v>
      </c>
      <c r="G85" s="17">
        <v>0</v>
      </c>
      <c r="H85" s="173"/>
      <c r="I85" s="5" t="s">
        <v>126</v>
      </c>
      <c r="J85" s="5"/>
      <c r="K85" s="108"/>
      <c r="S85" s="117"/>
      <c r="T85" s="138"/>
      <c r="U85" s="138"/>
      <c r="V85" s="138"/>
      <c r="W85" s="138"/>
      <c r="X85" s="126"/>
      <c r="Y85" s="125"/>
    </row>
    <row r="86" spans="1:25" x14ac:dyDescent="0.3">
      <c r="A86" s="156"/>
      <c r="B86" s="17"/>
      <c r="C86" s="17"/>
      <c r="D86" s="17"/>
      <c r="E86" s="17"/>
      <c r="F86" s="173"/>
      <c r="G86" s="5"/>
      <c r="H86" s="5"/>
      <c r="I86" s="5"/>
      <c r="J86" s="5"/>
      <c r="K86" s="108"/>
      <c r="S86" s="122"/>
      <c r="T86" s="17"/>
      <c r="U86" s="17"/>
      <c r="V86" s="17"/>
      <c r="W86" s="17"/>
      <c r="X86" s="126"/>
      <c r="Y86" s="125"/>
    </row>
    <row r="87" spans="1:25" ht="15" thickBot="1" x14ac:dyDescent="0.35">
      <c r="A87" s="176"/>
      <c r="B87" s="173"/>
      <c r="C87" s="173" t="s">
        <v>12</v>
      </c>
      <c r="D87" s="173" t="s">
        <v>13</v>
      </c>
      <c r="E87" s="173" t="s">
        <v>14</v>
      </c>
      <c r="F87" s="173" t="s">
        <v>15</v>
      </c>
      <c r="G87" s="5" t="s">
        <v>24</v>
      </c>
      <c r="H87" s="5" t="s">
        <v>25</v>
      </c>
      <c r="I87" s="5" t="s">
        <v>26</v>
      </c>
      <c r="J87" s="5" t="s">
        <v>27</v>
      </c>
      <c r="K87" s="108"/>
      <c r="S87" s="122"/>
      <c r="T87" s="17"/>
      <c r="U87" s="17"/>
      <c r="V87" s="17"/>
      <c r="W87" s="17"/>
      <c r="X87" s="126"/>
      <c r="Y87" s="125"/>
    </row>
    <row r="88" spans="1:25" s="13" customFormat="1" x14ac:dyDescent="0.3">
      <c r="A88" s="24"/>
      <c r="B88" s="14" t="s">
        <v>5</v>
      </c>
      <c r="C88" s="370">
        <f>COUNTIF($S$90:$T$105,"UdSSR")</f>
        <v>1</v>
      </c>
      <c r="D88" s="43">
        <f>SUMPRODUCT(($S$90:$T$105=B88)*($X$90:$Y$105=3))</f>
        <v>0</v>
      </c>
      <c r="E88" s="43">
        <f>SUMPRODUCT(($S$90:$T$105=B88)*($X$90:$Y$105=1))</f>
        <v>0</v>
      </c>
      <c r="F88" s="43">
        <f>SUMPRODUCT(($S$90:$T$105=B88)*($X$90:$Y$105=2))</f>
        <v>0</v>
      </c>
      <c r="G88" s="43">
        <f>SUMPRODUCT(($S$90:$S$105=B88)*($U$90:$U$105))+SUMPRODUCT(($T$90:$T$105=B88)*($V$90:$V$105))</f>
        <v>0</v>
      </c>
      <c r="H88" s="43">
        <f>SUMPRODUCT(($S$90:$S$105=B88)*($V$90:$V$105))+SUMPRODUCT(($T$90:$T$105=B88)*($U$90:$U$105))</f>
        <v>0</v>
      </c>
      <c r="I88" s="18">
        <f>(D88*2)+E88</f>
        <v>0</v>
      </c>
      <c r="J88" s="22">
        <f>(F88*2)+E88</f>
        <v>0</v>
      </c>
      <c r="K88" s="109"/>
      <c r="S88" s="117"/>
      <c r="T88" s="138"/>
      <c r="U88" s="138"/>
      <c r="V88" s="138"/>
      <c r="W88" s="138"/>
      <c r="X88" s="138"/>
      <c r="Y88" s="118"/>
    </row>
    <row r="89" spans="1:25" s="13" customFormat="1" x14ac:dyDescent="0.3">
      <c r="A89" s="24"/>
      <c r="B89" s="21" t="s">
        <v>125</v>
      </c>
      <c r="C89" s="17"/>
      <c r="D89" s="17"/>
      <c r="E89" s="17"/>
      <c r="F89" s="17"/>
      <c r="G89" s="18"/>
      <c r="H89" s="18"/>
      <c r="I89" s="18"/>
      <c r="J89" s="22"/>
      <c r="K89" s="109"/>
      <c r="S89" s="122"/>
      <c r="T89" s="17"/>
      <c r="U89" s="17"/>
      <c r="V89" s="17"/>
      <c r="W89" s="17"/>
      <c r="X89" s="17"/>
      <c r="Y89" s="123"/>
    </row>
    <row r="90" spans="1:25" x14ac:dyDescent="0.3">
      <c r="A90" s="176"/>
      <c r="B90" s="3" t="s">
        <v>32</v>
      </c>
      <c r="C90" s="173"/>
      <c r="D90" s="173"/>
      <c r="E90" s="173"/>
      <c r="F90" s="173"/>
      <c r="G90" s="5"/>
      <c r="H90" s="5"/>
      <c r="I90" s="5"/>
      <c r="J90" s="6"/>
      <c r="K90" s="108"/>
      <c r="S90" s="117"/>
      <c r="T90" s="138"/>
      <c r="U90" s="138"/>
      <c r="V90" s="138"/>
      <c r="W90" s="138"/>
      <c r="X90" s="138"/>
      <c r="Y90" s="118"/>
    </row>
    <row r="91" spans="1:25" ht="15" thickBot="1" x14ac:dyDescent="0.35">
      <c r="A91" s="176"/>
      <c r="B91" s="7" t="s">
        <v>74</v>
      </c>
      <c r="C91" s="178"/>
      <c r="D91" s="178"/>
      <c r="E91" s="178"/>
      <c r="F91" s="178"/>
      <c r="G91" s="8"/>
      <c r="H91" s="8"/>
      <c r="I91" s="8"/>
      <c r="J91" s="9"/>
      <c r="K91" s="108"/>
      <c r="S91" s="117"/>
      <c r="T91" s="138"/>
      <c r="U91" s="138"/>
      <c r="V91" s="138"/>
      <c r="W91" s="138"/>
      <c r="X91" s="138"/>
      <c r="Y91" s="118"/>
    </row>
    <row r="92" spans="1:25" ht="15" thickBot="1" x14ac:dyDescent="0.35">
      <c r="A92" s="176"/>
      <c r="B92" s="173"/>
      <c r="C92" s="173"/>
      <c r="D92" s="173"/>
      <c r="E92" s="173"/>
      <c r="F92" s="173"/>
      <c r="G92" s="5"/>
      <c r="H92" s="5"/>
      <c r="I92" s="5"/>
      <c r="J92" s="5"/>
      <c r="K92" s="193"/>
      <c r="S92" s="117"/>
      <c r="T92" s="138"/>
      <c r="U92" s="138"/>
      <c r="V92" s="138"/>
      <c r="W92" s="138"/>
      <c r="X92" s="126"/>
      <c r="Y92" s="125"/>
    </row>
    <row r="93" spans="1:25" ht="15" thickTop="1" x14ac:dyDescent="0.3">
      <c r="A93" s="106"/>
      <c r="B93" s="25"/>
      <c r="C93" s="25"/>
      <c r="D93" s="25"/>
      <c r="E93" s="25"/>
      <c r="F93" s="25"/>
      <c r="G93" s="26"/>
      <c r="H93" s="26"/>
      <c r="I93" s="26"/>
      <c r="J93" s="26"/>
      <c r="K93" s="108"/>
      <c r="S93" s="117"/>
      <c r="T93" s="138"/>
      <c r="U93" s="138"/>
      <c r="V93" s="138"/>
      <c r="W93" s="138"/>
      <c r="X93" s="138"/>
      <c r="Y93" s="118"/>
    </row>
    <row r="94" spans="1:25" ht="21" x14ac:dyDescent="0.4">
      <c r="A94" s="176"/>
      <c r="B94" s="173"/>
      <c r="C94" s="173"/>
      <c r="D94" s="173"/>
      <c r="E94" s="173"/>
      <c r="F94" s="172" t="s">
        <v>47</v>
      </c>
      <c r="G94" s="5"/>
      <c r="H94" s="5"/>
      <c r="I94" s="5"/>
      <c r="J94" s="5"/>
      <c r="K94" s="108"/>
      <c r="S94" s="117"/>
      <c r="T94" s="138"/>
      <c r="U94" s="138"/>
      <c r="V94" s="138"/>
      <c r="W94" s="138"/>
      <c r="X94" s="138"/>
      <c r="Y94" s="118"/>
    </row>
    <row r="95" spans="1:25" x14ac:dyDescent="0.3">
      <c r="A95" s="176"/>
      <c r="B95" s="173"/>
      <c r="C95" s="173"/>
      <c r="D95" s="173"/>
      <c r="E95" s="173"/>
      <c r="F95" s="28"/>
      <c r="G95" s="5"/>
      <c r="H95" s="5"/>
      <c r="I95" s="5"/>
      <c r="J95" s="5"/>
      <c r="K95" s="108"/>
      <c r="S95" s="117"/>
      <c r="T95" s="138"/>
      <c r="U95" s="138"/>
      <c r="V95" s="138"/>
      <c r="W95" s="138"/>
      <c r="X95" s="138"/>
      <c r="Y95" s="118"/>
    </row>
    <row r="96" spans="1:25" x14ac:dyDescent="0.3">
      <c r="A96" s="176"/>
      <c r="B96" s="173"/>
      <c r="C96" s="40">
        <v>22807</v>
      </c>
      <c r="D96" s="33" t="s">
        <v>6</v>
      </c>
      <c r="E96" s="33" t="s">
        <v>101</v>
      </c>
      <c r="F96" s="33">
        <v>2</v>
      </c>
      <c r="G96" s="33">
        <v>1</v>
      </c>
      <c r="H96" s="173"/>
      <c r="I96" s="5" t="s">
        <v>118</v>
      </c>
      <c r="J96" s="5"/>
      <c r="K96" s="108"/>
      <c r="S96" s="117" t="s">
        <v>6</v>
      </c>
      <c r="T96" s="138" t="s">
        <v>101</v>
      </c>
      <c r="U96" s="138">
        <v>2</v>
      </c>
      <c r="V96" s="138">
        <v>1</v>
      </c>
      <c r="W96" s="138"/>
      <c r="X96" s="126">
        <f t="shared" ref="X96:X99" si="18">(IF(U96&gt;V96,3,IF(U96=V96,1,2)))</f>
        <v>3</v>
      </c>
      <c r="Y96" s="125">
        <f t="shared" ref="Y96:Y99" si="19">(IF(V96&gt;U96,3,IF(U96=V96,1,2)))</f>
        <v>2</v>
      </c>
    </row>
    <row r="97" spans="1:25" ht="15" thickBot="1" x14ac:dyDescent="0.35">
      <c r="A97" s="176"/>
      <c r="B97" s="173"/>
      <c r="C97" s="58"/>
      <c r="D97" s="59"/>
      <c r="E97" s="59"/>
      <c r="F97" s="59" t="s">
        <v>215</v>
      </c>
      <c r="G97" s="59" t="s">
        <v>183</v>
      </c>
      <c r="H97" s="178"/>
      <c r="I97" s="8"/>
      <c r="J97" s="5"/>
      <c r="K97" s="108"/>
      <c r="S97" s="117" t="s">
        <v>9</v>
      </c>
      <c r="T97" s="138" t="s">
        <v>74</v>
      </c>
      <c r="U97" s="138">
        <v>3</v>
      </c>
      <c r="V97" s="138">
        <v>1</v>
      </c>
      <c r="W97" s="138"/>
      <c r="X97" s="126">
        <f t="shared" si="18"/>
        <v>3</v>
      </c>
      <c r="Y97" s="125">
        <f t="shared" si="19"/>
        <v>2</v>
      </c>
    </row>
    <row r="98" spans="1:25" x14ac:dyDescent="0.3">
      <c r="A98" s="176"/>
      <c r="B98" s="173"/>
      <c r="C98" s="165">
        <v>22807</v>
      </c>
      <c r="D98" s="66" t="s">
        <v>9</v>
      </c>
      <c r="E98" s="66" t="s">
        <v>74</v>
      </c>
      <c r="F98" s="66">
        <v>3</v>
      </c>
      <c r="G98" s="66">
        <v>1</v>
      </c>
      <c r="H98" s="17"/>
      <c r="I98" s="18" t="s">
        <v>124</v>
      </c>
      <c r="J98" s="5"/>
      <c r="K98" s="108"/>
      <c r="S98" s="117" t="s">
        <v>45</v>
      </c>
      <c r="T98" s="138" t="s">
        <v>32</v>
      </c>
      <c r="U98" s="138">
        <v>1</v>
      </c>
      <c r="V98" s="138">
        <v>0</v>
      </c>
      <c r="W98" s="138"/>
      <c r="X98" s="126">
        <f t="shared" si="18"/>
        <v>3</v>
      </c>
      <c r="Y98" s="125">
        <f t="shared" si="19"/>
        <v>2</v>
      </c>
    </row>
    <row r="99" spans="1:25" ht="15" thickBot="1" x14ac:dyDescent="0.35">
      <c r="A99" s="176"/>
      <c r="B99" s="173"/>
      <c r="C99" s="62"/>
      <c r="D99" s="367"/>
      <c r="E99" s="367"/>
      <c r="F99" s="367" t="s">
        <v>172</v>
      </c>
      <c r="G99" s="367" t="s">
        <v>183</v>
      </c>
      <c r="H99" s="30"/>
      <c r="I99" s="31"/>
      <c r="J99" s="5"/>
      <c r="K99" s="108"/>
      <c r="S99" s="117" t="s">
        <v>8</v>
      </c>
      <c r="T99" s="138" t="s">
        <v>88</v>
      </c>
      <c r="U99" s="138">
        <v>1</v>
      </c>
      <c r="V99" s="138">
        <v>0</v>
      </c>
      <c r="W99" s="138"/>
      <c r="X99" s="126">
        <f t="shared" si="18"/>
        <v>3</v>
      </c>
      <c r="Y99" s="125">
        <f t="shared" si="19"/>
        <v>2</v>
      </c>
    </row>
    <row r="100" spans="1:25" s="13" customFormat="1" x14ac:dyDescent="0.3">
      <c r="A100" s="186"/>
      <c r="B100" s="95"/>
      <c r="C100" s="40">
        <v>22807</v>
      </c>
      <c r="D100" s="33" t="s">
        <v>45</v>
      </c>
      <c r="E100" s="33" t="s">
        <v>32</v>
      </c>
      <c r="F100" s="33">
        <v>1</v>
      </c>
      <c r="G100" s="33">
        <v>0</v>
      </c>
      <c r="H100" s="173"/>
      <c r="I100" s="5" t="s">
        <v>126</v>
      </c>
      <c r="J100" s="18"/>
      <c r="K100" s="109"/>
      <c r="S100" s="122"/>
      <c r="T100" s="17"/>
      <c r="U100" s="17"/>
      <c r="V100" s="17"/>
      <c r="W100" s="17"/>
      <c r="X100" s="17"/>
      <c r="Y100" s="123"/>
    </row>
    <row r="101" spans="1:25" s="13" customFormat="1" ht="15" thickBot="1" x14ac:dyDescent="0.35">
      <c r="A101" s="186"/>
      <c r="B101" s="95"/>
      <c r="C101" s="178"/>
      <c r="D101" s="59"/>
      <c r="E101" s="59"/>
      <c r="F101" s="59" t="s">
        <v>172</v>
      </c>
      <c r="G101" s="92" t="s">
        <v>171</v>
      </c>
      <c r="H101" s="8"/>
      <c r="I101" s="8"/>
      <c r="J101" s="18"/>
      <c r="K101" s="109"/>
      <c r="S101" s="117"/>
      <c r="T101" s="138"/>
      <c r="U101" s="138"/>
      <c r="V101" s="138"/>
      <c r="W101" s="138"/>
      <c r="X101" s="138"/>
      <c r="Y101" s="118"/>
    </row>
    <row r="102" spans="1:25" x14ac:dyDescent="0.3">
      <c r="A102" s="176"/>
      <c r="B102" s="173"/>
      <c r="C102" s="40">
        <v>22807</v>
      </c>
      <c r="D102" s="33" t="s">
        <v>8</v>
      </c>
      <c r="E102" s="33" t="s">
        <v>88</v>
      </c>
      <c r="F102" s="33">
        <v>1</v>
      </c>
      <c r="G102" s="33">
        <v>0</v>
      </c>
      <c r="H102" s="173"/>
      <c r="I102" s="5" t="s">
        <v>123</v>
      </c>
      <c r="J102" s="5"/>
      <c r="K102" s="108"/>
      <c r="S102" s="117"/>
      <c r="T102" s="138"/>
      <c r="U102" s="138"/>
      <c r="V102" s="138"/>
      <c r="W102" s="138"/>
      <c r="X102" s="138"/>
      <c r="Y102" s="118"/>
    </row>
    <row r="103" spans="1:25" x14ac:dyDescent="0.3">
      <c r="A103" s="156"/>
      <c r="B103" s="173"/>
      <c r="C103" s="40"/>
      <c r="D103" s="173"/>
      <c r="E103" s="173"/>
      <c r="F103" s="173" t="s">
        <v>170</v>
      </c>
      <c r="G103" s="173" t="s">
        <v>171</v>
      </c>
      <c r="H103" s="173"/>
      <c r="I103" s="5"/>
      <c r="J103" s="5"/>
      <c r="K103" s="108"/>
      <c r="S103" s="117"/>
      <c r="T103" s="138"/>
      <c r="U103" s="138"/>
      <c r="V103" s="138"/>
      <c r="W103" s="138"/>
      <c r="X103" s="138"/>
      <c r="Y103" s="118"/>
    </row>
    <row r="104" spans="1:25" x14ac:dyDescent="0.3">
      <c r="A104" s="156"/>
      <c r="B104" s="173"/>
      <c r="C104" s="173"/>
      <c r="D104" s="173"/>
      <c r="E104" s="173"/>
      <c r="F104" s="173"/>
      <c r="G104" s="5"/>
      <c r="H104" s="5"/>
      <c r="I104" s="5"/>
      <c r="J104" s="5"/>
      <c r="K104" s="108"/>
      <c r="S104" s="117"/>
      <c r="T104" s="138"/>
      <c r="U104" s="138"/>
      <c r="V104" s="138"/>
      <c r="W104" s="138"/>
      <c r="X104" s="138"/>
      <c r="Y104" s="118"/>
    </row>
    <row r="105" spans="1:25" x14ac:dyDescent="0.3">
      <c r="A105" s="156"/>
      <c r="B105" s="173"/>
      <c r="C105" s="173"/>
      <c r="D105" s="173"/>
      <c r="E105" s="173"/>
      <c r="F105" s="173"/>
      <c r="G105" s="5"/>
      <c r="H105" s="5"/>
      <c r="I105" s="5"/>
      <c r="J105" s="5"/>
      <c r="K105" s="108"/>
      <c r="S105" s="122"/>
      <c r="T105" s="17"/>
      <c r="U105" s="17"/>
      <c r="V105" s="17"/>
      <c r="W105" s="17"/>
      <c r="X105" s="17"/>
      <c r="Y105" s="123"/>
    </row>
    <row r="106" spans="1:25" ht="21" x14ac:dyDescent="0.4">
      <c r="A106" s="156"/>
      <c r="B106" s="173"/>
      <c r="C106" s="173"/>
      <c r="D106" s="173"/>
      <c r="E106" s="173"/>
      <c r="F106" s="172" t="s">
        <v>48</v>
      </c>
      <c r="G106" s="5"/>
      <c r="H106" s="5"/>
      <c r="I106" s="5"/>
      <c r="J106" s="5"/>
      <c r="K106" s="108"/>
      <c r="S106" s="117"/>
      <c r="T106" s="138"/>
      <c r="U106" s="138"/>
      <c r="V106" s="138"/>
      <c r="W106" s="138"/>
      <c r="X106" s="138"/>
      <c r="Y106" s="118"/>
    </row>
    <row r="107" spans="1:25" x14ac:dyDescent="0.3">
      <c r="A107" s="156"/>
      <c r="B107" s="173"/>
      <c r="C107" s="173"/>
      <c r="D107" s="173"/>
      <c r="E107" s="173"/>
      <c r="F107" s="28"/>
      <c r="G107" s="5"/>
      <c r="H107" s="5"/>
      <c r="I107" s="5"/>
      <c r="J107" s="5"/>
      <c r="K107" s="108"/>
      <c r="S107" s="117"/>
      <c r="T107" s="138"/>
      <c r="U107" s="138"/>
      <c r="V107" s="138"/>
      <c r="W107" s="138"/>
      <c r="X107" s="138"/>
      <c r="Y107" s="118"/>
    </row>
    <row r="108" spans="1:25" s="13" customFormat="1" x14ac:dyDescent="0.3">
      <c r="A108" s="186"/>
      <c r="B108" s="95"/>
      <c r="C108" s="165">
        <v>22810</v>
      </c>
      <c r="D108" s="66" t="s">
        <v>9</v>
      </c>
      <c r="E108" s="66" t="s">
        <v>6</v>
      </c>
      <c r="F108" s="66">
        <v>4</v>
      </c>
      <c r="G108" s="66">
        <v>2</v>
      </c>
      <c r="H108" s="17"/>
      <c r="I108" s="18" t="s">
        <v>123</v>
      </c>
      <c r="J108" s="18"/>
      <c r="K108" s="109"/>
      <c r="S108" s="117" t="s">
        <v>9</v>
      </c>
      <c r="T108" s="138" t="s">
        <v>6</v>
      </c>
      <c r="U108" s="138">
        <v>4</v>
      </c>
      <c r="V108" s="138">
        <v>2</v>
      </c>
      <c r="W108" s="138"/>
      <c r="X108" s="126">
        <f t="shared" ref="X108:X109" si="20">(IF(U108&gt;V108,3,IF(U108=V108,1,2)))</f>
        <v>3</v>
      </c>
      <c r="Y108" s="125">
        <f t="shared" ref="Y108:Y109" si="21">(IF(V108&gt;U108,3,IF(U108=V108,1,2)))</f>
        <v>2</v>
      </c>
    </row>
    <row r="109" spans="1:25" s="13" customFormat="1" ht="15" thickBot="1" x14ac:dyDescent="0.35">
      <c r="A109" s="186"/>
      <c r="B109" s="95"/>
      <c r="C109" s="62"/>
      <c r="D109" s="367"/>
      <c r="E109" s="367"/>
      <c r="F109" s="367" t="s">
        <v>215</v>
      </c>
      <c r="G109" s="367" t="s">
        <v>183</v>
      </c>
      <c r="H109" s="30"/>
      <c r="I109" s="31"/>
      <c r="J109" s="18"/>
      <c r="K109" s="109"/>
      <c r="S109" s="117" t="s">
        <v>45</v>
      </c>
      <c r="T109" s="138" t="s">
        <v>8</v>
      </c>
      <c r="U109" s="138">
        <v>3</v>
      </c>
      <c r="V109" s="138">
        <v>1</v>
      </c>
      <c r="W109" s="138"/>
      <c r="X109" s="126">
        <f t="shared" si="20"/>
        <v>3</v>
      </c>
      <c r="Y109" s="125">
        <f t="shared" si="21"/>
        <v>2</v>
      </c>
    </row>
    <row r="110" spans="1:25" s="13" customFormat="1" x14ac:dyDescent="0.3">
      <c r="A110" s="186"/>
      <c r="B110" s="95"/>
      <c r="C110" s="165">
        <v>22810</v>
      </c>
      <c r="D110" s="66" t="s">
        <v>45</v>
      </c>
      <c r="E110" s="66" t="s">
        <v>8</v>
      </c>
      <c r="F110" s="66">
        <v>3</v>
      </c>
      <c r="G110" s="66">
        <v>1</v>
      </c>
      <c r="H110" s="17"/>
      <c r="I110" s="18" t="s">
        <v>124</v>
      </c>
      <c r="J110" s="18"/>
      <c r="K110" s="109"/>
      <c r="S110" s="117"/>
      <c r="T110" s="138"/>
      <c r="U110" s="138"/>
      <c r="V110" s="138"/>
      <c r="W110" s="138"/>
      <c r="X110" s="138"/>
      <c r="Y110" s="118"/>
    </row>
    <row r="111" spans="1:25" s="13" customFormat="1" x14ac:dyDescent="0.3">
      <c r="A111" s="194"/>
      <c r="B111" s="17"/>
      <c r="C111" s="17"/>
      <c r="D111" s="66"/>
      <c r="E111" s="66"/>
      <c r="F111" s="66" t="s">
        <v>170</v>
      </c>
      <c r="G111" s="94" t="s">
        <v>171</v>
      </c>
      <c r="H111" s="18"/>
      <c r="I111" s="18"/>
      <c r="J111" s="18"/>
      <c r="K111" s="109"/>
      <c r="S111" s="117"/>
      <c r="T111" s="138"/>
      <c r="U111" s="138"/>
      <c r="V111" s="138"/>
      <c r="W111" s="138"/>
      <c r="X111" s="138"/>
      <c r="Y111" s="118"/>
    </row>
    <row r="112" spans="1:25" s="13" customFormat="1" x14ac:dyDescent="0.3">
      <c r="A112" s="194"/>
      <c r="B112" s="17"/>
      <c r="C112" s="17"/>
      <c r="D112" s="17"/>
      <c r="E112" s="17"/>
      <c r="F112" s="17"/>
      <c r="G112" s="18"/>
      <c r="H112" s="18"/>
      <c r="I112" s="18"/>
      <c r="J112" s="18"/>
      <c r="K112" s="109"/>
      <c r="S112" s="117"/>
      <c r="T112" s="138"/>
      <c r="U112" s="138"/>
      <c r="V112" s="138"/>
      <c r="W112" s="138"/>
      <c r="X112" s="138"/>
      <c r="Y112" s="118"/>
    </row>
    <row r="113" spans="1:25" s="13" customFormat="1" ht="15" thickBot="1" x14ac:dyDescent="0.35">
      <c r="A113" s="194"/>
      <c r="B113" s="17"/>
      <c r="C113" s="17"/>
      <c r="D113" s="17"/>
      <c r="E113" s="17"/>
      <c r="F113" s="17"/>
      <c r="G113" s="18"/>
      <c r="H113" s="18"/>
      <c r="I113" s="18"/>
      <c r="J113" s="18"/>
      <c r="K113" s="109"/>
      <c r="S113" s="117"/>
      <c r="T113" s="138"/>
      <c r="U113" s="138"/>
      <c r="V113" s="138"/>
      <c r="W113" s="138"/>
      <c r="X113" s="138"/>
      <c r="Y113" s="118"/>
    </row>
    <row r="114" spans="1:25" s="13" customFormat="1" ht="21" x14ac:dyDescent="0.4">
      <c r="A114" s="194"/>
      <c r="B114" s="17"/>
      <c r="C114" s="443" t="s">
        <v>323</v>
      </c>
      <c r="D114" s="444"/>
      <c r="E114" s="444"/>
      <c r="F114" s="444"/>
      <c r="G114" s="444"/>
      <c r="H114" s="444"/>
      <c r="I114" s="445"/>
      <c r="J114" s="18"/>
      <c r="K114" s="109"/>
      <c r="S114" s="117"/>
      <c r="T114" s="138"/>
      <c r="U114" s="138"/>
      <c r="V114" s="138"/>
      <c r="W114" s="138"/>
      <c r="X114" s="138"/>
      <c r="Y114" s="118"/>
    </row>
    <row r="115" spans="1:25" s="13" customFormat="1" ht="14.4" customHeight="1" x14ac:dyDescent="0.4">
      <c r="A115" s="194"/>
      <c r="B115" s="17"/>
      <c r="C115" s="383"/>
      <c r="D115" s="371"/>
      <c r="E115" s="371"/>
      <c r="F115" s="371"/>
      <c r="G115" s="371"/>
      <c r="H115" s="371"/>
      <c r="I115" s="384"/>
      <c r="J115" s="18"/>
      <c r="K115" s="109"/>
      <c r="S115" s="117"/>
      <c r="T115" s="370"/>
      <c r="U115" s="370"/>
      <c r="V115" s="370"/>
      <c r="W115" s="370"/>
      <c r="X115" s="370"/>
      <c r="Y115" s="118"/>
    </row>
    <row r="116" spans="1:25" s="13" customFormat="1" x14ac:dyDescent="0.3">
      <c r="A116" s="194"/>
      <c r="B116" s="95"/>
      <c r="C116" s="21"/>
      <c r="D116" s="66" t="s">
        <v>6</v>
      </c>
      <c r="E116" s="64" t="s">
        <v>8</v>
      </c>
      <c r="F116" s="18">
        <v>1</v>
      </c>
      <c r="G116" s="18">
        <v>0</v>
      </c>
      <c r="I116" s="22"/>
      <c r="J116" s="18"/>
      <c r="K116" s="109"/>
      <c r="S116" s="117" t="s">
        <v>6</v>
      </c>
      <c r="T116" s="138" t="s">
        <v>8</v>
      </c>
      <c r="U116" s="138">
        <v>1</v>
      </c>
      <c r="V116" s="138">
        <v>0</v>
      </c>
      <c r="W116" s="138"/>
      <c r="X116" s="126">
        <f t="shared" ref="X116" si="22">(IF(U116&gt;V116,3,IF(U116=V116,1,2)))</f>
        <v>3</v>
      </c>
      <c r="Y116" s="125">
        <f t="shared" ref="Y116" si="23">(IF(V116&gt;U116,3,IF(U116=V116,1,2)))</f>
        <v>2</v>
      </c>
    </row>
    <row r="117" spans="1:25" s="13" customFormat="1" x14ac:dyDescent="0.3">
      <c r="A117" s="194"/>
      <c r="B117" s="17"/>
      <c r="C117" s="21"/>
      <c r="D117" s="66"/>
      <c r="E117" s="17"/>
      <c r="F117" s="18" t="s">
        <v>170</v>
      </c>
      <c r="G117" s="18" t="s">
        <v>171</v>
      </c>
      <c r="I117" s="22"/>
      <c r="J117" s="18"/>
      <c r="K117" s="109"/>
      <c r="S117" s="117"/>
      <c r="T117" s="138"/>
      <c r="U117" s="138"/>
      <c r="V117" s="138"/>
      <c r="W117" s="138"/>
      <c r="X117" s="126"/>
      <c r="Y117" s="125"/>
    </row>
    <row r="118" spans="1:25" s="13" customFormat="1" ht="15" thickBot="1" x14ac:dyDescent="0.35">
      <c r="A118" s="194"/>
      <c r="B118" s="17"/>
      <c r="C118" s="29"/>
      <c r="D118" s="30"/>
      <c r="E118" s="30"/>
      <c r="F118" s="30"/>
      <c r="G118" s="31"/>
      <c r="H118" s="31"/>
      <c r="I118" s="32"/>
      <c r="J118" s="18"/>
      <c r="K118" s="109"/>
      <c r="S118" s="122"/>
      <c r="T118" s="17"/>
      <c r="U118" s="17"/>
      <c r="V118" s="17"/>
      <c r="W118" s="17"/>
      <c r="X118" s="17"/>
      <c r="Y118" s="123"/>
    </row>
    <row r="119" spans="1:25" s="13" customFormat="1" x14ac:dyDescent="0.3">
      <c r="A119" s="194"/>
      <c r="B119" s="17"/>
      <c r="C119" s="17"/>
      <c r="D119" s="17"/>
      <c r="E119" s="17"/>
      <c r="F119" s="17"/>
      <c r="G119" s="18"/>
      <c r="H119" s="18"/>
      <c r="I119" s="18"/>
      <c r="J119" s="18"/>
      <c r="K119" s="109"/>
      <c r="S119" s="117"/>
      <c r="T119" s="138"/>
      <c r="U119" s="138"/>
      <c r="V119" s="138"/>
      <c r="W119" s="138"/>
      <c r="X119" s="138"/>
      <c r="Y119" s="118"/>
    </row>
    <row r="120" spans="1:25" s="13" customFormat="1" x14ac:dyDescent="0.3">
      <c r="A120" s="194"/>
      <c r="B120" s="17"/>
      <c r="C120" s="17"/>
      <c r="D120" s="17"/>
      <c r="E120" s="17"/>
      <c r="F120" s="17"/>
      <c r="G120" s="18"/>
      <c r="H120" s="18"/>
      <c r="I120" s="18"/>
      <c r="J120" s="18"/>
      <c r="K120" s="109"/>
      <c r="S120" s="117"/>
      <c r="T120" s="138"/>
      <c r="U120" s="138"/>
      <c r="V120" s="138"/>
      <c r="W120" s="138"/>
      <c r="X120" s="138"/>
      <c r="Y120" s="118"/>
    </row>
    <row r="121" spans="1:25" s="13" customFormat="1" x14ac:dyDescent="0.3">
      <c r="A121" s="194"/>
      <c r="B121" s="17"/>
      <c r="C121" s="17"/>
      <c r="D121" s="17"/>
      <c r="E121" s="17"/>
      <c r="F121" s="17"/>
      <c r="G121" s="18"/>
      <c r="H121" s="18"/>
      <c r="I121" s="18"/>
      <c r="J121" s="18"/>
      <c r="K121" s="109"/>
      <c r="S121" s="117"/>
      <c r="T121" s="138"/>
      <c r="U121" s="138"/>
      <c r="V121" s="138"/>
      <c r="W121" s="138"/>
      <c r="X121" s="138"/>
      <c r="Y121" s="118"/>
    </row>
    <row r="122" spans="1:25" s="13" customFormat="1" ht="15" thickBot="1" x14ac:dyDescent="0.35">
      <c r="A122" s="194"/>
      <c r="B122" s="17"/>
      <c r="C122" s="17"/>
      <c r="D122" s="17"/>
      <c r="E122" s="17"/>
      <c r="F122" s="17"/>
      <c r="G122" s="18"/>
      <c r="H122" s="18"/>
      <c r="I122" s="18"/>
      <c r="J122" s="18"/>
      <c r="K122" s="109"/>
      <c r="S122" s="117"/>
      <c r="T122" s="138"/>
      <c r="U122" s="138"/>
      <c r="V122" s="138"/>
      <c r="W122" s="138"/>
      <c r="X122" s="138"/>
      <c r="Y122" s="118"/>
    </row>
    <row r="123" spans="1:25" s="13" customFormat="1" ht="21" x14ac:dyDescent="0.4">
      <c r="A123" s="194"/>
      <c r="B123" s="95"/>
      <c r="C123" s="443" t="s">
        <v>324</v>
      </c>
      <c r="D123" s="444"/>
      <c r="E123" s="444"/>
      <c r="F123" s="444"/>
      <c r="G123" s="444"/>
      <c r="H123" s="444"/>
      <c r="I123" s="445"/>
      <c r="J123" s="18"/>
      <c r="K123" s="109"/>
      <c r="S123" s="117"/>
      <c r="T123" s="138"/>
      <c r="U123" s="138"/>
      <c r="V123" s="138"/>
      <c r="W123" s="138"/>
      <c r="X123" s="138"/>
      <c r="Y123" s="118"/>
    </row>
    <row r="124" spans="1:25" s="13" customFormat="1" ht="14.4" customHeight="1" x14ac:dyDescent="0.4">
      <c r="A124" s="194"/>
      <c r="B124" s="95"/>
      <c r="C124" s="383"/>
      <c r="D124" s="371"/>
      <c r="E124" s="371"/>
      <c r="F124" s="371"/>
      <c r="G124" s="371"/>
      <c r="H124" s="371"/>
      <c r="I124" s="384"/>
      <c r="J124" s="18"/>
      <c r="K124" s="109"/>
      <c r="S124" s="117"/>
      <c r="T124" s="370"/>
      <c r="U124" s="370"/>
      <c r="V124" s="370"/>
      <c r="W124" s="370"/>
      <c r="X124" s="370"/>
      <c r="Y124" s="118"/>
    </row>
    <row r="125" spans="1:25" s="13" customFormat="1" x14ac:dyDescent="0.3">
      <c r="A125" s="194"/>
      <c r="B125" s="95"/>
      <c r="C125" s="21"/>
      <c r="D125" s="66" t="s">
        <v>9</v>
      </c>
      <c r="E125" s="385" t="s">
        <v>45</v>
      </c>
      <c r="F125" s="18">
        <v>3</v>
      </c>
      <c r="G125" s="18">
        <v>1</v>
      </c>
      <c r="I125" s="22"/>
      <c r="J125" s="18"/>
      <c r="K125" s="109"/>
      <c r="S125" s="117" t="s">
        <v>9</v>
      </c>
      <c r="T125" s="138" t="s">
        <v>45</v>
      </c>
      <c r="U125" s="138">
        <v>3</v>
      </c>
      <c r="V125" s="138">
        <v>1</v>
      </c>
      <c r="W125" s="138"/>
      <c r="X125" s="126">
        <f t="shared" ref="X125" si="24">(IF(U125&gt;V125,3,IF(U125=V125,1,2)))</f>
        <v>3</v>
      </c>
      <c r="Y125" s="125">
        <f t="shared" ref="Y125" si="25">(IF(V125&gt;U125,3,IF(U125=V125,1,2)))</f>
        <v>2</v>
      </c>
    </row>
    <row r="126" spans="1:25" s="13" customFormat="1" x14ac:dyDescent="0.3">
      <c r="A126" s="194"/>
      <c r="B126" s="17"/>
      <c r="C126" s="21"/>
      <c r="D126" s="66"/>
      <c r="E126" s="17"/>
      <c r="F126" s="18" t="s">
        <v>172</v>
      </c>
      <c r="G126" s="18" t="s">
        <v>183</v>
      </c>
      <c r="I126" s="22"/>
      <c r="J126" s="18"/>
      <c r="K126" s="109"/>
      <c r="S126" s="117"/>
      <c r="T126" s="138"/>
      <c r="U126" s="138"/>
      <c r="V126" s="138"/>
      <c r="W126" s="138"/>
      <c r="X126" s="126"/>
      <c r="Y126" s="125"/>
    </row>
    <row r="127" spans="1:25" s="13" customFormat="1" ht="15" thickBot="1" x14ac:dyDescent="0.35">
      <c r="A127" s="194"/>
      <c r="B127" s="17"/>
      <c r="C127" s="29"/>
      <c r="D127" s="30"/>
      <c r="E127" s="30"/>
      <c r="F127" s="30"/>
      <c r="G127" s="31"/>
      <c r="H127" s="31"/>
      <c r="I127" s="32"/>
      <c r="J127" s="18"/>
      <c r="K127" s="109"/>
      <c r="S127" s="117"/>
      <c r="T127" s="138"/>
      <c r="U127" s="138"/>
      <c r="V127" s="138"/>
      <c r="W127" s="138"/>
      <c r="X127" s="138"/>
      <c r="Y127" s="118"/>
    </row>
    <row r="128" spans="1:25" s="13" customFormat="1" x14ac:dyDescent="0.3">
      <c r="A128" s="24"/>
      <c r="B128" s="17"/>
      <c r="C128" s="17"/>
      <c r="D128" s="17"/>
      <c r="E128" s="17"/>
      <c r="F128" s="17"/>
      <c r="G128" s="18"/>
      <c r="H128" s="18"/>
      <c r="I128" s="18"/>
      <c r="J128" s="18"/>
      <c r="K128" s="109"/>
      <c r="S128" s="115"/>
      <c r="T128" s="115"/>
      <c r="U128" s="115"/>
      <c r="V128" s="115"/>
      <c r="W128" s="115"/>
      <c r="X128" s="115"/>
      <c r="Y128" s="115"/>
    </row>
    <row r="129" spans="1:25" s="13" customFormat="1" x14ac:dyDescent="0.3">
      <c r="A129" s="24"/>
      <c r="B129" s="17"/>
      <c r="C129" s="17"/>
      <c r="D129" s="17"/>
      <c r="E129" s="17"/>
      <c r="F129" s="17"/>
      <c r="G129" s="18"/>
      <c r="H129" s="18"/>
      <c r="I129" s="18"/>
      <c r="J129" s="18"/>
      <c r="K129" s="109"/>
      <c r="S129" s="139"/>
      <c r="T129" s="139"/>
      <c r="U129" s="139"/>
      <c r="V129" s="139"/>
      <c r="W129" s="139"/>
      <c r="X129" s="139"/>
      <c r="Y129" s="139"/>
    </row>
    <row r="130" spans="1:25" s="13" customFormat="1" x14ac:dyDescent="0.3">
      <c r="A130" s="24"/>
      <c r="B130" s="17"/>
      <c r="C130" s="17"/>
      <c r="D130" s="17"/>
      <c r="E130" s="17"/>
      <c r="F130" s="17"/>
      <c r="G130" s="18"/>
      <c r="H130" s="18"/>
      <c r="I130" s="18"/>
      <c r="J130" s="18"/>
      <c r="K130" s="109"/>
      <c r="S130" s="139"/>
      <c r="T130" s="139"/>
      <c r="U130" s="139"/>
      <c r="V130" s="139"/>
      <c r="W130" s="139"/>
      <c r="X130" s="139"/>
      <c r="Y130" s="139"/>
    </row>
    <row r="131" spans="1:25" s="13" customFormat="1" x14ac:dyDescent="0.3">
      <c r="A131" s="24"/>
      <c r="B131" s="17"/>
      <c r="C131" s="17"/>
      <c r="D131" s="17"/>
      <c r="E131" s="17"/>
      <c r="F131" s="17"/>
      <c r="G131" s="18"/>
      <c r="H131" s="18"/>
      <c r="I131" s="18"/>
      <c r="J131" s="18"/>
      <c r="K131" s="109"/>
      <c r="S131" s="139"/>
      <c r="T131" s="139"/>
      <c r="U131" s="139"/>
      <c r="V131" s="139"/>
      <c r="W131" s="139"/>
      <c r="X131" s="139"/>
      <c r="Y131" s="139"/>
    </row>
    <row r="132" spans="1:25" s="13" customFormat="1" ht="15" thickBot="1" x14ac:dyDescent="0.35">
      <c r="A132" s="24"/>
      <c r="B132" s="17" t="s">
        <v>298</v>
      </c>
      <c r="C132" s="17" t="s">
        <v>12</v>
      </c>
      <c r="D132" s="17" t="s">
        <v>13</v>
      </c>
      <c r="E132" s="17" t="s">
        <v>14</v>
      </c>
      <c r="F132" s="17" t="s">
        <v>15</v>
      </c>
      <c r="G132" s="18" t="s">
        <v>24</v>
      </c>
      <c r="H132" s="18" t="s">
        <v>25</v>
      </c>
      <c r="I132" s="18" t="s">
        <v>26</v>
      </c>
      <c r="J132" s="18" t="s">
        <v>27</v>
      </c>
      <c r="K132" s="109"/>
      <c r="S132" s="139"/>
      <c r="T132" s="139"/>
      <c r="U132" s="139"/>
      <c r="V132" s="139"/>
      <c r="W132" s="139"/>
      <c r="X132" s="139"/>
      <c r="Y132" s="139"/>
    </row>
    <row r="133" spans="1:25" s="13" customFormat="1" x14ac:dyDescent="0.3">
      <c r="A133" s="24"/>
      <c r="B133" s="14" t="s">
        <v>9</v>
      </c>
      <c r="C133" s="248">
        <f>COUNTIF($S$12:$T$125,"Brasilien")</f>
        <v>6</v>
      </c>
      <c r="D133" s="124">
        <f t="shared" ref="D133:D148" si="26">SUMPRODUCT(($S$12:$T$125=B133)*($X$12:$Y$125=3))</f>
        <v>5</v>
      </c>
      <c r="E133" s="124">
        <f t="shared" ref="E133:E148" si="27">SUMPRODUCT(($S$12:$T$125=B133)*($X$12:$Y$125=1))</f>
        <v>1</v>
      </c>
      <c r="F133" s="124">
        <f t="shared" ref="F133:F148" si="28">SUMPRODUCT(($S$12:$T$125=B133)*($X$12:$Y$125=2))</f>
        <v>0</v>
      </c>
      <c r="G133" s="124">
        <f t="shared" ref="G133:G148" si="29">SUMPRODUCT(($S$12:$S$125=B133)*($U$12:$U$125))+SUMPRODUCT(($T$12:$T$125=B133)*($V$12:$V$125))</f>
        <v>14</v>
      </c>
      <c r="H133" s="124">
        <f t="shared" ref="H133:H148" si="30">SUMPRODUCT(($S$12:$S$125=B133)*($V$12:$V$125))+SUMPRODUCT(($T$12:$T$125=B133)*($U$12:$U$125))</f>
        <v>5</v>
      </c>
      <c r="I133" s="15">
        <f t="shared" ref="I133:I148" si="31">(D133*2)+E133</f>
        <v>11</v>
      </c>
      <c r="J133" s="16">
        <f t="shared" ref="J133:J148" si="32">(F133*2)+E133</f>
        <v>1</v>
      </c>
      <c r="K133" s="109"/>
      <c r="S133" s="10"/>
      <c r="T133" s="10"/>
      <c r="U133" s="10"/>
      <c r="V133" s="10"/>
      <c r="W133" s="10"/>
      <c r="X133" s="10"/>
      <c r="Y133" s="10"/>
    </row>
    <row r="134" spans="1:25" s="13" customFormat="1" x14ac:dyDescent="0.3">
      <c r="A134" s="24"/>
      <c r="B134" s="21" t="s">
        <v>6</v>
      </c>
      <c r="C134" s="17">
        <f>COUNTIF($S$12:$T$125,"Chile")</f>
        <v>6</v>
      </c>
      <c r="D134" s="43">
        <f t="shared" si="26"/>
        <v>4</v>
      </c>
      <c r="E134" s="43">
        <f t="shared" si="27"/>
        <v>0</v>
      </c>
      <c r="F134" s="43">
        <f t="shared" si="28"/>
        <v>2</v>
      </c>
      <c r="G134" s="43">
        <f t="shared" si="29"/>
        <v>10</v>
      </c>
      <c r="H134" s="43">
        <f t="shared" si="30"/>
        <v>8</v>
      </c>
      <c r="I134" s="18">
        <f t="shared" si="31"/>
        <v>8</v>
      </c>
      <c r="J134" s="22">
        <f t="shared" si="32"/>
        <v>4</v>
      </c>
      <c r="K134" s="109"/>
      <c r="S134" s="139"/>
      <c r="T134" s="139"/>
      <c r="U134" s="139"/>
      <c r="V134" s="139"/>
      <c r="W134" s="139"/>
      <c r="X134" s="139"/>
      <c r="Y134" s="139"/>
    </row>
    <row r="135" spans="1:25" s="13" customFormat="1" x14ac:dyDescent="0.3">
      <c r="A135" s="24"/>
      <c r="B135" s="21" t="s">
        <v>45</v>
      </c>
      <c r="C135" s="17">
        <f>COUNTIF($S$12:$T$125,"CSSR")</f>
        <v>6</v>
      </c>
      <c r="D135" s="43">
        <f t="shared" si="26"/>
        <v>3</v>
      </c>
      <c r="E135" s="43">
        <f t="shared" si="27"/>
        <v>1</v>
      </c>
      <c r="F135" s="43">
        <f t="shared" si="28"/>
        <v>2</v>
      </c>
      <c r="G135" s="43">
        <f t="shared" si="29"/>
        <v>7</v>
      </c>
      <c r="H135" s="43">
        <f t="shared" si="30"/>
        <v>7</v>
      </c>
      <c r="I135" s="18">
        <f t="shared" si="31"/>
        <v>7</v>
      </c>
      <c r="J135" s="22">
        <f t="shared" si="32"/>
        <v>5</v>
      </c>
      <c r="K135" s="109"/>
      <c r="S135" s="139"/>
      <c r="T135" s="139"/>
      <c r="U135" s="139"/>
      <c r="V135" s="139"/>
      <c r="W135" s="139"/>
      <c r="X135" s="139"/>
      <c r="Y135" s="139"/>
    </row>
    <row r="136" spans="1:25" s="13" customFormat="1" x14ac:dyDescent="0.3">
      <c r="A136" s="24"/>
      <c r="B136" s="21" t="s">
        <v>8</v>
      </c>
      <c r="C136" s="17">
        <f>COUNTIF($S$12:$T$125,"Jugoslawien")</f>
        <v>6</v>
      </c>
      <c r="D136" s="43">
        <f t="shared" si="26"/>
        <v>3</v>
      </c>
      <c r="E136" s="43">
        <f t="shared" si="27"/>
        <v>0</v>
      </c>
      <c r="F136" s="43">
        <f t="shared" si="28"/>
        <v>3</v>
      </c>
      <c r="G136" s="43">
        <f t="shared" si="29"/>
        <v>10</v>
      </c>
      <c r="H136" s="43">
        <f t="shared" si="30"/>
        <v>7</v>
      </c>
      <c r="I136" s="18">
        <f t="shared" si="31"/>
        <v>6</v>
      </c>
      <c r="J136" s="22">
        <f t="shared" si="32"/>
        <v>6</v>
      </c>
      <c r="K136" s="109"/>
      <c r="S136" s="139"/>
      <c r="T136" s="139"/>
      <c r="U136" s="139"/>
      <c r="V136" s="139"/>
      <c r="W136" s="139"/>
      <c r="X136" s="139"/>
      <c r="Y136" s="139"/>
    </row>
    <row r="137" spans="1:25" s="13" customFormat="1" x14ac:dyDescent="0.3">
      <c r="A137" s="24"/>
      <c r="B137" s="21" t="s">
        <v>101</v>
      </c>
      <c r="C137" s="17">
        <f>COUNTIF($S$12:$T$125,"UdSSR")</f>
        <v>4</v>
      </c>
      <c r="D137" s="43">
        <f t="shared" si="26"/>
        <v>2</v>
      </c>
      <c r="E137" s="43">
        <f t="shared" si="27"/>
        <v>1</v>
      </c>
      <c r="F137" s="43">
        <f t="shared" si="28"/>
        <v>1</v>
      </c>
      <c r="G137" s="43">
        <f t="shared" si="29"/>
        <v>9</v>
      </c>
      <c r="H137" s="43">
        <f t="shared" si="30"/>
        <v>7</v>
      </c>
      <c r="I137" s="18">
        <f t="shared" si="31"/>
        <v>5</v>
      </c>
      <c r="J137" s="22">
        <f t="shared" si="32"/>
        <v>3</v>
      </c>
      <c r="K137" s="109"/>
      <c r="S137" s="139"/>
      <c r="T137" s="139"/>
      <c r="U137" s="139"/>
      <c r="V137" s="139"/>
      <c r="W137" s="139"/>
      <c r="X137" s="139"/>
      <c r="Y137" s="139"/>
    </row>
    <row r="138" spans="1:25" s="13" customFormat="1" x14ac:dyDescent="0.3">
      <c r="A138" s="24"/>
      <c r="B138" s="21" t="s">
        <v>32</v>
      </c>
      <c r="C138" s="17">
        <f>COUNTIF($S$12:$T$125,"Ungarn")</f>
        <v>4</v>
      </c>
      <c r="D138" s="43">
        <f t="shared" si="26"/>
        <v>2</v>
      </c>
      <c r="E138" s="43">
        <f t="shared" si="27"/>
        <v>1</v>
      </c>
      <c r="F138" s="43">
        <f t="shared" si="28"/>
        <v>1</v>
      </c>
      <c r="G138" s="43">
        <f t="shared" si="29"/>
        <v>8</v>
      </c>
      <c r="H138" s="43">
        <f t="shared" si="30"/>
        <v>3</v>
      </c>
      <c r="I138" s="18">
        <f t="shared" si="31"/>
        <v>5</v>
      </c>
      <c r="J138" s="22">
        <f t="shared" si="32"/>
        <v>3</v>
      </c>
      <c r="K138" s="109"/>
      <c r="S138" s="139"/>
      <c r="T138" s="139"/>
      <c r="U138" s="139"/>
      <c r="V138" s="139"/>
      <c r="W138" s="139"/>
      <c r="X138" s="139"/>
      <c r="Y138" s="139"/>
    </row>
    <row r="139" spans="1:25" s="13" customFormat="1" x14ac:dyDescent="0.3">
      <c r="A139" s="24"/>
      <c r="B139" s="21" t="s">
        <v>88</v>
      </c>
      <c r="C139" s="17">
        <f>COUNTIF($S$12:$T$125,"BRD")</f>
        <v>4</v>
      </c>
      <c r="D139" s="43">
        <f t="shared" si="26"/>
        <v>2</v>
      </c>
      <c r="E139" s="43">
        <f t="shared" si="27"/>
        <v>1</v>
      </c>
      <c r="F139" s="43">
        <f t="shared" si="28"/>
        <v>1</v>
      </c>
      <c r="G139" s="43">
        <f t="shared" si="29"/>
        <v>4</v>
      </c>
      <c r="H139" s="43">
        <f t="shared" si="30"/>
        <v>2</v>
      </c>
      <c r="I139" s="18">
        <f t="shared" si="31"/>
        <v>5</v>
      </c>
      <c r="J139" s="22">
        <f t="shared" si="32"/>
        <v>3</v>
      </c>
      <c r="K139" s="109"/>
      <c r="S139" s="10"/>
      <c r="T139" s="10"/>
      <c r="U139" s="10"/>
      <c r="V139" s="10"/>
      <c r="W139" s="10"/>
      <c r="X139" s="10"/>
      <c r="Y139" s="10"/>
    </row>
    <row r="140" spans="1:25" s="13" customFormat="1" x14ac:dyDescent="0.3">
      <c r="A140" s="24"/>
      <c r="B140" s="21" t="s">
        <v>37</v>
      </c>
      <c r="C140" s="17">
        <f>COUNTIF($S$12:$T$125,"Italien")</f>
        <v>3</v>
      </c>
      <c r="D140" s="43">
        <f t="shared" si="26"/>
        <v>1</v>
      </c>
      <c r="E140" s="43">
        <f t="shared" si="27"/>
        <v>1</v>
      </c>
      <c r="F140" s="43">
        <f t="shared" si="28"/>
        <v>1</v>
      </c>
      <c r="G140" s="43">
        <f t="shared" si="29"/>
        <v>3</v>
      </c>
      <c r="H140" s="43">
        <f t="shared" si="30"/>
        <v>2</v>
      </c>
      <c r="I140" s="18">
        <f t="shared" si="31"/>
        <v>3</v>
      </c>
      <c r="J140" s="22">
        <f t="shared" si="32"/>
        <v>3</v>
      </c>
      <c r="K140" s="109"/>
      <c r="S140" s="139"/>
      <c r="T140" s="139"/>
      <c r="U140" s="139"/>
      <c r="V140" s="139"/>
      <c r="W140" s="139"/>
      <c r="X140" s="139"/>
      <c r="Y140" s="139"/>
    </row>
    <row r="141" spans="1:25" s="13" customFormat="1" x14ac:dyDescent="0.3">
      <c r="A141" s="24"/>
      <c r="B141" s="21" t="s">
        <v>5</v>
      </c>
      <c r="C141" s="17">
        <f>COUNTIF($S$12:$T$125,"Argentinien")</f>
        <v>3</v>
      </c>
      <c r="D141" s="43">
        <f t="shared" si="26"/>
        <v>1</v>
      </c>
      <c r="E141" s="43">
        <f t="shared" si="27"/>
        <v>1</v>
      </c>
      <c r="F141" s="43">
        <f t="shared" si="28"/>
        <v>1</v>
      </c>
      <c r="G141" s="43">
        <f t="shared" si="29"/>
        <v>2</v>
      </c>
      <c r="H141" s="43">
        <f t="shared" si="30"/>
        <v>3</v>
      </c>
      <c r="I141" s="18">
        <f t="shared" si="31"/>
        <v>3</v>
      </c>
      <c r="J141" s="22">
        <f t="shared" si="32"/>
        <v>3</v>
      </c>
      <c r="K141" s="109"/>
      <c r="S141" s="144"/>
      <c r="T141" s="144"/>
      <c r="U141" s="144"/>
      <c r="V141" s="144"/>
      <c r="W141" s="144"/>
      <c r="X141" s="144"/>
      <c r="Y141" s="144"/>
    </row>
    <row r="142" spans="1:25" s="13" customFormat="1" x14ac:dyDescent="0.3">
      <c r="A142" s="24"/>
      <c r="B142" s="21" t="s">
        <v>74</v>
      </c>
      <c r="C142" s="17">
        <f>COUNTIF($S$12:$T$125,"England")</f>
        <v>4</v>
      </c>
      <c r="D142" s="43">
        <f t="shared" si="26"/>
        <v>1</v>
      </c>
      <c r="E142" s="43">
        <f t="shared" si="27"/>
        <v>1</v>
      </c>
      <c r="F142" s="43">
        <f t="shared" si="28"/>
        <v>2</v>
      </c>
      <c r="G142" s="43">
        <f t="shared" si="29"/>
        <v>5</v>
      </c>
      <c r="H142" s="43">
        <f t="shared" si="30"/>
        <v>6</v>
      </c>
      <c r="I142" s="18">
        <f t="shared" si="31"/>
        <v>3</v>
      </c>
      <c r="J142" s="22">
        <f t="shared" si="32"/>
        <v>5</v>
      </c>
      <c r="K142" s="109"/>
      <c r="S142" s="139"/>
      <c r="T142" s="139"/>
      <c r="U142" s="139"/>
      <c r="V142" s="139"/>
      <c r="W142" s="139"/>
      <c r="X142" s="139"/>
      <c r="Y142" s="139"/>
    </row>
    <row r="143" spans="1:25" s="13" customFormat="1" x14ac:dyDescent="0.3">
      <c r="A143" s="24"/>
      <c r="B143" s="21" t="s">
        <v>18</v>
      </c>
      <c r="C143" s="17">
        <f>COUNTIF($S$12:$T$125,"Uruguay")</f>
        <v>3</v>
      </c>
      <c r="D143" s="43">
        <f t="shared" si="26"/>
        <v>1</v>
      </c>
      <c r="E143" s="43">
        <f t="shared" si="27"/>
        <v>0</v>
      </c>
      <c r="F143" s="43">
        <f t="shared" si="28"/>
        <v>2</v>
      </c>
      <c r="G143" s="43">
        <f t="shared" si="29"/>
        <v>4</v>
      </c>
      <c r="H143" s="43">
        <f t="shared" si="30"/>
        <v>6</v>
      </c>
      <c r="I143" s="18">
        <f t="shared" si="31"/>
        <v>2</v>
      </c>
      <c r="J143" s="22">
        <f t="shared" si="32"/>
        <v>4</v>
      </c>
      <c r="K143" s="109"/>
      <c r="S143" s="139"/>
      <c r="T143" s="139"/>
      <c r="U143" s="139"/>
      <c r="V143" s="139"/>
      <c r="W143" s="139"/>
      <c r="X143" s="139"/>
      <c r="Y143" s="139"/>
    </row>
    <row r="144" spans="1:25" s="13" customFormat="1" x14ac:dyDescent="0.3">
      <c r="A144" s="24"/>
      <c r="B144" s="21" t="s">
        <v>4</v>
      </c>
      <c r="C144" s="17">
        <f>COUNTIF($S$12:$T$125,"Mexiko")</f>
        <v>3</v>
      </c>
      <c r="D144" s="43">
        <f t="shared" si="26"/>
        <v>1</v>
      </c>
      <c r="E144" s="43">
        <f t="shared" si="27"/>
        <v>0</v>
      </c>
      <c r="F144" s="43">
        <f t="shared" si="28"/>
        <v>2</v>
      </c>
      <c r="G144" s="43">
        <f t="shared" si="29"/>
        <v>3</v>
      </c>
      <c r="H144" s="43">
        <f t="shared" si="30"/>
        <v>4</v>
      </c>
      <c r="I144" s="18">
        <f t="shared" si="31"/>
        <v>2</v>
      </c>
      <c r="J144" s="22">
        <f t="shared" si="32"/>
        <v>4</v>
      </c>
      <c r="K144" s="109"/>
      <c r="S144" s="139"/>
      <c r="T144" s="139"/>
      <c r="U144" s="139"/>
      <c r="V144" s="139"/>
      <c r="W144" s="139"/>
      <c r="X144" s="139"/>
      <c r="Y144" s="139"/>
    </row>
    <row r="145" spans="1:25" s="13" customFormat="1" x14ac:dyDescent="0.3">
      <c r="A145" s="24"/>
      <c r="B145" s="21" t="s">
        <v>35</v>
      </c>
      <c r="C145" s="17">
        <f>COUNTIF($S$12:$T$125,"Spanien")</f>
        <v>3</v>
      </c>
      <c r="D145" s="43">
        <f t="shared" si="26"/>
        <v>1</v>
      </c>
      <c r="E145" s="43">
        <f t="shared" si="27"/>
        <v>0</v>
      </c>
      <c r="F145" s="43">
        <f t="shared" si="28"/>
        <v>2</v>
      </c>
      <c r="G145" s="43">
        <f t="shared" si="29"/>
        <v>2</v>
      </c>
      <c r="H145" s="43">
        <f t="shared" si="30"/>
        <v>3</v>
      </c>
      <c r="I145" s="18">
        <f t="shared" si="31"/>
        <v>2</v>
      </c>
      <c r="J145" s="22">
        <f t="shared" si="32"/>
        <v>4</v>
      </c>
      <c r="K145" s="109"/>
      <c r="S145" s="139"/>
      <c r="T145" s="139"/>
      <c r="U145" s="139"/>
      <c r="V145" s="139"/>
      <c r="W145" s="139"/>
      <c r="X145" s="139"/>
      <c r="Y145" s="139"/>
    </row>
    <row r="146" spans="1:25" s="13" customFormat="1" x14ac:dyDescent="0.3">
      <c r="A146" s="24"/>
      <c r="B146" s="21" t="s">
        <v>117</v>
      </c>
      <c r="C146" s="17">
        <f>COUNTIF($S$12:$T$125,"Kolumbien")</f>
        <v>3</v>
      </c>
      <c r="D146" s="43">
        <f t="shared" si="26"/>
        <v>0</v>
      </c>
      <c r="E146" s="43">
        <f t="shared" si="27"/>
        <v>1</v>
      </c>
      <c r="F146" s="43">
        <f t="shared" si="28"/>
        <v>2</v>
      </c>
      <c r="G146" s="43">
        <f t="shared" si="29"/>
        <v>5</v>
      </c>
      <c r="H146" s="43">
        <f t="shared" si="30"/>
        <v>11</v>
      </c>
      <c r="I146" s="18">
        <f t="shared" si="31"/>
        <v>1</v>
      </c>
      <c r="J146" s="22">
        <f t="shared" si="32"/>
        <v>5</v>
      </c>
      <c r="K146" s="109"/>
      <c r="S146" s="139"/>
      <c r="T146" s="139"/>
      <c r="U146" s="139"/>
      <c r="V146" s="139"/>
      <c r="W146" s="139"/>
      <c r="X146" s="139"/>
      <c r="Y146" s="139"/>
    </row>
    <row r="147" spans="1:25" s="13" customFormat="1" x14ac:dyDescent="0.3">
      <c r="A147" s="24"/>
      <c r="B147" s="21" t="s">
        <v>125</v>
      </c>
      <c r="C147" s="17">
        <f>COUNTIF($S$12:$T$125,"Bulgarien")</f>
        <v>3</v>
      </c>
      <c r="D147" s="43">
        <f t="shared" si="26"/>
        <v>0</v>
      </c>
      <c r="E147" s="43">
        <f t="shared" si="27"/>
        <v>1</v>
      </c>
      <c r="F147" s="43">
        <f t="shared" si="28"/>
        <v>2</v>
      </c>
      <c r="G147" s="43">
        <f t="shared" si="29"/>
        <v>1</v>
      </c>
      <c r="H147" s="43">
        <f t="shared" si="30"/>
        <v>7</v>
      </c>
      <c r="I147" s="18">
        <f t="shared" si="31"/>
        <v>1</v>
      </c>
      <c r="J147" s="22">
        <f t="shared" si="32"/>
        <v>5</v>
      </c>
      <c r="K147" s="109"/>
      <c r="S147" s="139"/>
      <c r="T147" s="139"/>
      <c r="U147" s="139"/>
      <c r="V147" s="139"/>
      <c r="W147" s="139"/>
      <c r="X147" s="139"/>
      <c r="Y147" s="139"/>
    </row>
    <row r="148" spans="1:25" s="13" customFormat="1" ht="15" thickBot="1" x14ac:dyDescent="0.35">
      <c r="A148" s="24"/>
      <c r="B148" s="29" t="s">
        <v>43</v>
      </c>
      <c r="C148" s="30">
        <f>COUNTIF($S$12:$T$125,"Schweiz")</f>
        <v>3</v>
      </c>
      <c r="D148" s="80">
        <f t="shared" si="26"/>
        <v>0</v>
      </c>
      <c r="E148" s="80">
        <f t="shared" si="27"/>
        <v>0</v>
      </c>
      <c r="F148" s="80">
        <f t="shared" si="28"/>
        <v>3</v>
      </c>
      <c r="G148" s="80">
        <f t="shared" si="29"/>
        <v>2</v>
      </c>
      <c r="H148" s="80">
        <f t="shared" si="30"/>
        <v>8</v>
      </c>
      <c r="I148" s="31">
        <f t="shared" si="31"/>
        <v>0</v>
      </c>
      <c r="J148" s="32">
        <f t="shared" si="32"/>
        <v>6</v>
      </c>
      <c r="K148" s="109"/>
      <c r="S148" s="139"/>
      <c r="T148" s="139"/>
      <c r="U148" s="139"/>
      <c r="V148" s="139"/>
      <c r="W148" s="139"/>
      <c r="X148" s="139"/>
      <c r="Y148" s="139"/>
    </row>
    <row r="149" spans="1:25" x14ac:dyDescent="0.3">
      <c r="A149" s="176"/>
      <c r="B149" s="173"/>
      <c r="C149" s="173"/>
      <c r="D149" s="173"/>
      <c r="E149" s="173"/>
      <c r="F149" s="173"/>
      <c r="G149" s="5"/>
      <c r="H149" s="5"/>
      <c r="I149" s="5"/>
      <c r="J149" s="5"/>
      <c r="K149" s="108"/>
    </row>
    <row r="150" spans="1:25" ht="15" thickBot="1" x14ac:dyDescent="0.35">
      <c r="A150" s="110"/>
      <c r="B150" s="36"/>
      <c r="C150" s="36"/>
      <c r="D150" s="36"/>
      <c r="E150" s="36"/>
      <c r="F150" s="36"/>
      <c r="G150" s="37"/>
      <c r="H150" s="37"/>
      <c r="I150" s="37"/>
      <c r="J150" s="37"/>
      <c r="K150" s="193"/>
    </row>
    <row r="151" spans="1:25" ht="15" thickTop="1" x14ac:dyDescent="0.3"/>
  </sheetData>
  <sortState ref="A26:J29">
    <sortCondition descending="1" ref="I26:I29"/>
    <sortCondition ref="J26:J29"/>
    <sortCondition descending="1" ref="G26:G29"/>
    <sortCondition ref="H26:H29"/>
  </sortState>
  <mergeCells count="5">
    <mergeCell ref="A2:K2"/>
    <mergeCell ref="A4:K4"/>
    <mergeCell ref="A5:K5"/>
    <mergeCell ref="C114:I114"/>
    <mergeCell ref="C123:I123"/>
  </mergeCells>
  <pageMargins left="0.7" right="0.7" top="0.78740157499999996" bottom="0.78740157499999996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A190"/>
  <sheetViews>
    <sheetView topLeftCell="A127" workbookViewId="0">
      <selection activeCell="N144" sqref="N144"/>
    </sheetView>
  </sheetViews>
  <sheetFormatPr baseColWidth="10" defaultRowHeight="14.4" x14ac:dyDescent="0.3"/>
  <cols>
    <col min="1" max="6" width="11.77734375" style="1" customWidth="1"/>
    <col min="7" max="10" width="11.77734375" style="2" customWidth="1"/>
    <col min="11" max="18" width="11.77734375" customWidth="1"/>
    <col min="19" max="25" width="11.77734375" style="139" customWidth="1"/>
  </cols>
  <sheetData>
    <row r="1" spans="1:27" ht="15" thickTop="1" x14ac:dyDescent="0.3">
      <c r="A1" s="106"/>
      <c r="B1" s="25"/>
      <c r="C1" s="25"/>
      <c r="D1" s="25"/>
      <c r="E1" s="25"/>
      <c r="F1" s="25"/>
      <c r="G1" s="26"/>
      <c r="H1" s="26"/>
      <c r="I1" s="26"/>
      <c r="J1" s="26"/>
      <c r="K1" s="107"/>
      <c r="S1" s="114">
        <v>1</v>
      </c>
      <c r="T1" s="115">
        <v>2</v>
      </c>
      <c r="U1" s="115">
        <v>3</v>
      </c>
      <c r="V1" s="115">
        <v>4</v>
      </c>
      <c r="W1" s="115">
        <v>5</v>
      </c>
      <c r="X1" s="115">
        <v>6</v>
      </c>
      <c r="Y1" s="116">
        <v>7</v>
      </c>
    </row>
    <row r="2" spans="1:27" ht="46.2" x14ac:dyDescent="0.85">
      <c r="A2" s="425" t="s">
        <v>168</v>
      </c>
      <c r="B2" s="426"/>
      <c r="C2" s="426"/>
      <c r="D2" s="426"/>
      <c r="E2" s="426"/>
      <c r="F2" s="426"/>
      <c r="G2" s="426"/>
      <c r="H2" s="426"/>
      <c r="I2" s="426"/>
      <c r="J2" s="426"/>
      <c r="K2" s="437"/>
      <c r="S2" s="117"/>
      <c r="T2" s="138"/>
      <c r="U2" s="138"/>
      <c r="V2" s="138"/>
      <c r="W2" s="138"/>
      <c r="X2" s="138"/>
      <c r="Y2" s="118"/>
    </row>
    <row r="3" spans="1:27" x14ac:dyDescent="0.3">
      <c r="A3" s="176"/>
      <c r="B3" s="173"/>
      <c r="C3" s="173"/>
      <c r="D3" s="173"/>
      <c r="E3" s="173"/>
      <c r="F3" s="173"/>
      <c r="G3" s="5"/>
      <c r="H3" s="5"/>
      <c r="I3" s="5"/>
      <c r="J3" s="5"/>
      <c r="K3" s="108"/>
      <c r="S3" s="117"/>
      <c r="T3" s="138"/>
      <c r="U3" s="138"/>
      <c r="V3" s="138"/>
      <c r="W3" s="138"/>
      <c r="X3" s="138"/>
      <c r="Y3" s="118"/>
    </row>
    <row r="4" spans="1:27" ht="28.8" x14ac:dyDescent="0.55000000000000004">
      <c r="A4" s="428" t="s">
        <v>128</v>
      </c>
      <c r="B4" s="429"/>
      <c r="C4" s="429"/>
      <c r="D4" s="429"/>
      <c r="E4" s="429"/>
      <c r="F4" s="429"/>
      <c r="G4" s="429"/>
      <c r="H4" s="429"/>
      <c r="I4" s="429"/>
      <c r="J4" s="429"/>
      <c r="K4" s="438"/>
      <c r="S4" s="117"/>
      <c r="T4" s="138"/>
      <c r="U4" s="138"/>
      <c r="V4" s="138"/>
      <c r="W4" s="138"/>
      <c r="X4" s="138"/>
      <c r="Y4" s="118"/>
    </row>
    <row r="5" spans="1:27" ht="21" x14ac:dyDescent="0.4">
      <c r="A5" s="430" t="s">
        <v>318</v>
      </c>
      <c r="B5" s="431"/>
      <c r="C5" s="431"/>
      <c r="D5" s="431"/>
      <c r="E5" s="431"/>
      <c r="F5" s="431"/>
      <c r="G5" s="431"/>
      <c r="H5" s="431"/>
      <c r="I5" s="431"/>
      <c r="J5" s="431"/>
      <c r="K5" s="439"/>
      <c r="S5" s="117"/>
      <c r="T5" s="138"/>
      <c r="U5" s="138"/>
      <c r="V5" s="138"/>
      <c r="W5" s="138"/>
      <c r="X5" s="138"/>
      <c r="Y5" s="118"/>
    </row>
    <row r="6" spans="1:27" x14ac:dyDescent="0.3">
      <c r="A6" s="176"/>
      <c r="B6" s="173"/>
      <c r="C6" s="173"/>
      <c r="D6" s="173"/>
      <c r="E6" s="173"/>
      <c r="F6" s="173"/>
      <c r="G6" s="5"/>
      <c r="H6" s="5"/>
      <c r="I6" s="5"/>
      <c r="J6" s="5"/>
      <c r="K6" s="108"/>
      <c r="S6" s="117"/>
      <c r="T6" s="138"/>
      <c r="U6" s="138"/>
      <c r="V6" s="138"/>
      <c r="W6" s="138"/>
      <c r="X6" s="138"/>
      <c r="Y6" s="118"/>
    </row>
    <row r="7" spans="1:27" x14ac:dyDescent="0.3">
      <c r="A7" s="176"/>
      <c r="B7" s="173"/>
      <c r="C7" s="173"/>
      <c r="D7" s="173"/>
      <c r="E7" s="173"/>
      <c r="F7" s="173"/>
      <c r="G7" s="5"/>
      <c r="H7" s="5"/>
      <c r="I7" s="5"/>
      <c r="J7" s="5"/>
      <c r="K7" s="108"/>
      <c r="S7" s="117"/>
      <c r="T7" s="146"/>
      <c r="U7" s="146"/>
      <c r="V7" s="146"/>
      <c r="W7" s="146"/>
      <c r="X7" s="146"/>
      <c r="Y7" s="118"/>
    </row>
    <row r="8" spans="1:27" x14ac:dyDescent="0.3">
      <c r="A8" s="176"/>
      <c r="B8" s="173"/>
      <c r="C8" s="173"/>
      <c r="D8" s="173"/>
      <c r="E8" s="173"/>
      <c r="F8" s="173"/>
      <c r="G8" s="5"/>
      <c r="H8" s="5"/>
      <c r="I8" s="5"/>
      <c r="J8" s="5"/>
      <c r="K8" s="108"/>
      <c r="S8" s="117"/>
      <c r="T8" s="146"/>
      <c r="U8" s="146"/>
      <c r="V8" s="146"/>
      <c r="W8" s="146"/>
      <c r="X8" s="146"/>
      <c r="Y8" s="118"/>
    </row>
    <row r="9" spans="1:27" x14ac:dyDescent="0.3">
      <c r="A9" s="176"/>
      <c r="B9" s="173"/>
      <c r="C9" s="173"/>
      <c r="D9" s="173"/>
      <c r="E9" s="173"/>
      <c r="F9" s="173"/>
      <c r="G9" s="5"/>
      <c r="H9" s="5"/>
      <c r="I9" s="5"/>
      <c r="J9" s="5"/>
      <c r="K9" s="108"/>
      <c r="S9" s="117"/>
      <c r="T9" s="138"/>
      <c r="U9" s="138"/>
      <c r="V9" s="138"/>
      <c r="W9" s="138"/>
      <c r="X9" s="138"/>
      <c r="Y9" s="118"/>
    </row>
    <row r="10" spans="1:27" ht="21" x14ac:dyDescent="0.4">
      <c r="A10" s="176"/>
      <c r="B10" s="173"/>
      <c r="C10" s="173"/>
      <c r="D10" s="173"/>
      <c r="E10" s="173"/>
      <c r="F10" s="172" t="s">
        <v>119</v>
      </c>
      <c r="G10" s="5"/>
      <c r="H10" s="5"/>
      <c r="I10" s="5"/>
      <c r="J10" s="5"/>
      <c r="K10" s="108"/>
      <c r="S10" s="117"/>
      <c r="T10" s="138"/>
      <c r="U10" s="138"/>
      <c r="V10" s="138"/>
      <c r="W10" s="138"/>
      <c r="X10" s="138"/>
      <c r="Y10" s="118"/>
    </row>
    <row r="11" spans="1:27" ht="14.4" customHeight="1" x14ac:dyDescent="0.4">
      <c r="A11" s="176"/>
      <c r="B11" s="173"/>
      <c r="C11" s="173"/>
      <c r="D11" s="173"/>
      <c r="E11" s="173"/>
      <c r="F11" s="172"/>
      <c r="G11" s="5"/>
      <c r="H11" s="5"/>
      <c r="I11" s="5"/>
      <c r="J11" s="5"/>
      <c r="K11" s="108"/>
      <c r="S11" s="117"/>
      <c r="T11" s="146"/>
      <c r="U11" s="146"/>
      <c r="V11" s="146"/>
      <c r="W11" s="146"/>
      <c r="X11" s="146"/>
      <c r="Y11" s="118"/>
    </row>
    <row r="12" spans="1:27" ht="15" thickBot="1" x14ac:dyDescent="0.35">
      <c r="A12" s="176"/>
      <c r="B12" s="173"/>
      <c r="C12" s="58">
        <v>24299</v>
      </c>
      <c r="D12" s="178" t="s">
        <v>74</v>
      </c>
      <c r="E12" s="178" t="s">
        <v>18</v>
      </c>
      <c r="F12" s="178">
        <v>0</v>
      </c>
      <c r="G12" s="178">
        <v>0</v>
      </c>
      <c r="H12" s="178"/>
      <c r="I12" s="8" t="s">
        <v>129</v>
      </c>
      <c r="J12" s="5"/>
      <c r="K12" s="108"/>
      <c r="S12" s="117" t="s">
        <v>74</v>
      </c>
      <c r="T12" s="138" t="s">
        <v>18</v>
      </c>
      <c r="U12" s="138">
        <v>0</v>
      </c>
      <c r="V12" s="138">
        <v>0</v>
      </c>
      <c r="W12" s="138"/>
      <c r="X12" s="126">
        <f t="shared" ref="X12:X16" si="0">(IF(U12&gt;V12,3,IF(U12=V12,1,2)))</f>
        <v>1</v>
      </c>
      <c r="Y12" s="125">
        <f t="shared" ref="Y12:Y16" si="1">(IF(V12&gt;U12,3,IF(U12=V12,1,2)))</f>
        <v>1</v>
      </c>
      <c r="AA12" t="s">
        <v>74</v>
      </c>
    </row>
    <row r="13" spans="1:27" x14ac:dyDescent="0.3">
      <c r="A13" s="176"/>
      <c r="B13" s="173"/>
      <c r="C13" s="40">
        <v>24301</v>
      </c>
      <c r="D13" s="173" t="s">
        <v>3</v>
      </c>
      <c r="E13" s="173" t="s">
        <v>4</v>
      </c>
      <c r="F13" s="173">
        <v>1</v>
      </c>
      <c r="G13" s="173">
        <v>1</v>
      </c>
      <c r="H13" s="173"/>
      <c r="I13" s="5" t="s">
        <v>129</v>
      </c>
      <c r="J13" s="5"/>
      <c r="K13" s="108"/>
      <c r="S13" s="117" t="s">
        <v>3</v>
      </c>
      <c r="T13" s="138" t="s">
        <v>4</v>
      </c>
      <c r="U13" s="138">
        <v>1</v>
      </c>
      <c r="V13" s="138">
        <v>1</v>
      </c>
      <c r="W13" s="138"/>
      <c r="X13" s="126">
        <f t="shared" si="0"/>
        <v>1</v>
      </c>
      <c r="Y13" s="125">
        <f t="shared" si="1"/>
        <v>1</v>
      </c>
      <c r="AA13" t="s">
        <v>133</v>
      </c>
    </row>
    <row r="14" spans="1:27" ht="15" thickBot="1" x14ac:dyDescent="0.35">
      <c r="A14" s="176"/>
      <c r="B14" s="173"/>
      <c r="C14" s="58"/>
      <c r="D14" s="178"/>
      <c r="E14" s="178"/>
      <c r="F14" s="178"/>
      <c r="G14" s="178"/>
      <c r="H14" s="178"/>
      <c r="I14" s="8"/>
      <c r="J14" s="5"/>
      <c r="K14" s="108"/>
      <c r="S14" s="117" t="s">
        <v>18</v>
      </c>
      <c r="T14" s="146" t="s">
        <v>3</v>
      </c>
      <c r="U14" s="146">
        <v>2</v>
      </c>
      <c r="V14" s="146">
        <v>1</v>
      </c>
      <c r="W14" s="146"/>
      <c r="X14" s="126">
        <f t="shared" si="0"/>
        <v>3</v>
      </c>
      <c r="Y14" s="125">
        <f t="shared" si="1"/>
        <v>2</v>
      </c>
      <c r="AA14" t="s">
        <v>88</v>
      </c>
    </row>
    <row r="15" spans="1:27" x14ac:dyDescent="0.3">
      <c r="A15" s="176"/>
      <c r="B15" s="173"/>
      <c r="C15" s="40">
        <v>24303</v>
      </c>
      <c r="D15" s="33" t="s">
        <v>18</v>
      </c>
      <c r="E15" s="33" t="s">
        <v>3</v>
      </c>
      <c r="F15" s="33">
        <v>2</v>
      </c>
      <c r="G15" s="33">
        <v>1</v>
      </c>
      <c r="H15" s="173"/>
      <c r="I15" s="5" t="s">
        <v>129</v>
      </c>
      <c r="J15" s="5"/>
      <c r="K15" s="108"/>
      <c r="S15" s="117" t="s">
        <v>74</v>
      </c>
      <c r="T15" s="138" t="s">
        <v>4</v>
      </c>
      <c r="U15" s="138">
        <v>2</v>
      </c>
      <c r="V15" s="138">
        <v>0</v>
      </c>
      <c r="W15" s="138"/>
      <c r="X15" s="126">
        <f t="shared" si="0"/>
        <v>3</v>
      </c>
      <c r="Y15" s="125">
        <f t="shared" si="1"/>
        <v>2</v>
      </c>
      <c r="AA15" t="s">
        <v>101</v>
      </c>
    </row>
    <row r="16" spans="1:27" ht="15" thickBot="1" x14ac:dyDescent="0.35">
      <c r="A16" s="176"/>
      <c r="B16" s="173"/>
      <c r="C16" s="58"/>
      <c r="D16" s="59"/>
      <c r="E16" s="59"/>
      <c r="F16" s="59"/>
      <c r="G16" s="59"/>
      <c r="H16" s="178"/>
      <c r="I16" s="8"/>
      <c r="J16" s="5"/>
      <c r="K16" s="108"/>
      <c r="S16" s="117" t="s">
        <v>4</v>
      </c>
      <c r="T16" s="146" t="s">
        <v>18</v>
      </c>
      <c r="U16" s="146">
        <v>0</v>
      </c>
      <c r="V16" s="146">
        <v>0</v>
      </c>
      <c r="W16" s="146"/>
      <c r="X16" s="126">
        <f t="shared" si="0"/>
        <v>1</v>
      </c>
      <c r="Y16" s="125">
        <f t="shared" si="1"/>
        <v>1</v>
      </c>
      <c r="AA16" t="s">
        <v>5</v>
      </c>
    </row>
    <row r="17" spans="1:27" x14ac:dyDescent="0.3">
      <c r="A17" s="176"/>
      <c r="B17" s="173"/>
      <c r="C17" s="40">
        <v>24304</v>
      </c>
      <c r="D17" s="33" t="s">
        <v>74</v>
      </c>
      <c r="E17" s="33" t="s">
        <v>4</v>
      </c>
      <c r="F17" s="33">
        <v>2</v>
      </c>
      <c r="G17" s="33">
        <v>0</v>
      </c>
      <c r="H17" s="173"/>
      <c r="I17" s="5" t="s">
        <v>129</v>
      </c>
      <c r="J17" s="5"/>
      <c r="K17" s="108"/>
      <c r="S17" s="117" t="s">
        <v>74</v>
      </c>
      <c r="T17" s="138" t="s">
        <v>3</v>
      </c>
      <c r="U17" s="138">
        <v>2</v>
      </c>
      <c r="V17" s="138">
        <v>0</v>
      </c>
      <c r="W17" s="138"/>
      <c r="X17" s="126">
        <f t="shared" ref="X17" si="2">(IF(U17&gt;V17,3,IF(U17=V17,1,2)))</f>
        <v>3</v>
      </c>
      <c r="Y17" s="125">
        <f t="shared" ref="Y17" si="3">(IF(V17&gt;U17,3,IF(U17=V17,1,2)))</f>
        <v>2</v>
      </c>
      <c r="AA17" t="s">
        <v>32</v>
      </c>
    </row>
    <row r="18" spans="1:27" ht="15" thickBot="1" x14ac:dyDescent="0.35">
      <c r="A18" s="176"/>
      <c r="B18" s="173"/>
      <c r="C18" s="58"/>
      <c r="D18" s="59"/>
      <c r="E18" s="59"/>
      <c r="F18" s="59"/>
      <c r="G18" s="59"/>
      <c r="H18" s="178"/>
      <c r="I18" s="8"/>
      <c r="J18" s="5"/>
      <c r="K18" s="108"/>
      <c r="S18" s="117"/>
      <c r="T18" s="146"/>
      <c r="U18" s="146"/>
      <c r="V18" s="146"/>
      <c r="W18" s="146"/>
      <c r="X18" s="126"/>
      <c r="Y18" s="125"/>
      <c r="AA18" t="s">
        <v>18</v>
      </c>
    </row>
    <row r="19" spans="1:27" ht="15" thickBot="1" x14ac:dyDescent="0.35">
      <c r="A19" s="176"/>
      <c r="B19" s="173"/>
      <c r="C19" s="58">
        <v>24307</v>
      </c>
      <c r="D19" s="59" t="s">
        <v>4</v>
      </c>
      <c r="E19" s="59" t="s">
        <v>18</v>
      </c>
      <c r="F19" s="59">
        <v>0</v>
      </c>
      <c r="G19" s="59">
        <v>0</v>
      </c>
      <c r="H19" s="178"/>
      <c r="I19" s="8" t="s">
        <v>129</v>
      </c>
      <c r="J19" s="5"/>
      <c r="K19" s="108"/>
      <c r="S19" s="117"/>
      <c r="T19" s="138"/>
      <c r="U19" s="138"/>
      <c r="V19" s="138"/>
      <c r="W19" s="138"/>
      <c r="X19" s="126"/>
      <c r="Y19" s="125"/>
      <c r="AA19" t="s">
        <v>136</v>
      </c>
    </row>
    <row r="20" spans="1:27" x14ac:dyDescent="0.3">
      <c r="A20" s="176"/>
      <c r="B20" s="173"/>
      <c r="C20" s="40">
        <v>24308</v>
      </c>
      <c r="D20" s="33" t="s">
        <v>74</v>
      </c>
      <c r="E20" s="33" t="s">
        <v>3</v>
      </c>
      <c r="F20" s="33">
        <v>2</v>
      </c>
      <c r="G20" s="33">
        <v>0</v>
      </c>
      <c r="H20" s="173"/>
      <c r="I20" s="5" t="s">
        <v>129</v>
      </c>
      <c r="J20" s="5"/>
      <c r="K20" s="108"/>
      <c r="S20" s="122"/>
      <c r="T20" s="17"/>
      <c r="U20" s="17"/>
      <c r="V20" s="17"/>
      <c r="X20" s="126"/>
      <c r="Y20" s="125"/>
      <c r="AA20" t="s">
        <v>35</v>
      </c>
    </row>
    <row r="21" spans="1:27" x14ac:dyDescent="0.3">
      <c r="A21" s="156"/>
      <c r="B21" s="173"/>
      <c r="C21" s="173"/>
      <c r="D21" s="33"/>
      <c r="E21" s="33"/>
      <c r="F21" s="33" t="s">
        <v>281</v>
      </c>
      <c r="G21" s="309" t="s">
        <v>282</v>
      </c>
      <c r="H21" s="5"/>
      <c r="I21" s="5"/>
      <c r="J21" s="5"/>
      <c r="K21" s="108"/>
      <c r="S21" s="117"/>
      <c r="T21" s="138"/>
      <c r="U21" s="138"/>
      <c r="V21" s="138"/>
      <c r="X21" s="126"/>
      <c r="Y21" s="125"/>
      <c r="AA21" t="s">
        <v>9</v>
      </c>
    </row>
    <row r="22" spans="1:27" x14ac:dyDescent="0.3">
      <c r="A22" s="156"/>
      <c r="B22" s="173"/>
      <c r="C22" s="173"/>
      <c r="D22" s="173"/>
      <c r="E22" s="173"/>
      <c r="F22" s="173"/>
      <c r="G22" s="5"/>
      <c r="H22" s="5"/>
      <c r="I22" s="5"/>
      <c r="J22" s="5"/>
      <c r="K22" s="108"/>
      <c r="S22" s="117"/>
      <c r="T22" s="146"/>
      <c r="U22" s="146"/>
      <c r="V22" s="146"/>
      <c r="W22" s="148"/>
      <c r="X22" s="126"/>
      <c r="Y22" s="125"/>
      <c r="AA22" t="s">
        <v>37</v>
      </c>
    </row>
    <row r="23" spans="1:27" ht="15" thickBot="1" x14ac:dyDescent="0.35">
      <c r="A23" s="176"/>
      <c r="B23" s="173"/>
      <c r="C23" s="173" t="s">
        <v>12</v>
      </c>
      <c r="D23" s="173" t="s">
        <v>13</v>
      </c>
      <c r="E23" s="173" t="s">
        <v>14</v>
      </c>
      <c r="F23" s="173" t="s">
        <v>15</v>
      </c>
      <c r="G23" s="5" t="s">
        <v>24</v>
      </c>
      <c r="H23" s="5" t="s">
        <v>25</v>
      </c>
      <c r="I23" s="5" t="s">
        <v>26</v>
      </c>
      <c r="J23" s="5" t="s">
        <v>27</v>
      </c>
      <c r="K23" s="108"/>
      <c r="S23" s="117"/>
      <c r="T23" s="138"/>
      <c r="U23" s="138"/>
      <c r="V23" s="138"/>
      <c r="X23" s="126"/>
      <c r="Y23" s="125"/>
      <c r="AA23" t="s">
        <v>4</v>
      </c>
    </row>
    <row r="24" spans="1:27" s="13" customFormat="1" x14ac:dyDescent="0.3">
      <c r="A24" s="24"/>
      <c r="B24" s="14" t="s">
        <v>74</v>
      </c>
      <c r="C24" s="376">
        <f>COUNTIF($S$90:$T$105,"UdSSR")</f>
        <v>1</v>
      </c>
      <c r="D24" s="43">
        <f>SUMPRODUCT(($S$90:$T$105=B24)*($X$90:$Y$105=3))</f>
        <v>1</v>
      </c>
      <c r="E24" s="43">
        <f>SUMPRODUCT(($S$90:$T$105=B24)*($X$90:$Y$105=1))</f>
        <v>0</v>
      </c>
      <c r="F24" s="43">
        <f>SUMPRODUCT(($S$90:$T$105=B24)*($X$90:$Y$105=2))</f>
        <v>0</v>
      </c>
      <c r="G24" s="43">
        <f>SUMPRODUCT(($S$90:$S$105=B24)*($U$90:$U$105))+SUMPRODUCT(($T$90:$T$105=B24)*($V$90:$V$105))</f>
        <v>1</v>
      </c>
      <c r="H24" s="43">
        <f>SUMPRODUCT(($S$90:$S$105=B24)*($V$90:$V$105))+SUMPRODUCT(($T$90:$T$105=B24)*($U$90:$U$105))</f>
        <v>0</v>
      </c>
      <c r="I24" s="18">
        <f>(D24*2)+E24</f>
        <v>2</v>
      </c>
      <c r="J24" s="22">
        <f>(F24*2)+E24</f>
        <v>0</v>
      </c>
      <c r="K24" s="109"/>
      <c r="S24" s="117"/>
      <c r="T24" s="138"/>
      <c r="U24" s="138"/>
      <c r="V24" s="138"/>
      <c r="W24" s="139"/>
      <c r="X24" s="126"/>
      <c r="Y24" s="125"/>
      <c r="AA24" s="13" t="s">
        <v>3</v>
      </c>
    </row>
    <row r="25" spans="1:27" s="13" customFormat="1" x14ac:dyDescent="0.3">
      <c r="A25" s="24"/>
      <c r="B25" s="21" t="s">
        <v>18</v>
      </c>
      <c r="C25" s="17"/>
      <c r="D25" s="17"/>
      <c r="E25" s="17"/>
      <c r="F25" s="17"/>
      <c r="G25" s="18"/>
      <c r="H25" s="18"/>
      <c r="I25" s="18"/>
      <c r="J25" s="22"/>
      <c r="K25" s="109"/>
      <c r="S25" s="117"/>
      <c r="T25" s="138"/>
      <c r="U25" s="138"/>
      <c r="V25" s="138"/>
      <c r="W25" s="139"/>
      <c r="X25" s="126"/>
      <c r="Y25" s="125"/>
      <c r="AA25" s="13" t="s">
        <v>6</v>
      </c>
    </row>
    <row r="26" spans="1:27" x14ac:dyDescent="0.3">
      <c r="A26" s="176"/>
      <c r="B26" s="3" t="s">
        <v>3</v>
      </c>
      <c r="C26" s="173"/>
      <c r="D26" s="173"/>
      <c r="E26" s="173"/>
      <c r="F26" s="173"/>
      <c r="G26" s="5"/>
      <c r="H26" s="5"/>
      <c r="I26" s="5"/>
      <c r="J26" s="6"/>
      <c r="K26" s="108"/>
      <c r="S26" s="117"/>
      <c r="T26" s="138"/>
      <c r="U26" s="138"/>
      <c r="V26" s="138"/>
      <c r="X26" s="126"/>
      <c r="Y26" s="125"/>
      <c r="AA26" t="s">
        <v>125</v>
      </c>
    </row>
    <row r="27" spans="1:27" ht="15" thickBot="1" x14ac:dyDescent="0.35">
      <c r="A27" s="176"/>
      <c r="B27" s="7" t="s">
        <v>4</v>
      </c>
      <c r="C27" s="178"/>
      <c r="D27" s="178"/>
      <c r="E27" s="178"/>
      <c r="F27" s="178"/>
      <c r="G27" s="8"/>
      <c r="H27" s="8"/>
      <c r="I27" s="8"/>
      <c r="J27" s="9"/>
      <c r="K27" s="108"/>
      <c r="S27" s="117"/>
      <c r="T27" s="138"/>
      <c r="U27" s="138"/>
      <c r="V27" s="138"/>
      <c r="W27" s="138"/>
      <c r="X27" s="138"/>
      <c r="Y27" s="118"/>
      <c r="AA27" t="s">
        <v>43</v>
      </c>
    </row>
    <row r="28" spans="1:27" ht="15" thickBot="1" x14ac:dyDescent="0.35">
      <c r="A28" s="176"/>
      <c r="B28" s="173"/>
      <c r="C28" s="173"/>
      <c r="D28" s="173"/>
      <c r="E28" s="173"/>
      <c r="F28" s="173"/>
      <c r="G28" s="5"/>
      <c r="H28" s="5"/>
      <c r="I28" s="5"/>
      <c r="J28" s="5"/>
      <c r="K28" s="193"/>
      <c r="S28" s="117"/>
      <c r="T28" s="138"/>
      <c r="U28" s="138"/>
      <c r="V28" s="138"/>
      <c r="W28" s="138"/>
      <c r="X28" s="138"/>
      <c r="Y28" s="118"/>
    </row>
    <row r="29" spans="1:27" ht="15" thickTop="1" x14ac:dyDescent="0.3">
      <c r="A29" s="106"/>
      <c r="B29" s="25"/>
      <c r="C29" s="25"/>
      <c r="D29" s="25"/>
      <c r="E29" s="25"/>
      <c r="F29" s="25"/>
      <c r="G29" s="26"/>
      <c r="H29" s="26"/>
      <c r="I29" s="26"/>
      <c r="J29" s="26"/>
      <c r="K29" s="108"/>
      <c r="S29" s="117"/>
      <c r="T29" s="138"/>
      <c r="U29" s="138"/>
      <c r="V29" s="138"/>
      <c r="W29" s="138"/>
      <c r="X29" s="138"/>
      <c r="Y29" s="118"/>
    </row>
    <row r="30" spans="1:27" ht="21" x14ac:dyDescent="0.4">
      <c r="A30" s="176"/>
      <c r="B30" s="173"/>
      <c r="C30" s="173"/>
      <c r="D30" s="173"/>
      <c r="E30" s="173"/>
      <c r="F30" s="172" t="s">
        <v>120</v>
      </c>
      <c r="G30" s="5"/>
      <c r="H30" s="5"/>
      <c r="I30" s="5"/>
      <c r="J30" s="5"/>
      <c r="K30" s="108"/>
      <c r="S30" s="117"/>
      <c r="T30" s="138"/>
      <c r="U30" s="138"/>
      <c r="V30" s="138"/>
      <c r="W30" s="138"/>
      <c r="X30" s="138"/>
      <c r="Y30" s="118"/>
    </row>
    <row r="31" spans="1:27" x14ac:dyDescent="0.3">
      <c r="A31" s="176"/>
      <c r="B31" s="173"/>
      <c r="C31" s="173"/>
      <c r="D31" s="173"/>
      <c r="E31" s="173"/>
      <c r="F31" s="28"/>
      <c r="G31" s="5"/>
      <c r="H31" s="5"/>
      <c r="I31" s="5"/>
      <c r="J31" s="5"/>
      <c r="K31" s="108"/>
      <c r="S31" s="117"/>
      <c r="T31" s="146"/>
      <c r="U31" s="146"/>
      <c r="V31" s="146"/>
      <c r="W31" s="146"/>
      <c r="X31" s="146"/>
      <c r="Y31" s="118"/>
    </row>
    <row r="32" spans="1:27" x14ac:dyDescent="0.3">
      <c r="A32" s="176"/>
      <c r="B32" s="173"/>
      <c r="C32" s="40">
        <v>24300</v>
      </c>
      <c r="D32" s="33" t="s">
        <v>88</v>
      </c>
      <c r="E32" s="33" t="s">
        <v>43</v>
      </c>
      <c r="F32" s="33">
        <v>5</v>
      </c>
      <c r="G32" s="33">
        <v>0</v>
      </c>
      <c r="H32" s="33"/>
      <c r="I32" s="5" t="s">
        <v>130</v>
      </c>
      <c r="J32" s="5"/>
      <c r="K32" s="108"/>
      <c r="S32" s="117" t="s">
        <v>88</v>
      </c>
      <c r="T32" s="138" t="s">
        <v>43</v>
      </c>
      <c r="U32" s="138">
        <v>5</v>
      </c>
      <c r="V32" s="138">
        <v>0</v>
      </c>
      <c r="W32" s="138"/>
      <c r="X32" s="126">
        <f t="shared" ref="X32:X37" si="4">(IF(U32&gt;V32,3,IF(U32=V32,1,2)))</f>
        <v>3</v>
      </c>
      <c r="Y32" s="125">
        <f t="shared" ref="Y32:Y37" si="5">(IF(V32&gt;U32,3,IF(U32=V32,1,2)))</f>
        <v>2</v>
      </c>
    </row>
    <row r="33" spans="1:25" ht="15" thickBot="1" x14ac:dyDescent="0.35">
      <c r="A33" s="176"/>
      <c r="B33" s="173"/>
      <c r="C33" s="58"/>
      <c r="D33" s="59"/>
      <c r="E33" s="59"/>
      <c r="F33" s="59"/>
      <c r="G33" s="59"/>
      <c r="H33" s="59"/>
      <c r="I33" s="8"/>
      <c r="J33" s="5"/>
      <c r="K33" s="108"/>
      <c r="S33" s="117" t="s">
        <v>35</v>
      </c>
      <c r="T33" s="146" t="s">
        <v>5</v>
      </c>
      <c r="U33" s="146">
        <v>1</v>
      </c>
      <c r="V33" s="146">
        <v>2</v>
      </c>
      <c r="W33" s="146"/>
      <c r="X33" s="126">
        <f t="shared" si="4"/>
        <v>2</v>
      </c>
      <c r="Y33" s="125">
        <f t="shared" si="5"/>
        <v>3</v>
      </c>
    </row>
    <row r="34" spans="1:25" x14ac:dyDescent="0.3">
      <c r="A34" s="176"/>
      <c r="B34" s="173"/>
      <c r="C34" s="40">
        <v>24301</v>
      </c>
      <c r="D34" s="33" t="s">
        <v>35</v>
      </c>
      <c r="E34" s="33" t="s">
        <v>5</v>
      </c>
      <c r="F34" s="33">
        <v>1</v>
      </c>
      <c r="G34" s="33">
        <v>2</v>
      </c>
      <c r="H34" s="33"/>
      <c r="I34" s="5" t="s">
        <v>131</v>
      </c>
      <c r="J34" s="5"/>
      <c r="K34" s="108"/>
      <c r="S34" s="117" t="s">
        <v>35</v>
      </c>
      <c r="T34" s="138" t="s">
        <v>43</v>
      </c>
      <c r="U34" s="138">
        <v>2</v>
      </c>
      <c r="V34" s="138">
        <v>1</v>
      </c>
      <c r="W34" s="138"/>
      <c r="X34" s="126">
        <f t="shared" si="4"/>
        <v>3</v>
      </c>
      <c r="Y34" s="125">
        <f t="shared" si="5"/>
        <v>2</v>
      </c>
    </row>
    <row r="35" spans="1:25" ht="15" thickBot="1" x14ac:dyDescent="0.35">
      <c r="A35" s="176"/>
      <c r="B35" s="173"/>
      <c r="C35" s="58"/>
      <c r="D35" s="59"/>
      <c r="E35" s="59"/>
      <c r="F35" s="59"/>
      <c r="G35" s="59"/>
      <c r="H35" s="59"/>
      <c r="I35" s="8"/>
      <c r="J35" s="5"/>
      <c r="K35" s="108"/>
      <c r="S35" s="117" t="s">
        <v>88</v>
      </c>
      <c r="T35" s="146" t="s">
        <v>5</v>
      </c>
      <c r="U35" s="146">
        <v>0</v>
      </c>
      <c r="V35" s="146">
        <v>0</v>
      </c>
      <c r="W35" s="146"/>
      <c r="X35" s="126">
        <f t="shared" si="4"/>
        <v>1</v>
      </c>
      <c r="Y35" s="125">
        <f t="shared" si="5"/>
        <v>1</v>
      </c>
    </row>
    <row r="36" spans="1:25" x14ac:dyDescent="0.3">
      <c r="A36" s="176"/>
      <c r="B36" s="173"/>
      <c r="C36" s="40">
        <v>24303</v>
      </c>
      <c r="D36" s="33" t="s">
        <v>35</v>
      </c>
      <c r="E36" s="33" t="s">
        <v>43</v>
      </c>
      <c r="F36" s="33">
        <v>2</v>
      </c>
      <c r="G36" s="33">
        <v>1</v>
      </c>
      <c r="H36" s="33"/>
      <c r="I36" s="5" t="s">
        <v>130</v>
      </c>
      <c r="J36" s="5"/>
      <c r="K36" s="108"/>
      <c r="S36" s="117" t="s">
        <v>5</v>
      </c>
      <c r="T36" s="138" t="s">
        <v>43</v>
      </c>
      <c r="U36" s="138">
        <v>2</v>
      </c>
      <c r="V36" s="138">
        <v>0</v>
      </c>
      <c r="W36" s="138"/>
      <c r="X36" s="126">
        <f t="shared" si="4"/>
        <v>3</v>
      </c>
      <c r="Y36" s="125">
        <f t="shared" si="5"/>
        <v>2</v>
      </c>
    </row>
    <row r="37" spans="1:25" ht="15" thickBot="1" x14ac:dyDescent="0.35">
      <c r="A37" s="176"/>
      <c r="B37" s="173"/>
      <c r="C37" s="58"/>
      <c r="D37" s="59"/>
      <c r="E37" s="59"/>
      <c r="F37" s="59"/>
      <c r="G37" s="59"/>
      <c r="H37" s="59"/>
      <c r="I37" s="8"/>
      <c r="J37" s="5"/>
      <c r="K37" s="108"/>
      <c r="S37" s="117" t="s">
        <v>88</v>
      </c>
      <c r="T37" s="146" t="s">
        <v>35</v>
      </c>
      <c r="U37" s="146">
        <v>2</v>
      </c>
      <c r="V37" s="146">
        <v>1</v>
      </c>
      <c r="W37" s="146"/>
      <c r="X37" s="126">
        <f t="shared" si="4"/>
        <v>3</v>
      </c>
      <c r="Y37" s="125">
        <f t="shared" si="5"/>
        <v>2</v>
      </c>
    </row>
    <row r="38" spans="1:25" ht="15" thickBot="1" x14ac:dyDescent="0.35">
      <c r="A38" s="176"/>
      <c r="B38" s="173"/>
      <c r="C38" s="58">
        <v>24304</v>
      </c>
      <c r="D38" s="59" t="s">
        <v>88</v>
      </c>
      <c r="E38" s="59" t="s">
        <v>5</v>
      </c>
      <c r="F38" s="59">
        <v>0</v>
      </c>
      <c r="G38" s="59">
        <v>0</v>
      </c>
      <c r="H38" s="59"/>
      <c r="I38" s="8" t="s">
        <v>131</v>
      </c>
      <c r="J38" s="5"/>
      <c r="K38" s="108"/>
      <c r="S38" s="117"/>
      <c r="T38" s="138"/>
      <c r="U38" s="138"/>
      <c r="V38" s="138"/>
      <c r="W38" s="138"/>
      <c r="X38" s="5"/>
      <c r="Y38" s="127"/>
    </row>
    <row r="39" spans="1:25" x14ac:dyDescent="0.3">
      <c r="A39" s="176"/>
      <c r="B39" s="173"/>
      <c r="C39" s="40">
        <v>24307</v>
      </c>
      <c r="D39" s="66" t="s">
        <v>5</v>
      </c>
      <c r="E39" s="66" t="s">
        <v>43</v>
      </c>
      <c r="F39" s="66">
        <v>2</v>
      </c>
      <c r="G39" s="66">
        <v>0</v>
      </c>
      <c r="H39" s="66"/>
      <c r="I39" s="5" t="s">
        <v>130</v>
      </c>
      <c r="J39" s="5"/>
      <c r="K39" s="108"/>
      <c r="S39" s="122"/>
      <c r="T39" s="17"/>
      <c r="U39" s="17"/>
      <c r="V39" s="17"/>
      <c r="W39" s="17"/>
      <c r="X39" s="18"/>
      <c r="Y39" s="128"/>
    </row>
    <row r="40" spans="1:25" ht="15" thickBot="1" x14ac:dyDescent="0.35">
      <c r="A40" s="176"/>
      <c r="B40" s="173"/>
      <c r="C40" s="58"/>
      <c r="D40" s="367"/>
      <c r="E40" s="367"/>
      <c r="F40" s="367"/>
      <c r="G40" s="367"/>
      <c r="H40" s="367"/>
      <c r="I40" s="8"/>
      <c r="J40" s="5"/>
      <c r="K40" s="108"/>
      <c r="S40" s="122"/>
      <c r="T40" s="17"/>
      <c r="U40" s="17"/>
      <c r="V40" s="17"/>
      <c r="W40" s="17"/>
      <c r="X40" s="18"/>
      <c r="Y40" s="128"/>
    </row>
    <row r="41" spans="1:25" x14ac:dyDescent="0.3">
      <c r="A41" s="176"/>
      <c r="B41" s="173"/>
      <c r="C41" s="40">
        <v>24308</v>
      </c>
      <c r="D41" s="66" t="s">
        <v>88</v>
      </c>
      <c r="E41" s="66" t="s">
        <v>35</v>
      </c>
      <c r="F41" s="66">
        <v>2</v>
      </c>
      <c r="G41" s="66">
        <v>1</v>
      </c>
      <c r="H41" s="66"/>
      <c r="I41" s="5" t="s">
        <v>131</v>
      </c>
      <c r="J41" s="5"/>
      <c r="K41" s="108"/>
      <c r="S41" s="122"/>
      <c r="T41" s="17"/>
      <c r="U41" s="17"/>
      <c r="V41" s="17"/>
      <c r="W41" s="17"/>
      <c r="X41" s="18"/>
      <c r="Y41" s="128"/>
    </row>
    <row r="42" spans="1:25" x14ac:dyDescent="0.3">
      <c r="A42" s="156"/>
      <c r="B42" s="17"/>
      <c r="C42" s="17"/>
      <c r="D42" s="17"/>
      <c r="E42" s="17"/>
      <c r="F42" s="17"/>
      <c r="G42" s="18"/>
      <c r="H42" s="5"/>
      <c r="I42" s="5"/>
      <c r="J42" s="5"/>
      <c r="K42" s="108"/>
      <c r="S42" s="122"/>
      <c r="T42" s="17"/>
      <c r="U42" s="17"/>
      <c r="V42" s="17"/>
      <c r="W42" s="17"/>
      <c r="X42" s="18"/>
      <c r="Y42" s="128"/>
    </row>
    <row r="43" spans="1:25" x14ac:dyDescent="0.3">
      <c r="A43" s="156"/>
      <c r="B43" s="17"/>
      <c r="C43" s="17"/>
      <c r="D43" s="17"/>
      <c r="E43" s="17"/>
      <c r="F43" s="17"/>
      <c r="G43" s="18"/>
      <c r="H43" s="5"/>
      <c r="I43" s="5"/>
      <c r="J43" s="5"/>
      <c r="K43" s="108"/>
      <c r="S43" s="122"/>
      <c r="T43" s="17"/>
      <c r="U43" s="17"/>
      <c r="V43" s="17"/>
      <c r="W43" s="17"/>
      <c r="X43" s="18"/>
      <c r="Y43" s="128"/>
    </row>
    <row r="44" spans="1:25" ht="15" thickBot="1" x14ac:dyDescent="0.35">
      <c r="A44" s="176"/>
      <c r="B44" s="173"/>
      <c r="C44" s="173" t="s">
        <v>12</v>
      </c>
      <c r="D44" s="173" t="s">
        <v>13</v>
      </c>
      <c r="E44" s="173" t="s">
        <v>14</v>
      </c>
      <c r="F44" s="173" t="s">
        <v>15</v>
      </c>
      <c r="G44" s="5" t="s">
        <v>24</v>
      </c>
      <c r="H44" s="5" t="s">
        <v>25</v>
      </c>
      <c r="I44" s="5" t="s">
        <v>26</v>
      </c>
      <c r="J44" s="5" t="s">
        <v>27</v>
      </c>
      <c r="K44" s="108"/>
      <c r="S44" s="122"/>
      <c r="T44" s="17"/>
      <c r="U44" s="17"/>
      <c r="V44" s="17"/>
      <c r="W44" s="17"/>
      <c r="X44" s="126"/>
      <c r="Y44" s="125"/>
    </row>
    <row r="45" spans="1:25" s="13" customFormat="1" x14ac:dyDescent="0.3">
      <c r="A45" s="24"/>
      <c r="B45" s="14" t="s">
        <v>88</v>
      </c>
      <c r="C45" s="376">
        <f>COUNTIF($S$90:$T$105,"UdSSR")</f>
        <v>1</v>
      </c>
      <c r="D45" s="43">
        <f>SUMPRODUCT(($S$90:$T$105=B45)*($X$90:$Y$105=3))</f>
        <v>1</v>
      </c>
      <c r="E45" s="43">
        <f>SUMPRODUCT(($S$90:$T$105=B45)*($X$90:$Y$105=1))</f>
        <v>0</v>
      </c>
      <c r="F45" s="43">
        <f>SUMPRODUCT(($S$90:$T$105=B45)*($X$90:$Y$105=2))</f>
        <v>0</v>
      </c>
      <c r="G45" s="43">
        <f>SUMPRODUCT(($S$90:$S$105=B45)*($U$90:$U$105))+SUMPRODUCT(($T$90:$T$105=B45)*($V$90:$V$105))</f>
        <v>4</v>
      </c>
      <c r="H45" s="43">
        <f>SUMPRODUCT(($S$90:$S$105=B45)*($V$90:$V$105))+SUMPRODUCT(($T$90:$T$105=B45)*($U$90:$U$105))</f>
        <v>0</v>
      </c>
      <c r="I45" s="18">
        <f>(D45*2)+E45</f>
        <v>2</v>
      </c>
      <c r="J45" s="22">
        <f>(F45*2)+E45</f>
        <v>0</v>
      </c>
      <c r="K45" s="109"/>
      <c r="S45" s="117"/>
      <c r="T45" s="138"/>
      <c r="U45" s="138"/>
      <c r="V45" s="138"/>
      <c r="W45" s="138"/>
      <c r="X45" s="126"/>
      <c r="Y45" s="125"/>
    </row>
    <row r="46" spans="1:25" s="13" customFormat="1" x14ac:dyDescent="0.3">
      <c r="A46" s="24"/>
      <c r="B46" s="21" t="s">
        <v>43</v>
      </c>
      <c r="C46" s="17"/>
      <c r="D46" s="17"/>
      <c r="E46" s="17"/>
      <c r="F46" s="17"/>
      <c r="G46" s="18"/>
      <c r="H46" s="18"/>
      <c r="I46" s="18"/>
      <c r="J46" s="22"/>
      <c r="K46" s="109"/>
      <c r="S46" s="117"/>
      <c r="T46" s="138"/>
      <c r="U46" s="138"/>
      <c r="V46" s="138"/>
      <c r="W46" s="138"/>
      <c r="X46" s="126"/>
      <c r="Y46" s="125"/>
    </row>
    <row r="47" spans="1:25" x14ac:dyDescent="0.3">
      <c r="A47" s="176"/>
      <c r="B47" s="3" t="s">
        <v>35</v>
      </c>
      <c r="C47" s="173"/>
      <c r="D47" s="173"/>
      <c r="E47" s="173"/>
      <c r="F47" s="173"/>
      <c r="G47" s="5"/>
      <c r="H47" s="5"/>
      <c r="I47" s="5"/>
      <c r="J47" s="6"/>
      <c r="K47" s="108"/>
      <c r="S47" s="117"/>
      <c r="T47" s="138"/>
      <c r="U47" s="138"/>
      <c r="V47" s="138"/>
      <c r="W47" s="138"/>
      <c r="X47" s="126"/>
      <c r="Y47" s="125"/>
    </row>
    <row r="48" spans="1:25" ht="15" thickBot="1" x14ac:dyDescent="0.35">
      <c r="A48" s="176"/>
      <c r="B48" s="7" t="s">
        <v>5</v>
      </c>
      <c r="C48" s="178"/>
      <c r="D48" s="178"/>
      <c r="E48" s="178"/>
      <c r="F48" s="178"/>
      <c r="G48" s="8"/>
      <c r="H48" s="8"/>
      <c r="I48" s="8"/>
      <c r="J48" s="9"/>
      <c r="K48" s="108"/>
      <c r="S48" s="117"/>
      <c r="T48" s="138"/>
      <c r="U48" s="138"/>
      <c r="V48" s="138"/>
      <c r="W48" s="138"/>
      <c r="X48" s="126"/>
      <c r="Y48" s="125"/>
    </row>
    <row r="49" spans="1:25" ht="15" thickBot="1" x14ac:dyDescent="0.35">
      <c r="A49" s="176"/>
      <c r="B49" s="173"/>
      <c r="C49" s="173"/>
      <c r="D49" s="173"/>
      <c r="E49" s="173"/>
      <c r="F49" s="173"/>
      <c r="G49" s="5"/>
      <c r="H49" s="5"/>
      <c r="I49" s="5"/>
      <c r="J49" s="5"/>
      <c r="K49" s="193"/>
      <c r="S49" s="117"/>
      <c r="T49" s="138"/>
      <c r="U49" s="138"/>
      <c r="V49" s="138"/>
      <c r="W49" s="138"/>
      <c r="X49" s="126"/>
      <c r="Y49" s="125"/>
    </row>
    <row r="50" spans="1:25" ht="15" thickTop="1" x14ac:dyDescent="0.3">
      <c r="A50" s="106"/>
      <c r="B50" s="25"/>
      <c r="C50" s="25"/>
      <c r="D50" s="25"/>
      <c r="E50" s="25"/>
      <c r="F50" s="25"/>
      <c r="G50" s="26"/>
      <c r="H50" s="26"/>
      <c r="I50" s="26"/>
      <c r="J50" s="26"/>
      <c r="K50" s="108"/>
      <c r="S50" s="117"/>
      <c r="T50" s="138"/>
      <c r="U50" s="138"/>
      <c r="V50" s="138"/>
      <c r="W50" s="138"/>
      <c r="X50" s="126"/>
      <c r="Y50" s="125"/>
    </row>
    <row r="51" spans="1:25" x14ac:dyDescent="0.3">
      <c r="A51" s="176"/>
      <c r="B51" s="173"/>
      <c r="C51" s="173"/>
      <c r="D51" s="173"/>
      <c r="E51" s="173"/>
      <c r="F51" s="28" t="s">
        <v>121</v>
      </c>
      <c r="G51" s="5"/>
      <c r="H51" s="5"/>
      <c r="I51" s="5"/>
      <c r="J51" s="5"/>
      <c r="K51" s="108"/>
      <c r="S51" s="117"/>
      <c r="T51" s="138"/>
      <c r="U51" s="138"/>
      <c r="V51" s="138"/>
      <c r="W51" s="138"/>
      <c r="X51" s="126"/>
      <c r="Y51" s="125"/>
    </row>
    <row r="52" spans="1:25" x14ac:dyDescent="0.3">
      <c r="A52" s="176"/>
      <c r="B52" s="173"/>
      <c r="C52" s="173"/>
      <c r="D52" s="173"/>
      <c r="E52" s="173"/>
      <c r="F52" s="28"/>
      <c r="G52" s="5"/>
      <c r="H52" s="5"/>
      <c r="I52" s="5"/>
      <c r="J52" s="5"/>
      <c r="K52" s="108"/>
      <c r="S52" s="117"/>
      <c r="T52" s="146"/>
      <c r="U52" s="146"/>
      <c r="V52" s="146"/>
      <c r="W52" s="146"/>
      <c r="X52" s="126"/>
      <c r="Y52" s="125"/>
    </row>
    <row r="53" spans="1:25" x14ac:dyDescent="0.3">
      <c r="A53" s="176"/>
      <c r="B53" s="173"/>
      <c r="C53" s="40">
        <v>24300</v>
      </c>
      <c r="D53" s="33" t="s">
        <v>9</v>
      </c>
      <c r="E53" s="33" t="s">
        <v>125</v>
      </c>
      <c r="F53" s="33">
        <v>2</v>
      </c>
      <c r="G53" s="33">
        <v>0</v>
      </c>
      <c r="H53" s="173"/>
      <c r="I53" s="5" t="s">
        <v>132</v>
      </c>
      <c r="J53" s="5"/>
      <c r="K53" s="108"/>
      <c r="S53" s="117" t="s">
        <v>9</v>
      </c>
      <c r="T53" s="138" t="s">
        <v>125</v>
      </c>
      <c r="U53" s="138">
        <v>2</v>
      </c>
      <c r="V53" s="138">
        <v>0</v>
      </c>
      <c r="W53" s="138"/>
      <c r="X53" s="126">
        <f t="shared" ref="X53:X58" si="6">(IF(U53&gt;V53,3,IF(U53=V53,1,2)))</f>
        <v>3</v>
      </c>
      <c r="Y53" s="125">
        <f t="shared" ref="Y53:Y58" si="7">(IF(V53&gt;U53,3,IF(U53=V53,1,2)))</f>
        <v>2</v>
      </c>
    </row>
    <row r="54" spans="1:25" ht="15" thickBot="1" x14ac:dyDescent="0.35">
      <c r="A54" s="176"/>
      <c r="B54" s="173"/>
      <c r="C54" s="58"/>
      <c r="D54" s="59"/>
      <c r="E54" s="59"/>
      <c r="F54" s="59"/>
      <c r="G54" s="59"/>
      <c r="H54" s="178"/>
      <c r="I54" s="8"/>
      <c r="J54" s="5"/>
      <c r="K54" s="108"/>
      <c r="S54" s="117" t="s">
        <v>133</v>
      </c>
      <c r="T54" s="146" t="s">
        <v>32</v>
      </c>
      <c r="U54" s="146">
        <v>3</v>
      </c>
      <c r="V54" s="146">
        <v>1</v>
      </c>
      <c r="W54" s="146"/>
      <c r="X54" s="126">
        <f t="shared" si="6"/>
        <v>3</v>
      </c>
      <c r="Y54" s="125">
        <f t="shared" si="7"/>
        <v>2</v>
      </c>
    </row>
    <row r="55" spans="1:25" x14ac:dyDescent="0.3">
      <c r="A55" s="176"/>
      <c r="B55" s="173"/>
      <c r="C55" s="40">
        <v>24301</v>
      </c>
      <c r="D55" s="33" t="s">
        <v>133</v>
      </c>
      <c r="E55" s="33" t="s">
        <v>32</v>
      </c>
      <c r="F55" s="33">
        <v>3</v>
      </c>
      <c r="G55" s="33">
        <v>1</v>
      </c>
      <c r="H55" s="173"/>
      <c r="I55" s="5" t="s">
        <v>134</v>
      </c>
      <c r="J55" s="5"/>
      <c r="K55" s="108"/>
      <c r="S55" s="117" t="s">
        <v>9</v>
      </c>
      <c r="T55" s="138" t="s">
        <v>32</v>
      </c>
      <c r="U55" s="138">
        <v>1</v>
      </c>
      <c r="V55" s="138">
        <v>3</v>
      </c>
      <c r="W55" s="138"/>
      <c r="X55" s="126">
        <f t="shared" si="6"/>
        <v>2</v>
      </c>
      <c r="Y55" s="125">
        <f t="shared" si="7"/>
        <v>3</v>
      </c>
    </row>
    <row r="56" spans="1:25" ht="15" thickBot="1" x14ac:dyDescent="0.35">
      <c r="A56" s="176"/>
      <c r="B56" s="173"/>
      <c r="C56" s="58"/>
      <c r="D56" s="59"/>
      <c r="E56" s="59"/>
      <c r="F56" s="59"/>
      <c r="G56" s="59"/>
      <c r="H56" s="178"/>
      <c r="I56" s="8"/>
      <c r="J56" s="5"/>
      <c r="K56" s="108"/>
      <c r="S56" s="117" t="s">
        <v>133</v>
      </c>
      <c r="T56" s="146" t="s">
        <v>125</v>
      </c>
      <c r="U56" s="146">
        <v>3</v>
      </c>
      <c r="V56" s="146">
        <v>0</v>
      </c>
      <c r="W56" s="146"/>
      <c r="X56" s="126">
        <f t="shared" si="6"/>
        <v>3</v>
      </c>
      <c r="Y56" s="125">
        <f t="shared" si="7"/>
        <v>2</v>
      </c>
    </row>
    <row r="57" spans="1:25" x14ac:dyDescent="0.3">
      <c r="A57" s="176"/>
      <c r="B57" s="173"/>
      <c r="C57" s="40">
        <v>24303</v>
      </c>
      <c r="D57" s="33" t="s">
        <v>9</v>
      </c>
      <c r="E57" s="33" t="s">
        <v>32</v>
      </c>
      <c r="F57" s="33">
        <v>1</v>
      </c>
      <c r="G57" s="33">
        <v>3</v>
      </c>
      <c r="H57" s="173"/>
      <c r="I57" s="5" t="s">
        <v>132</v>
      </c>
      <c r="J57" s="5"/>
      <c r="K57" s="108"/>
      <c r="S57" s="117" t="s">
        <v>133</v>
      </c>
      <c r="T57" s="138" t="s">
        <v>9</v>
      </c>
      <c r="U57" s="138">
        <v>3</v>
      </c>
      <c r="V57" s="138">
        <v>1</v>
      </c>
      <c r="W57" s="138"/>
      <c r="X57" s="126">
        <f t="shared" si="6"/>
        <v>3</v>
      </c>
      <c r="Y57" s="125">
        <f t="shared" si="7"/>
        <v>2</v>
      </c>
    </row>
    <row r="58" spans="1:25" ht="15" thickBot="1" x14ac:dyDescent="0.35">
      <c r="A58" s="176"/>
      <c r="B58" s="173"/>
      <c r="C58" s="58"/>
      <c r="D58" s="59"/>
      <c r="E58" s="59"/>
      <c r="F58" s="59"/>
      <c r="G58" s="59"/>
      <c r="H58" s="178"/>
      <c r="I58" s="8"/>
      <c r="J58" s="5"/>
      <c r="K58" s="108"/>
      <c r="S58" s="117" t="s">
        <v>32</v>
      </c>
      <c r="T58" s="146" t="s">
        <v>125</v>
      </c>
      <c r="U58" s="146">
        <v>3</v>
      </c>
      <c r="V58" s="146">
        <v>1</v>
      </c>
      <c r="W58" s="146"/>
      <c r="X58" s="126">
        <f t="shared" si="6"/>
        <v>3</v>
      </c>
      <c r="Y58" s="125">
        <f t="shared" si="7"/>
        <v>2</v>
      </c>
    </row>
    <row r="59" spans="1:25" x14ac:dyDescent="0.3">
      <c r="A59" s="176"/>
      <c r="B59" s="173"/>
      <c r="C59" s="40">
        <v>24304</v>
      </c>
      <c r="D59" s="33" t="s">
        <v>133</v>
      </c>
      <c r="E59" s="33" t="s">
        <v>125</v>
      </c>
      <c r="F59" s="33">
        <v>3</v>
      </c>
      <c r="G59" s="33">
        <v>0</v>
      </c>
      <c r="H59" s="173"/>
      <c r="I59" s="5" t="s">
        <v>134</v>
      </c>
      <c r="J59" s="5"/>
      <c r="K59" s="108"/>
      <c r="S59" s="117"/>
      <c r="T59" s="138"/>
      <c r="U59" s="138"/>
      <c r="V59" s="138"/>
      <c r="W59" s="138"/>
      <c r="X59" s="126"/>
      <c r="Y59" s="125"/>
    </row>
    <row r="60" spans="1:25" ht="15" thickBot="1" x14ac:dyDescent="0.35">
      <c r="A60" s="176"/>
      <c r="B60" s="173"/>
      <c r="C60" s="58"/>
      <c r="D60" s="59"/>
      <c r="E60" s="59"/>
      <c r="F60" s="59"/>
      <c r="G60" s="59"/>
      <c r="H60" s="178"/>
      <c r="I60" s="8"/>
      <c r="J60" s="5"/>
      <c r="K60" s="108"/>
      <c r="S60" s="117"/>
      <c r="T60" s="146"/>
      <c r="U60" s="146"/>
      <c r="V60" s="146"/>
      <c r="W60" s="146"/>
      <c r="X60" s="126"/>
      <c r="Y60" s="125"/>
    </row>
    <row r="61" spans="1:25" x14ac:dyDescent="0.3">
      <c r="A61" s="176"/>
      <c r="B61" s="173"/>
      <c r="C61" s="40">
        <v>24307</v>
      </c>
      <c r="D61" s="33" t="s">
        <v>133</v>
      </c>
      <c r="E61" s="33" t="s">
        <v>9</v>
      </c>
      <c r="F61" s="33">
        <v>3</v>
      </c>
      <c r="G61" s="33">
        <v>1</v>
      </c>
      <c r="H61" s="173"/>
      <c r="I61" s="5" t="s">
        <v>132</v>
      </c>
      <c r="J61" s="5"/>
      <c r="K61" s="108"/>
      <c r="S61" s="117"/>
      <c r="T61" s="138"/>
      <c r="U61" s="138"/>
      <c r="V61" s="138"/>
      <c r="W61" s="138"/>
      <c r="X61" s="126"/>
      <c r="Y61" s="125"/>
    </row>
    <row r="62" spans="1:25" ht="15" thickBot="1" x14ac:dyDescent="0.35">
      <c r="A62" s="176"/>
      <c r="B62" s="173"/>
      <c r="C62" s="58"/>
      <c r="D62" s="59"/>
      <c r="E62" s="59"/>
      <c r="F62" s="59"/>
      <c r="G62" s="59"/>
      <c r="H62" s="178"/>
      <c r="I62" s="8"/>
      <c r="J62" s="5"/>
      <c r="K62" s="108"/>
      <c r="S62" s="117"/>
      <c r="T62" s="146"/>
      <c r="U62" s="146"/>
      <c r="V62" s="146"/>
      <c r="W62" s="146"/>
      <c r="X62" s="126"/>
      <c r="Y62" s="125"/>
    </row>
    <row r="63" spans="1:25" x14ac:dyDescent="0.3">
      <c r="A63" s="176"/>
      <c r="B63" s="173"/>
      <c r="C63" s="40">
        <v>24308</v>
      </c>
      <c r="D63" s="33" t="s">
        <v>32</v>
      </c>
      <c r="E63" s="33" t="s">
        <v>125</v>
      </c>
      <c r="F63" s="33">
        <v>3</v>
      </c>
      <c r="G63" s="33">
        <v>1</v>
      </c>
      <c r="H63" s="173"/>
      <c r="I63" s="5" t="s">
        <v>134</v>
      </c>
      <c r="J63" s="5"/>
      <c r="K63" s="108"/>
      <c r="S63" s="117"/>
      <c r="T63" s="138"/>
      <c r="U63" s="138"/>
      <c r="V63" s="138"/>
      <c r="W63" s="138"/>
      <c r="X63" s="138"/>
      <c r="Y63" s="118"/>
    </row>
    <row r="64" spans="1:25" x14ac:dyDescent="0.3">
      <c r="A64" s="156"/>
      <c r="B64" s="173"/>
      <c r="C64" s="173"/>
      <c r="D64" s="33"/>
      <c r="E64" s="33"/>
      <c r="F64" s="33"/>
      <c r="G64" s="309"/>
      <c r="H64" s="5"/>
      <c r="I64" s="5"/>
      <c r="J64" s="5"/>
      <c r="K64" s="108"/>
      <c r="S64" s="117"/>
      <c r="T64" s="138"/>
      <c r="U64" s="138"/>
      <c r="V64" s="138"/>
      <c r="W64" s="138"/>
      <c r="X64" s="126"/>
      <c r="Y64" s="125"/>
    </row>
    <row r="65" spans="1:25" x14ac:dyDescent="0.3">
      <c r="A65" s="156"/>
      <c r="B65" s="173"/>
      <c r="C65" s="173"/>
      <c r="D65" s="173"/>
      <c r="E65" s="173"/>
      <c r="F65" s="173"/>
      <c r="G65" s="5"/>
      <c r="H65" s="5"/>
      <c r="I65" s="5"/>
      <c r="J65" s="5"/>
      <c r="K65" s="108"/>
      <c r="S65" s="117"/>
      <c r="T65" s="146"/>
      <c r="U65" s="146"/>
      <c r="V65" s="146"/>
      <c r="W65" s="146"/>
      <c r="X65" s="126"/>
      <c r="Y65" s="125"/>
    </row>
    <row r="66" spans="1:25" ht="15" thickBot="1" x14ac:dyDescent="0.35">
      <c r="A66" s="176"/>
      <c r="B66" s="173"/>
      <c r="C66" s="173" t="s">
        <v>12</v>
      </c>
      <c r="D66" s="173" t="s">
        <v>13</v>
      </c>
      <c r="E66" s="173" t="s">
        <v>14</v>
      </c>
      <c r="F66" s="173" t="s">
        <v>15</v>
      </c>
      <c r="G66" s="5" t="s">
        <v>24</v>
      </c>
      <c r="H66" s="5" t="s">
        <v>25</v>
      </c>
      <c r="I66" s="5" t="s">
        <v>26</v>
      </c>
      <c r="J66" s="5" t="s">
        <v>27</v>
      </c>
      <c r="K66" s="108"/>
      <c r="S66" s="117"/>
      <c r="T66" s="138"/>
      <c r="U66" s="138"/>
      <c r="V66" s="138"/>
      <c r="W66" s="138"/>
      <c r="X66" s="126"/>
      <c r="Y66" s="125"/>
    </row>
    <row r="67" spans="1:25" s="13" customFormat="1" x14ac:dyDescent="0.3">
      <c r="A67" s="24"/>
      <c r="B67" s="14" t="s">
        <v>9</v>
      </c>
      <c r="C67" s="376">
        <f>COUNTIF($S$90:$T$105,"UdSSR")</f>
        <v>1</v>
      </c>
      <c r="D67" s="43">
        <f>SUMPRODUCT(($S$90:$T$105=B67)*($X$90:$Y$105=3))</f>
        <v>0</v>
      </c>
      <c r="E67" s="43">
        <f>SUMPRODUCT(($S$90:$T$105=B67)*($X$90:$Y$105=1))</f>
        <v>0</v>
      </c>
      <c r="F67" s="43">
        <f>SUMPRODUCT(($S$90:$T$105=B67)*($X$90:$Y$105=2))</f>
        <v>0</v>
      </c>
      <c r="G67" s="43">
        <f>SUMPRODUCT(($S$90:$S$105=B67)*($U$90:$U$105))+SUMPRODUCT(($T$90:$T$105=B67)*($V$90:$V$105))</f>
        <v>0</v>
      </c>
      <c r="H67" s="43">
        <f>SUMPRODUCT(($S$90:$S$105=B67)*($V$90:$V$105))+SUMPRODUCT(($T$90:$T$105=B67)*($U$90:$U$105))</f>
        <v>0</v>
      </c>
      <c r="I67" s="18">
        <f>(D67*2)+E67</f>
        <v>0</v>
      </c>
      <c r="J67" s="22">
        <f>(F67*2)+E67</f>
        <v>0</v>
      </c>
      <c r="K67" s="109"/>
      <c r="S67" s="117"/>
      <c r="T67" s="138"/>
      <c r="U67" s="138"/>
      <c r="V67" s="138"/>
      <c r="W67" s="138"/>
      <c r="X67" s="126"/>
      <c r="Y67" s="125"/>
    </row>
    <row r="68" spans="1:25" s="13" customFormat="1" x14ac:dyDescent="0.3">
      <c r="A68" s="24"/>
      <c r="B68" s="21" t="s">
        <v>125</v>
      </c>
      <c r="C68" s="17"/>
      <c r="D68" s="17"/>
      <c r="E68" s="17"/>
      <c r="F68" s="17"/>
      <c r="G68" s="18"/>
      <c r="H68" s="18"/>
      <c r="I68" s="18"/>
      <c r="J68" s="22"/>
      <c r="K68" s="109"/>
      <c r="S68" s="117"/>
      <c r="T68" s="138"/>
      <c r="U68" s="138"/>
      <c r="V68" s="138"/>
      <c r="W68" s="138"/>
      <c r="X68" s="126"/>
      <c r="Y68" s="125"/>
    </row>
    <row r="69" spans="1:25" s="13" customFormat="1" x14ac:dyDescent="0.3">
      <c r="A69" s="24"/>
      <c r="B69" s="21" t="s">
        <v>133</v>
      </c>
      <c r="C69" s="17"/>
      <c r="D69" s="17"/>
      <c r="E69" s="17"/>
      <c r="F69" s="17"/>
      <c r="G69" s="18"/>
      <c r="H69" s="18"/>
      <c r="I69" s="18"/>
      <c r="J69" s="22"/>
      <c r="K69" s="109"/>
      <c r="S69" s="117"/>
      <c r="T69" s="138"/>
      <c r="U69" s="138"/>
      <c r="V69" s="138"/>
      <c r="W69" s="138"/>
      <c r="X69" s="138"/>
      <c r="Y69" s="118"/>
    </row>
    <row r="70" spans="1:25" ht="15" thickBot="1" x14ac:dyDescent="0.35">
      <c r="A70" s="176"/>
      <c r="B70" s="7" t="s">
        <v>32</v>
      </c>
      <c r="C70" s="178"/>
      <c r="D70" s="178"/>
      <c r="E70" s="178"/>
      <c r="F70" s="178"/>
      <c r="G70" s="8"/>
      <c r="H70" s="8"/>
      <c r="I70" s="8"/>
      <c r="J70" s="9"/>
      <c r="K70" s="108"/>
      <c r="S70" s="117"/>
      <c r="T70" s="138"/>
      <c r="U70" s="138"/>
      <c r="V70" s="138"/>
      <c r="W70" s="138"/>
      <c r="X70" s="138"/>
      <c r="Y70" s="118"/>
    </row>
    <row r="71" spans="1:25" ht="15" thickBot="1" x14ac:dyDescent="0.35">
      <c r="A71" s="176"/>
      <c r="B71" s="173"/>
      <c r="C71" s="173"/>
      <c r="D71" s="173"/>
      <c r="E71" s="173"/>
      <c r="F71" s="173"/>
      <c r="G71" s="5"/>
      <c r="H71" s="5"/>
      <c r="I71" s="5"/>
      <c r="J71" s="5"/>
      <c r="K71" s="193"/>
      <c r="S71" s="117"/>
      <c r="T71" s="138"/>
      <c r="U71" s="138"/>
      <c r="V71" s="138"/>
      <c r="W71" s="138"/>
      <c r="X71" s="126"/>
      <c r="Y71" s="125"/>
    </row>
    <row r="72" spans="1:25" ht="15" thickTop="1" x14ac:dyDescent="0.3">
      <c r="A72" s="106"/>
      <c r="B72" s="25"/>
      <c r="C72" s="25"/>
      <c r="D72" s="25"/>
      <c r="E72" s="25"/>
      <c r="F72" s="25"/>
      <c r="G72" s="26"/>
      <c r="H72" s="26"/>
      <c r="I72" s="26"/>
      <c r="J72" s="26"/>
      <c r="K72" s="108"/>
      <c r="S72" s="117"/>
      <c r="T72" s="138"/>
      <c r="U72" s="138"/>
      <c r="V72" s="138"/>
      <c r="W72" s="138"/>
      <c r="X72" s="126"/>
      <c r="Y72" s="125"/>
    </row>
    <row r="73" spans="1:25" ht="21" x14ac:dyDescent="0.4">
      <c r="A73" s="176"/>
      <c r="B73" s="173"/>
      <c r="C73" s="173"/>
      <c r="D73" s="173"/>
      <c r="E73" s="173"/>
      <c r="F73" s="172" t="s">
        <v>122</v>
      </c>
      <c r="G73" s="5"/>
      <c r="H73" s="5"/>
      <c r="I73" s="5"/>
      <c r="J73" s="5"/>
      <c r="K73" s="108"/>
      <c r="S73" s="117"/>
      <c r="T73" s="138"/>
      <c r="U73" s="138"/>
      <c r="V73" s="138"/>
      <c r="W73" s="138"/>
      <c r="X73" s="126"/>
      <c r="Y73" s="125"/>
    </row>
    <row r="74" spans="1:25" x14ac:dyDescent="0.3">
      <c r="A74" s="176"/>
      <c r="B74" s="173"/>
      <c r="C74" s="173"/>
      <c r="D74" s="173"/>
      <c r="E74" s="173"/>
      <c r="F74" s="28"/>
      <c r="G74" s="5"/>
      <c r="H74" s="5"/>
      <c r="I74" s="5"/>
      <c r="J74" s="5"/>
      <c r="K74" s="108"/>
      <c r="S74" s="117"/>
      <c r="T74" s="146"/>
      <c r="U74" s="146"/>
      <c r="V74" s="146"/>
      <c r="W74" s="146"/>
      <c r="X74" s="126"/>
      <c r="Y74" s="125"/>
    </row>
    <row r="75" spans="1:25" x14ac:dyDescent="0.3">
      <c r="A75" s="176"/>
      <c r="B75" s="173"/>
      <c r="C75" s="40">
        <v>24300</v>
      </c>
      <c r="D75" s="33" t="s">
        <v>101</v>
      </c>
      <c r="E75" s="33" t="s">
        <v>136</v>
      </c>
      <c r="F75" s="33">
        <v>3</v>
      </c>
      <c r="G75" s="33">
        <v>0</v>
      </c>
      <c r="H75" s="173"/>
      <c r="I75" s="5" t="s">
        <v>135</v>
      </c>
      <c r="J75" s="5"/>
      <c r="K75" s="108"/>
      <c r="S75" s="117" t="s">
        <v>101</v>
      </c>
      <c r="T75" s="138" t="s">
        <v>136</v>
      </c>
      <c r="U75" s="138">
        <v>3</v>
      </c>
      <c r="V75" s="138">
        <v>0</v>
      </c>
      <c r="W75" s="138"/>
      <c r="X75" s="126">
        <f t="shared" ref="X75:X76" si="8">(IF(U75&gt;V75,3,IF(U75=V75,1,2)))</f>
        <v>3</v>
      </c>
      <c r="Y75" s="125">
        <f t="shared" ref="Y75:Y76" si="9">(IF(V75&gt;U75,3,IF(U75=V75,1,2)))</f>
        <v>2</v>
      </c>
    </row>
    <row r="76" spans="1:25" ht="15" thickBot="1" x14ac:dyDescent="0.35">
      <c r="A76" s="176"/>
      <c r="B76" s="173"/>
      <c r="C76" s="58"/>
      <c r="D76" s="59"/>
      <c r="E76" s="59"/>
      <c r="F76" s="59"/>
      <c r="G76" s="59"/>
      <c r="H76" s="178"/>
      <c r="I76" s="8"/>
      <c r="J76" s="5"/>
      <c r="K76" s="108"/>
      <c r="S76" s="117" t="s">
        <v>37</v>
      </c>
      <c r="T76" s="146" t="s">
        <v>6</v>
      </c>
      <c r="U76" s="146">
        <v>2</v>
      </c>
      <c r="V76" s="146">
        <v>0</v>
      </c>
      <c r="W76" s="146"/>
      <c r="X76" s="126">
        <f t="shared" si="8"/>
        <v>3</v>
      </c>
      <c r="Y76" s="125">
        <f t="shared" si="9"/>
        <v>2</v>
      </c>
    </row>
    <row r="77" spans="1:25" x14ac:dyDescent="0.3">
      <c r="A77" s="176"/>
      <c r="B77" s="173"/>
      <c r="C77" s="40">
        <v>24301</v>
      </c>
      <c r="D77" s="33" t="s">
        <v>37</v>
      </c>
      <c r="E77" s="33" t="s">
        <v>6</v>
      </c>
      <c r="F77" s="33">
        <v>2</v>
      </c>
      <c r="G77" s="33">
        <v>0</v>
      </c>
      <c r="H77" s="173"/>
      <c r="I77" s="5" t="s">
        <v>137</v>
      </c>
      <c r="J77" s="5"/>
      <c r="K77" s="108"/>
      <c r="S77" s="117" t="s">
        <v>6</v>
      </c>
      <c r="T77" s="138" t="s">
        <v>136</v>
      </c>
      <c r="U77" s="138">
        <v>1</v>
      </c>
      <c r="V77" s="138">
        <v>1</v>
      </c>
      <c r="W77" s="138"/>
      <c r="X77" s="126">
        <f t="shared" ref="X77" si="10">(IF(U77&gt;V77,3,IF(U77=V77,1,2)))</f>
        <v>1</v>
      </c>
      <c r="Y77" s="125">
        <f t="shared" ref="Y77" si="11">(IF(V77&gt;U77,3,IF(U77=V77,1,2)))</f>
        <v>1</v>
      </c>
    </row>
    <row r="78" spans="1:25" ht="15" thickBot="1" x14ac:dyDescent="0.35">
      <c r="A78" s="176"/>
      <c r="B78" s="173"/>
      <c r="C78" s="58"/>
      <c r="D78" s="59"/>
      <c r="E78" s="59"/>
      <c r="F78" s="59"/>
      <c r="G78" s="59"/>
      <c r="H78" s="178"/>
      <c r="I78" s="8"/>
      <c r="J78" s="5"/>
      <c r="K78" s="108"/>
      <c r="S78" s="117" t="s">
        <v>101</v>
      </c>
      <c r="T78" s="146" t="s">
        <v>37</v>
      </c>
      <c r="U78" s="146">
        <v>1</v>
      </c>
      <c r="V78" s="146">
        <v>0</v>
      </c>
      <c r="W78" s="146"/>
      <c r="X78" s="126">
        <f t="shared" ref="X78:X80" si="12">(IF(U78&gt;V78,3,IF(U78=V78,1,2)))</f>
        <v>3</v>
      </c>
      <c r="Y78" s="125">
        <f t="shared" ref="Y78:Y80" si="13">(IF(V78&gt;U78,3,IF(U78=V78,1,2)))</f>
        <v>2</v>
      </c>
    </row>
    <row r="79" spans="1:25" x14ac:dyDescent="0.3">
      <c r="A79" s="176"/>
      <c r="B79" s="173"/>
      <c r="C79" s="40">
        <v>24303</v>
      </c>
      <c r="D79" s="33" t="s">
        <v>6</v>
      </c>
      <c r="E79" s="33" t="s">
        <v>136</v>
      </c>
      <c r="F79" s="33">
        <v>1</v>
      </c>
      <c r="G79" s="33">
        <v>1</v>
      </c>
      <c r="H79" s="173"/>
      <c r="I79" s="5" t="s">
        <v>135</v>
      </c>
      <c r="J79" s="5"/>
      <c r="K79" s="108"/>
      <c r="S79" s="117" t="s">
        <v>37</v>
      </c>
      <c r="T79" s="138" t="s">
        <v>136</v>
      </c>
      <c r="U79" s="138">
        <v>0</v>
      </c>
      <c r="V79" s="138">
        <v>1</v>
      </c>
      <c r="W79" s="138"/>
      <c r="X79" s="126">
        <f t="shared" si="12"/>
        <v>2</v>
      </c>
      <c r="Y79" s="125">
        <f t="shared" si="13"/>
        <v>3</v>
      </c>
    </row>
    <row r="80" spans="1:25" ht="15" thickBot="1" x14ac:dyDescent="0.35">
      <c r="A80" s="176"/>
      <c r="B80" s="173"/>
      <c r="C80" s="58"/>
      <c r="D80" s="59"/>
      <c r="E80" s="59"/>
      <c r="F80" s="59"/>
      <c r="G80" s="59"/>
      <c r="H80" s="178"/>
      <c r="I80" s="8"/>
      <c r="J80" s="5"/>
      <c r="K80" s="108"/>
      <c r="S80" s="117" t="s">
        <v>101</v>
      </c>
      <c r="T80" s="146" t="s">
        <v>6</v>
      </c>
      <c r="U80" s="146">
        <v>2</v>
      </c>
      <c r="V80" s="146">
        <v>1</v>
      </c>
      <c r="W80" s="146"/>
      <c r="X80" s="126">
        <f t="shared" si="12"/>
        <v>3</v>
      </c>
      <c r="Y80" s="125">
        <f t="shared" si="13"/>
        <v>2</v>
      </c>
    </row>
    <row r="81" spans="1:25" x14ac:dyDescent="0.3">
      <c r="A81" s="176"/>
      <c r="B81" s="173"/>
      <c r="C81" s="40">
        <v>24304</v>
      </c>
      <c r="D81" s="33" t="s">
        <v>101</v>
      </c>
      <c r="E81" s="33" t="s">
        <v>37</v>
      </c>
      <c r="F81" s="33">
        <v>1</v>
      </c>
      <c r="G81" s="33">
        <v>0</v>
      </c>
      <c r="H81" s="173"/>
      <c r="I81" s="5" t="s">
        <v>137</v>
      </c>
      <c r="J81" s="5"/>
      <c r="K81" s="108"/>
      <c r="S81" s="117"/>
      <c r="T81" s="138"/>
      <c r="U81" s="138"/>
      <c r="V81" s="138"/>
      <c r="W81" s="138"/>
      <c r="X81" s="126"/>
      <c r="Y81" s="125"/>
    </row>
    <row r="82" spans="1:25" ht="15" thickBot="1" x14ac:dyDescent="0.35">
      <c r="A82" s="176"/>
      <c r="B82" s="173"/>
      <c r="C82" s="58"/>
      <c r="D82" s="59"/>
      <c r="E82" s="59"/>
      <c r="F82" s="59"/>
      <c r="G82" s="59"/>
      <c r="H82" s="178"/>
      <c r="I82" s="8"/>
      <c r="J82" s="5"/>
      <c r="K82" s="108"/>
      <c r="S82" s="117"/>
      <c r="T82" s="146"/>
      <c r="U82" s="146"/>
      <c r="V82" s="146"/>
      <c r="W82" s="146"/>
      <c r="X82" s="126"/>
      <c r="Y82" s="125"/>
    </row>
    <row r="83" spans="1:25" x14ac:dyDescent="0.3">
      <c r="A83" s="176"/>
      <c r="B83" s="173"/>
      <c r="C83" s="40">
        <v>24307</v>
      </c>
      <c r="D83" s="33" t="s">
        <v>37</v>
      </c>
      <c r="E83" s="33" t="s">
        <v>136</v>
      </c>
      <c r="F83" s="33">
        <v>0</v>
      </c>
      <c r="G83" s="33">
        <v>1</v>
      </c>
      <c r="H83" s="173"/>
      <c r="I83" s="5" t="s">
        <v>135</v>
      </c>
      <c r="J83" s="5"/>
      <c r="K83" s="108"/>
      <c r="S83" s="117"/>
      <c r="T83" s="138"/>
      <c r="U83" s="138"/>
      <c r="V83" s="138"/>
      <c r="W83" s="138"/>
      <c r="X83" s="126"/>
      <c r="Y83" s="125"/>
    </row>
    <row r="84" spans="1:25" ht="15" thickBot="1" x14ac:dyDescent="0.35">
      <c r="A84" s="176"/>
      <c r="B84" s="173"/>
      <c r="C84" s="58"/>
      <c r="D84" s="59"/>
      <c r="E84" s="59"/>
      <c r="F84" s="59"/>
      <c r="G84" s="59"/>
      <c r="H84" s="178"/>
      <c r="I84" s="8"/>
      <c r="J84" s="5"/>
      <c r="K84" s="108"/>
      <c r="S84" s="117"/>
      <c r="T84" s="146"/>
      <c r="U84" s="146"/>
      <c r="V84" s="146"/>
      <c r="W84" s="146"/>
      <c r="X84" s="126"/>
      <c r="Y84" s="125"/>
    </row>
    <row r="85" spans="1:25" x14ac:dyDescent="0.3">
      <c r="A85" s="176"/>
      <c r="B85" s="173"/>
      <c r="C85" s="40">
        <v>24308</v>
      </c>
      <c r="D85" s="66" t="s">
        <v>101</v>
      </c>
      <c r="E85" s="66" t="s">
        <v>6</v>
      </c>
      <c r="F85" s="66">
        <v>2</v>
      </c>
      <c r="G85" s="66">
        <v>1</v>
      </c>
      <c r="H85" s="173"/>
      <c r="I85" s="5" t="s">
        <v>137</v>
      </c>
      <c r="J85" s="5"/>
      <c r="K85" s="108"/>
      <c r="S85" s="117"/>
      <c r="T85" s="138"/>
      <c r="U85" s="138"/>
      <c r="V85" s="138"/>
      <c r="W85" s="138"/>
      <c r="X85" s="138"/>
      <c r="Y85" s="118"/>
    </row>
    <row r="86" spans="1:25" x14ac:dyDescent="0.3">
      <c r="A86" s="156"/>
      <c r="B86" s="17"/>
      <c r="C86" s="17"/>
      <c r="D86" s="66"/>
      <c r="E86" s="66"/>
      <c r="F86" s="33"/>
      <c r="G86" s="309"/>
      <c r="H86" s="5"/>
      <c r="I86" s="5"/>
      <c r="J86" s="5"/>
      <c r="K86" s="108"/>
      <c r="S86" s="117"/>
      <c r="T86" s="138"/>
      <c r="U86" s="138"/>
      <c r="V86" s="138"/>
      <c r="W86" s="138"/>
      <c r="X86" s="138"/>
      <c r="Y86" s="118"/>
    </row>
    <row r="87" spans="1:25" x14ac:dyDescent="0.3">
      <c r="A87" s="156"/>
      <c r="B87" s="17"/>
      <c r="C87" s="17"/>
      <c r="D87" s="17"/>
      <c r="E87" s="17"/>
      <c r="F87" s="173"/>
      <c r="G87" s="5"/>
      <c r="H87" s="5"/>
      <c r="I87" s="5"/>
      <c r="J87" s="5"/>
      <c r="K87" s="108"/>
      <c r="S87" s="117"/>
      <c r="T87" s="146"/>
      <c r="U87" s="146"/>
      <c r="V87" s="146"/>
      <c r="W87" s="146"/>
      <c r="X87" s="146"/>
      <c r="Y87" s="118"/>
    </row>
    <row r="88" spans="1:25" ht="15" thickBot="1" x14ac:dyDescent="0.35">
      <c r="A88" s="176"/>
      <c r="B88" s="173"/>
      <c r="C88" s="173" t="s">
        <v>12</v>
      </c>
      <c r="D88" s="173" t="s">
        <v>13</v>
      </c>
      <c r="E88" s="173" t="s">
        <v>14</v>
      </c>
      <c r="F88" s="173" t="s">
        <v>15</v>
      </c>
      <c r="G88" s="5" t="s">
        <v>24</v>
      </c>
      <c r="H88" s="5" t="s">
        <v>25</v>
      </c>
      <c r="I88" s="5" t="s">
        <v>26</v>
      </c>
      <c r="J88" s="5" t="s">
        <v>27</v>
      </c>
      <c r="K88" s="108"/>
      <c r="S88" s="117"/>
      <c r="T88" s="138"/>
      <c r="U88" s="138"/>
      <c r="V88" s="138"/>
      <c r="W88" s="138"/>
      <c r="X88" s="126"/>
      <c r="Y88" s="125"/>
    </row>
    <row r="89" spans="1:25" s="13" customFormat="1" x14ac:dyDescent="0.3">
      <c r="A89" s="24"/>
      <c r="B89" s="14" t="s">
        <v>101</v>
      </c>
      <c r="C89" s="376">
        <f>COUNTIF($S$90:$T$105,"UdSSR")</f>
        <v>1</v>
      </c>
      <c r="D89" s="43">
        <f>SUMPRODUCT(($S$90:$T$105=B89)*($X$90:$Y$105=3))</f>
        <v>1</v>
      </c>
      <c r="E89" s="43">
        <f>SUMPRODUCT(($S$90:$T$105=B89)*($X$90:$Y$105=1))</f>
        <v>0</v>
      </c>
      <c r="F89" s="43">
        <f>SUMPRODUCT(($S$90:$T$105=B89)*($X$90:$Y$105=2))</f>
        <v>0</v>
      </c>
      <c r="G89" s="43">
        <f>SUMPRODUCT(($S$90:$S$105=B89)*($U$90:$U$105))+SUMPRODUCT(($T$90:$T$105=B89)*($V$90:$V$105))</f>
        <v>2</v>
      </c>
      <c r="H89" s="43">
        <f>SUMPRODUCT(($S$90:$S$105=B89)*($V$90:$V$105))+SUMPRODUCT(($T$90:$T$105=B89)*($U$90:$U$105))</f>
        <v>1</v>
      </c>
      <c r="I89" s="18">
        <f>(D89*2)+E89</f>
        <v>2</v>
      </c>
      <c r="J89" s="22">
        <f>(F89*2)+E89</f>
        <v>0</v>
      </c>
      <c r="K89" s="109"/>
      <c r="S89" s="117"/>
      <c r="T89" s="138"/>
      <c r="U89" s="138"/>
      <c r="V89" s="138"/>
      <c r="W89" s="138"/>
      <c r="X89" s="138"/>
      <c r="Y89" s="118"/>
    </row>
    <row r="90" spans="1:25" s="13" customFormat="1" x14ac:dyDescent="0.3">
      <c r="A90" s="24"/>
      <c r="B90" s="21" t="s">
        <v>136</v>
      </c>
      <c r="C90" s="17"/>
      <c r="D90" s="17"/>
      <c r="E90" s="17"/>
      <c r="F90" s="17"/>
      <c r="G90" s="18"/>
      <c r="H90" s="18"/>
      <c r="I90" s="18"/>
      <c r="J90" s="22"/>
      <c r="K90" s="109"/>
      <c r="S90" s="117"/>
      <c r="T90" s="138"/>
      <c r="U90" s="138"/>
      <c r="V90" s="138"/>
      <c r="W90" s="138"/>
      <c r="X90" s="138"/>
      <c r="Y90" s="118"/>
    </row>
    <row r="91" spans="1:25" x14ac:dyDescent="0.3">
      <c r="A91" s="176"/>
      <c r="B91" s="3" t="s">
        <v>37</v>
      </c>
      <c r="C91" s="173"/>
      <c r="D91" s="173"/>
      <c r="E91" s="173"/>
      <c r="F91" s="173"/>
      <c r="G91" s="5"/>
      <c r="H91" s="5"/>
      <c r="I91" s="5"/>
      <c r="J91" s="6"/>
      <c r="K91" s="108"/>
      <c r="S91" s="117"/>
      <c r="T91" s="138"/>
      <c r="U91" s="138"/>
      <c r="V91" s="138"/>
      <c r="W91" s="138"/>
      <c r="X91" s="126"/>
      <c r="Y91" s="125"/>
    </row>
    <row r="92" spans="1:25" ht="15" thickBot="1" x14ac:dyDescent="0.35">
      <c r="A92" s="176"/>
      <c r="B92" s="7" t="s">
        <v>6</v>
      </c>
      <c r="C92" s="178"/>
      <c r="D92" s="178"/>
      <c r="E92" s="178"/>
      <c r="F92" s="178"/>
      <c r="G92" s="8"/>
      <c r="H92" s="8"/>
      <c r="I92" s="8"/>
      <c r="J92" s="9"/>
      <c r="K92" s="108"/>
      <c r="S92" s="117"/>
      <c r="T92" s="138"/>
      <c r="U92" s="138"/>
      <c r="V92" s="138"/>
      <c r="W92" s="138"/>
      <c r="X92" s="126"/>
      <c r="Y92" s="125"/>
    </row>
    <row r="93" spans="1:25" ht="15" thickBot="1" x14ac:dyDescent="0.35">
      <c r="A93" s="176"/>
      <c r="B93" s="173"/>
      <c r="C93" s="173"/>
      <c r="D93" s="173"/>
      <c r="E93" s="173"/>
      <c r="F93" s="173"/>
      <c r="G93" s="5"/>
      <c r="H93" s="5"/>
      <c r="I93" s="5"/>
      <c r="J93" s="5"/>
      <c r="K93" s="193"/>
      <c r="S93" s="117"/>
      <c r="T93" s="138"/>
      <c r="U93" s="138"/>
      <c r="V93" s="138"/>
      <c r="W93" s="138"/>
      <c r="X93" s="126"/>
      <c r="Y93" s="125"/>
    </row>
    <row r="94" spans="1:25" ht="15" thickTop="1" x14ac:dyDescent="0.3">
      <c r="A94" s="106"/>
      <c r="B94" s="25"/>
      <c r="C94" s="25"/>
      <c r="D94" s="25"/>
      <c r="E94" s="25"/>
      <c r="F94" s="25"/>
      <c r="G94" s="26"/>
      <c r="H94" s="26"/>
      <c r="I94" s="26"/>
      <c r="J94" s="26"/>
      <c r="K94" s="108"/>
      <c r="S94" s="117"/>
      <c r="T94" s="138"/>
      <c r="U94" s="138"/>
      <c r="V94" s="138"/>
      <c r="W94" s="138"/>
      <c r="X94" s="126"/>
      <c r="Y94" s="125"/>
    </row>
    <row r="95" spans="1:25" ht="21" x14ac:dyDescent="0.4">
      <c r="A95" s="176"/>
      <c r="B95" s="173"/>
      <c r="C95" s="173"/>
      <c r="D95" s="173"/>
      <c r="E95" s="173"/>
      <c r="F95" s="172" t="s">
        <v>47</v>
      </c>
      <c r="G95" s="5"/>
      <c r="H95" s="5"/>
      <c r="I95" s="5"/>
      <c r="J95" s="5"/>
      <c r="K95" s="108"/>
      <c r="S95" s="117"/>
      <c r="T95" s="138"/>
      <c r="U95" s="138"/>
      <c r="V95" s="138"/>
      <c r="W95" s="138"/>
      <c r="X95" s="126"/>
      <c r="Y95" s="125"/>
    </row>
    <row r="96" spans="1:25" x14ac:dyDescent="0.3">
      <c r="A96" s="176"/>
      <c r="B96" s="173"/>
      <c r="C96" s="173"/>
      <c r="D96" s="173"/>
      <c r="E96" s="173"/>
      <c r="F96" s="28"/>
      <c r="G96" s="5"/>
      <c r="H96" s="5"/>
      <c r="I96" s="5"/>
      <c r="J96" s="5"/>
      <c r="K96" s="108"/>
      <c r="S96" s="117"/>
      <c r="T96" s="146"/>
      <c r="U96" s="146"/>
      <c r="V96" s="146"/>
      <c r="W96" s="146"/>
      <c r="X96" s="126"/>
      <c r="Y96" s="125"/>
    </row>
    <row r="97" spans="1:25" x14ac:dyDescent="0.3">
      <c r="A97" s="176"/>
      <c r="B97" s="173"/>
      <c r="C97" s="40">
        <v>24311</v>
      </c>
      <c r="D97" s="33" t="s">
        <v>74</v>
      </c>
      <c r="E97" s="33" t="s">
        <v>5</v>
      </c>
      <c r="F97" s="33">
        <v>1</v>
      </c>
      <c r="G97" s="33">
        <v>0</v>
      </c>
      <c r="H97" s="173"/>
      <c r="I97" s="5" t="s">
        <v>129</v>
      </c>
      <c r="J97" s="5"/>
      <c r="K97" s="108"/>
      <c r="S97" s="117" t="s">
        <v>74</v>
      </c>
      <c r="T97" s="138" t="s">
        <v>5</v>
      </c>
      <c r="U97" s="138">
        <v>1</v>
      </c>
      <c r="V97" s="138">
        <v>0</v>
      </c>
      <c r="W97" s="138"/>
      <c r="X97" s="126">
        <f t="shared" ref="X97:X100" si="14">(IF(U97&gt;V97,3,IF(U97=V97,1,2)))</f>
        <v>3</v>
      </c>
      <c r="Y97" s="125">
        <f t="shared" ref="Y97:Y100" si="15">(IF(V97&gt;U97,3,IF(U97=V97,1,2)))</f>
        <v>2</v>
      </c>
    </row>
    <row r="98" spans="1:25" ht="15" thickBot="1" x14ac:dyDescent="0.35">
      <c r="A98" s="176"/>
      <c r="B98" s="173"/>
      <c r="C98" s="58"/>
      <c r="D98" s="59"/>
      <c r="E98" s="59"/>
      <c r="F98" s="59"/>
      <c r="G98" s="59"/>
      <c r="H98" s="178"/>
      <c r="I98" s="8"/>
      <c r="J98" s="5"/>
      <c r="K98" s="108"/>
      <c r="S98" s="117" t="s">
        <v>88</v>
      </c>
      <c r="T98" s="146" t="s">
        <v>18</v>
      </c>
      <c r="U98" s="146">
        <v>4</v>
      </c>
      <c r="V98" s="146">
        <v>0</v>
      </c>
      <c r="W98" s="146"/>
      <c r="X98" s="126">
        <f t="shared" si="14"/>
        <v>3</v>
      </c>
      <c r="Y98" s="125">
        <f t="shared" si="15"/>
        <v>2</v>
      </c>
    </row>
    <row r="99" spans="1:25" x14ac:dyDescent="0.3">
      <c r="A99" s="176"/>
      <c r="B99" s="173"/>
      <c r="C99" s="40">
        <v>24311</v>
      </c>
      <c r="D99" s="33" t="s">
        <v>88</v>
      </c>
      <c r="E99" s="33" t="s">
        <v>18</v>
      </c>
      <c r="F99" s="33">
        <v>4</v>
      </c>
      <c r="G99" s="33">
        <v>0</v>
      </c>
      <c r="H99" s="173"/>
      <c r="I99" s="5" t="s">
        <v>130</v>
      </c>
      <c r="J99" s="5"/>
      <c r="K99" s="108"/>
      <c r="S99" s="117" t="s">
        <v>133</v>
      </c>
      <c r="T99" s="138" t="s">
        <v>136</v>
      </c>
      <c r="U99" s="138">
        <v>5</v>
      </c>
      <c r="V99" s="138">
        <v>3</v>
      </c>
      <c r="W99" s="138"/>
      <c r="X99" s="126">
        <f t="shared" si="14"/>
        <v>3</v>
      </c>
      <c r="Y99" s="125">
        <f t="shared" si="15"/>
        <v>2</v>
      </c>
    </row>
    <row r="100" spans="1:25" ht="15" thickBot="1" x14ac:dyDescent="0.35">
      <c r="A100" s="176"/>
      <c r="B100" s="173"/>
      <c r="C100" s="58"/>
      <c r="D100" s="59"/>
      <c r="E100" s="59"/>
      <c r="F100" s="59"/>
      <c r="G100" s="59"/>
      <c r="H100" s="178"/>
      <c r="I100" s="8"/>
      <c r="J100" s="5"/>
      <c r="K100" s="108"/>
      <c r="S100" s="117" t="s">
        <v>101</v>
      </c>
      <c r="T100" s="146" t="s">
        <v>32</v>
      </c>
      <c r="U100" s="146">
        <v>2</v>
      </c>
      <c r="V100" s="146">
        <v>1</v>
      </c>
      <c r="W100" s="146"/>
      <c r="X100" s="126">
        <f t="shared" si="14"/>
        <v>3</v>
      </c>
      <c r="Y100" s="125">
        <f t="shared" si="15"/>
        <v>2</v>
      </c>
    </row>
    <row r="101" spans="1:25" x14ac:dyDescent="0.3">
      <c r="A101" s="176"/>
      <c r="B101" s="173"/>
      <c r="C101" s="40">
        <v>24311</v>
      </c>
      <c r="D101" s="33" t="s">
        <v>138</v>
      </c>
      <c r="E101" s="33" t="s">
        <v>136</v>
      </c>
      <c r="F101" s="33">
        <v>5</v>
      </c>
      <c r="G101" s="33">
        <v>3</v>
      </c>
      <c r="H101" s="173"/>
      <c r="I101" s="5" t="s">
        <v>132</v>
      </c>
      <c r="J101" s="5"/>
      <c r="K101" s="108"/>
      <c r="S101" s="117"/>
      <c r="T101" s="138"/>
      <c r="U101" s="138"/>
      <c r="V101" s="138"/>
      <c r="W101" s="138"/>
      <c r="X101" s="126"/>
      <c r="Y101" s="125"/>
    </row>
    <row r="102" spans="1:25" ht="15" thickBot="1" x14ac:dyDescent="0.35">
      <c r="A102" s="176"/>
      <c r="B102" s="173"/>
      <c r="C102" s="58"/>
      <c r="D102" s="59"/>
      <c r="E102" s="59"/>
      <c r="F102" s="59"/>
      <c r="G102" s="59"/>
      <c r="H102" s="178"/>
      <c r="I102" s="8"/>
      <c r="J102" s="5"/>
      <c r="K102" s="108"/>
      <c r="S102" s="117"/>
      <c r="T102" s="146"/>
      <c r="U102" s="146"/>
      <c r="V102" s="146"/>
      <c r="W102" s="146"/>
      <c r="X102" s="126"/>
      <c r="Y102" s="125"/>
    </row>
    <row r="103" spans="1:25" x14ac:dyDescent="0.3">
      <c r="A103" s="176"/>
      <c r="B103" s="173"/>
      <c r="C103" s="40">
        <v>24311</v>
      </c>
      <c r="D103" s="33" t="s">
        <v>101</v>
      </c>
      <c r="E103" s="33" t="s">
        <v>32</v>
      </c>
      <c r="F103" s="33">
        <v>2</v>
      </c>
      <c r="G103" s="33">
        <v>1</v>
      </c>
      <c r="H103" s="173"/>
      <c r="I103" s="5" t="s">
        <v>137</v>
      </c>
      <c r="J103" s="5"/>
      <c r="K103" s="108"/>
      <c r="S103" s="117"/>
      <c r="T103" s="138"/>
      <c r="U103" s="138"/>
      <c r="V103" s="138"/>
      <c r="W103" s="138"/>
      <c r="X103" s="126"/>
      <c r="Y103" s="125"/>
    </row>
    <row r="104" spans="1:25" x14ac:dyDescent="0.3">
      <c r="A104" s="156"/>
      <c r="B104" s="173"/>
      <c r="C104" s="173"/>
      <c r="D104" s="33"/>
      <c r="E104" s="33"/>
      <c r="F104" s="33" t="s">
        <v>281</v>
      </c>
      <c r="G104" s="309" t="s">
        <v>282</v>
      </c>
      <c r="H104" s="5"/>
      <c r="I104" s="5"/>
      <c r="J104" s="5"/>
      <c r="K104" s="108"/>
      <c r="S104" s="117"/>
      <c r="T104" s="138"/>
      <c r="U104" s="138"/>
      <c r="V104" s="138"/>
      <c r="W104" s="138"/>
      <c r="X104" s="126"/>
      <c r="Y104" s="125"/>
    </row>
    <row r="105" spans="1:25" x14ac:dyDescent="0.3">
      <c r="A105" s="156"/>
      <c r="B105" s="173"/>
      <c r="C105" s="173"/>
      <c r="D105" s="173"/>
      <c r="E105" s="173"/>
      <c r="F105" s="173"/>
      <c r="G105" s="5"/>
      <c r="H105" s="5"/>
      <c r="I105" s="5"/>
      <c r="J105" s="5"/>
      <c r="K105" s="108"/>
      <c r="S105" s="117"/>
      <c r="T105" s="146"/>
      <c r="U105" s="146"/>
      <c r="V105" s="146"/>
      <c r="W105" s="146"/>
      <c r="X105" s="126"/>
      <c r="Y105" s="125"/>
    </row>
    <row r="106" spans="1:25" x14ac:dyDescent="0.3">
      <c r="A106" s="156"/>
      <c r="B106" s="173"/>
      <c r="C106" s="173"/>
      <c r="D106" s="173"/>
      <c r="E106" s="173"/>
      <c r="F106" s="173"/>
      <c r="G106" s="5"/>
      <c r="H106" s="5"/>
      <c r="I106" s="5"/>
      <c r="J106" s="5"/>
      <c r="K106" s="108"/>
      <c r="S106" s="117"/>
      <c r="T106" s="146"/>
      <c r="U106" s="146"/>
      <c r="V106" s="146"/>
      <c r="W106" s="146"/>
      <c r="X106" s="126"/>
      <c r="Y106" s="125"/>
    </row>
    <row r="107" spans="1:25" ht="21" x14ac:dyDescent="0.4">
      <c r="A107" s="156"/>
      <c r="B107" s="173"/>
      <c r="C107" s="173"/>
      <c r="D107" s="173"/>
      <c r="E107" s="173"/>
      <c r="F107" s="172" t="s">
        <v>48</v>
      </c>
      <c r="G107" s="5"/>
      <c r="H107" s="5"/>
      <c r="I107" s="5"/>
      <c r="J107" s="5"/>
      <c r="K107" s="108"/>
      <c r="S107" s="117"/>
      <c r="T107" s="138"/>
      <c r="U107" s="138"/>
      <c r="V107" s="138"/>
      <c r="W107" s="138"/>
      <c r="X107" s="126"/>
      <c r="Y107" s="125"/>
    </row>
    <row r="108" spans="1:25" x14ac:dyDescent="0.3">
      <c r="A108" s="156"/>
      <c r="B108" s="173"/>
      <c r="C108" s="173"/>
      <c r="D108" s="173"/>
      <c r="E108" s="173"/>
      <c r="F108" s="28"/>
      <c r="G108" s="5"/>
      <c r="H108" s="5"/>
      <c r="I108" s="5"/>
      <c r="J108" s="5"/>
      <c r="K108" s="108"/>
      <c r="S108" s="117"/>
      <c r="T108" s="146"/>
      <c r="U108" s="146"/>
      <c r="V108" s="146"/>
      <c r="W108" s="146"/>
      <c r="X108" s="126"/>
      <c r="Y108" s="125"/>
    </row>
    <row r="109" spans="1:25" x14ac:dyDescent="0.3">
      <c r="A109" s="176"/>
      <c r="B109" s="173"/>
      <c r="C109" s="40">
        <v>24313</v>
      </c>
      <c r="D109" s="33" t="s">
        <v>88</v>
      </c>
      <c r="E109" s="33" t="s">
        <v>101</v>
      </c>
      <c r="F109" s="33">
        <v>2</v>
      </c>
      <c r="G109" s="173">
        <v>1</v>
      </c>
      <c r="H109" s="173"/>
      <c r="I109" s="5" t="s">
        <v>132</v>
      </c>
      <c r="J109" s="5"/>
      <c r="K109" s="108"/>
      <c r="S109" s="117" t="s">
        <v>88</v>
      </c>
      <c r="T109" s="138" t="s">
        <v>101</v>
      </c>
      <c r="U109" s="138">
        <v>2</v>
      </c>
      <c r="V109" s="138">
        <v>1</v>
      </c>
      <c r="W109" s="138"/>
      <c r="X109" s="126">
        <f t="shared" ref="X109:X110" si="16">(IF(U109&gt;V109,3,IF(U109=V109,1,2)))</f>
        <v>3</v>
      </c>
      <c r="Y109" s="125">
        <f t="shared" ref="Y109:Y110" si="17">(IF(V109&gt;U109,3,IF(U109=V109,1,2)))</f>
        <v>2</v>
      </c>
    </row>
    <row r="110" spans="1:25" ht="15" thickBot="1" x14ac:dyDescent="0.35">
      <c r="A110" s="176"/>
      <c r="B110" s="173"/>
      <c r="C110" s="58"/>
      <c r="D110" s="59"/>
      <c r="E110" s="59"/>
      <c r="F110" s="59"/>
      <c r="G110" s="178"/>
      <c r="H110" s="178"/>
      <c r="I110" s="8"/>
      <c r="J110" s="5"/>
      <c r="K110" s="108"/>
      <c r="S110" s="117" t="s">
        <v>74</v>
      </c>
      <c r="T110" s="146" t="s">
        <v>133</v>
      </c>
      <c r="U110" s="146">
        <v>2</v>
      </c>
      <c r="V110" s="146">
        <v>1</v>
      </c>
      <c r="W110" s="146"/>
      <c r="X110" s="126">
        <f t="shared" si="16"/>
        <v>3</v>
      </c>
      <c r="Y110" s="125">
        <f t="shared" si="17"/>
        <v>2</v>
      </c>
    </row>
    <row r="111" spans="1:25" x14ac:dyDescent="0.3">
      <c r="A111" s="176"/>
      <c r="B111" s="173"/>
      <c r="C111" s="40">
        <v>24314</v>
      </c>
      <c r="D111" s="33" t="s">
        <v>74</v>
      </c>
      <c r="E111" s="33" t="s">
        <v>133</v>
      </c>
      <c r="F111" s="33">
        <v>2</v>
      </c>
      <c r="G111" s="173">
        <v>1</v>
      </c>
      <c r="H111" s="173"/>
      <c r="I111" s="5" t="s">
        <v>129</v>
      </c>
      <c r="J111" s="5"/>
      <c r="K111" s="108"/>
      <c r="S111" s="117"/>
      <c r="T111" s="138"/>
      <c r="U111" s="138"/>
      <c r="V111" s="138"/>
      <c r="W111" s="138"/>
      <c r="X111" s="126"/>
      <c r="Y111" s="125"/>
    </row>
    <row r="112" spans="1:25" x14ac:dyDescent="0.3">
      <c r="A112" s="156"/>
      <c r="B112" s="173"/>
      <c r="C112" s="173"/>
      <c r="D112" s="173"/>
      <c r="E112" s="173"/>
      <c r="F112" s="173" t="s">
        <v>281</v>
      </c>
      <c r="G112" s="5" t="s">
        <v>282</v>
      </c>
      <c r="H112" s="5"/>
      <c r="I112" s="5"/>
      <c r="J112" s="5"/>
      <c r="K112" s="108"/>
      <c r="S112" s="117"/>
      <c r="T112" s="138"/>
      <c r="U112" s="138"/>
      <c r="V112" s="138"/>
      <c r="W112" s="138"/>
      <c r="X112" s="138"/>
      <c r="Y112" s="118"/>
    </row>
    <row r="113" spans="1:25" x14ac:dyDescent="0.3">
      <c r="A113" s="156"/>
      <c r="B113" s="173"/>
      <c r="C113" s="173"/>
      <c r="D113" s="173"/>
      <c r="E113" s="173"/>
      <c r="F113" s="173"/>
      <c r="G113" s="5"/>
      <c r="H113" s="5"/>
      <c r="I113" s="5"/>
      <c r="J113" s="5"/>
      <c r="K113" s="108"/>
      <c r="S113" s="117"/>
      <c r="T113" s="146"/>
      <c r="U113" s="146"/>
      <c r="V113" s="146"/>
      <c r="W113" s="146"/>
      <c r="X113" s="146"/>
      <c r="Y113" s="118"/>
    </row>
    <row r="114" spans="1:25" ht="15" thickBot="1" x14ac:dyDescent="0.35">
      <c r="A114" s="156"/>
      <c r="B114" s="173"/>
      <c r="C114" s="173"/>
      <c r="D114" s="173"/>
      <c r="E114" s="173"/>
      <c r="F114" s="173"/>
      <c r="G114" s="5"/>
      <c r="H114" s="5"/>
      <c r="I114" s="5"/>
      <c r="J114" s="5"/>
      <c r="K114" s="108"/>
      <c r="S114" s="117"/>
      <c r="T114" s="146"/>
      <c r="U114" s="146"/>
      <c r="V114" s="146"/>
      <c r="W114" s="146"/>
      <c r="X114" s="146"/>
      <c r="Y114" s="118"/>
    </row>
    <row r="115" spans="1:25" ht="21" x14ac:dyDescent="0.4">
      <c r="A115" s="156"/>
      <c r="B115" s="173"/>
      <c r="C115" s="420" t="s">
        <v>321</v>
      </c>
      <c r="D115" s="444"/>
      <c r="E115" s="444"/>
      <c r="F115" s="444"/>
      <c r="G115" s="444"/>
      <c r="H115" s="444"/>
      <c r="I115" s="445"/>
      <c r="J115" s="5"/>
      <c r="K115" s="108"/>
      <c r="S115" s="117"/>
      <c r="T115" s="138"/>
      <c r="U115" s="138"/>
      <c r="V115" s="138"/>
      <c r="W115" s="138"/>
      <c r="X115" s="138"/>
      <c r="Y115" s="118"/>
    </row>
    <row r="116" spans="1:25" ht="14.4" customHeight="1" x14ac:dyDescent="0.4">
      <c r="A116" s="156"/>
      <c r="B116" s="376"/>
      <c r="C116" s="364"/>
      <c r="D116" s="377"/>
      <c r="E116" s="377"/>
      <c r="F116" s="377"/>
      <c r="G116" s="377"/>
      <c r="H116" s="377"/>
      <c r="I116" s="384"/>
      <c r="J116" s="5"/>
      <c r="K116" s="108"/>
      <c r="S116" s="117"/>
      <c r="T116" s="376"/>
      <c r="U116" s="376"/>
      <c r="V116" s="376"/>
      <c r="W116" s="376"/>
      <c r="X116" s="376"/>
      <c r="Y116" s="118"/>
    </row>
    <row r="117" spans="1:25" x14ac:dyDescent="0.3">
      <c r="A117" s="156"/>
      <c r="B117" s="173"/>
      <c r="C117" s="3"/>
      <c r="D117" s="33" t="s">
        <v>133</v>
      </c>
      <c r="E117" s="55" t="s">
        <v>101</v>
      </c>
      <c r="F117" s="173">
        <v>2</v>
      </c>
      <c r="G117" s="2">
        <v>1</v>
      </c>
      <c r="H117" s="173"/>
      <c r="I117" s="6"/>
      <c r="J117" s="5"/>
      <c r="K117" s="108"/>
      <c r="S117" s="117" t="s">
        <v>133</v>
      </c>
      <c r="T117" s="138" t="s">
        <v>101</v>
      </c>
      <c r="U117" s="138">
        <v>2</v>
      </c>
      <c r="V117" s="138">
        <v>1</v>
      </c>
      <c r="W117" s="138"/>
      <c r="X117" s="126">
        <f t="shared" ref="X117" si="18">(IF(U117&gt;V117,3,IF(U117=V117,1,2)))</f>
        <v>3</v>
      </c>
      <c r="Y117" s="125">
        <f t="shared" ref="Y117" si="19">(IF(V117&gt;U117,3,IF(U117=V117,1,2)))</f>
        <v>2</v>
      </c>
    </row>
    <row r="118" spans="1:25" x14ac:dyDescent="0.3">
      <c r="A118" s="156"/>
      <c r="B118" s="173"/>
      <c r="C118" s="3"/>
      <c r="D118" s="33"/>
      <c r="E118" s="173"/>
      <c r="F118" s="5" t="s">
        <v>281</v>
      </c>
      <c r="G118" s="2" t="s">
        <v>282</v>
      </c>
      <c r="H118" s="5"/>
      <c r="I118" s="6"/>
      <c r="J118" s="5"/>
      <c r="K118" s="108"/>
      <c r="S118" s="117"/>
      <c r="T118" s="138"/>
      <c r="U118" s="138"/>
      <c r="V118" s="138"/>
      <c r="W118" s="138"/>
      <c r="X118" s="138"/>
      <c r="Y118" s="118"/>
    </row>
    <row r="119" spans="1:25" ht="15" thickBot="1" x14ac:dyDescent="0.35">
      <c r="A119" s="156"/>
      <c r="B119" s="173"/>
      <c r="C119" s="7"/>
      <c r="D119" s="178"/>
      <c r="E119" s="178"/>
      <c r="F119" s="8"/>
      <c r="G119" s="8"/>
      <c r="H119" s="8"/>
      <c r="I119" s="9"/>
      <c r="J119" s="5"/>
      <c r="K119" s="108"/>
      <c r="S119" s="117"/>
      <c r="T119" s="146"/>
      <c r="U119" s="146"/>
      <c r="V119" s="146"/>
      <c r="W119" s="146"/>
      <c r="X119" s="146"/>
      <c r="Y119" s="118"/>
    </row>
    <row r="120" spans="1:25" x14ac:dyDescent="0.3">
      <c r="A120" s="156"/>
      <c r="B120" s="173"/>
      <c r="C120" s="173"/>
      <c r="D120" s="173"/>
      <c r="E120" s="173"/>
      <c r="F120" s="173"/>
      <c r="G120" s="5"/>
      <c r="H120" s="5"/>
      <c r="I120" s="5"/>
      <c r="J120" s="5"/>
      <c r="K120" s="108"/>
      <c r="S120" s="117"/>
      <c r="T120" s="146"/>
      <c r="U120" s="146"/>
      <c r="V120" s="146"/>
      <c r="W120" s="146"/>
      <c r="X120" s="146"/>
      <c r="Y120" s="118"/>
    </row>
    <row r="121" spans="1:25" x14ac:dyDescent="0.3">
      <c r="A121" s="156"/>
      <c r="B121" s="173"/>
      <c r="C121" s="173"/>
      <c r="D121" s="173"/>
      <c r="E121" s="173"/>
      <c r="F121" s="173"/>
      <c r="G121" s="5"/>
      <c r="H121" s="5"/>
      <c r="I121" s="5"/>
      <c r="J121" s="5"/>
      <c r="K121" s="108"/>
      <c r="S121" s="117"/>
      <c r="T121" s="146"/>
      <c r="U121" s="146"/>
      <c r="V121" s="146"/>
      <c r="W121" s="146"/>
      <c r="X121" s="146"/>
      <c r="Y121" s="118"/>
    </row>
    <row r="122" spans="1:25" x14ac:dyDescent="0.3">
      <c r="A122" s="156"/>
      <c r="B122" s="173"/>
      <c r="C122" s="173"/>
      <c r="D122" s="173"/>
      <c r="E122" s="173"/>
      <c r="F122" s="173"/>
      <c r="G122" s="5"/>
      <c r="H122" s="5"/>
      <c r="I122" s="5"/>
      <c r="J122" s="5"/>
      <c r="K122" s="108"/>
      <c r="S122" s="117"/>
      <c r="T122" s="146"/>
      <c r="U122" s="146"/>
      <c r="V122" s="146"/>
      <c r="W122" s="146"/>
      <c r="X122" s="146"/>
      <c r="Y122" s="118"/>
    </row>
    <row r="123" spans="1:25" ht="15" thickBot="1" x14ac:dyDescent="0.35">
      <c r="A123" s="156"/>
      <c r="B123" s="173"/>
      <c r="C123" s="173"/>
      <c r="D123" s="173"/>
      <c r="E123" s="173"/>
      <c r="F123" s="173"/>
      <c r="G123" s="5"/>
      <c r="H123" s="5"/>
      <c r="I123" s="5"/>
      <c r="J123" s="5"/>
      <c r="K123" s="108"/>
      <c r="S123" s="117"/>
      <c r="T123" s="146"/>
      <c r="U123" s="146"/>
      <c r="V123" s="146"/>
      <c r="W123" s="146"/>
      <c r="X123" s="146"/>
      <c r="Y123" s="118"/>
    </row>
    <row r="124" spans="1:25" ht="21" x14ac:dyDescent="0.4">
      <c r="A124" s="156"/>
      <c r="B124" s="173"/>
      <c r="C124" s="420" t="s">
        <v>322</v>
      </c>
      <c r="D124" s="444"/>
      <c r="E124" s="444"/>
      <c r="F124" s="444"/>
      <c r="G124" s="444"/>
      <c r="H124" s="444"/>
      <c r="I124" s="445"/>
      <c r="J124" s="5"/>
      <c r="K124" s="108"/>
      <c r="S124" s="117"/>
      <c r="T124" s="138"/>
      <c r="U124" s="138"/>
      <c r="V124" s="138"/>
      <c r="W124" s="138"/>
      <c r="X124" s="126"/>
      <c r="Y124" s="125"/>
    </row>
    <row r="125" spans="1:25" ht="14.4" customHeight="1" x14ac:dyDescent="0.4">
      <c r="A125" s="156"/>
      <c r="B125" s="376"/>
      <c r="C125" s="364"/>
      <c r="D125" s="377"/>
      <c r="E125" s="377"/>
      <c r="F125" s="377"/>
      <c r="G125" s="377"/>
      <c r="H125" s="377"/>
      <c r="I125" s="384"/>
      <c r="J125" s="5"/>
      <c r="K125" s="108"/>
      <c r="S125" s="117"/>
      <c r="T125" s="376"/>
      <c r="U125" s="376"/>
      <c r="V125" s="376"/>
      <c r="W125" s="376"/>
      <c r="X125" s="126"/>
      <c r="Y125" s="125"/>
    </row>
    <row r="126" spans="1:25" x14ac:dyDescent="0.3">
      <c r="A126" s="156"/>
      <c r="B126" s="173"/>
      <c r="C126" s="3"/>
      <c r="D126" s="33" t="s">
        <v>74</v>
      </c>
      <c r="E126" s="55" t="s">
        <v>88</v>
      </c>
      <c r="F126" s="173">
        <v>4</v>
      </c>
      <c r="G126" s="173">
        <v>2</v>
      </c>
      <c r="H126" s="376" t="s">
        <v>30</v>
      </c>
      <c r="I126" s="6"/>
      <c r="J126" s="5"/>
      <c r="K126" s="108"/>
      <c r="S126" s="117" t="s">
        <v>74</v>
      </c>
      <c r="T126" s="138" t="s">
        <v>88</v>
      </c>
      <c r="U126" s="138">
        <v>4</v>
      </c>
      <c r="V126" s="138">
        <v>2</v>
      </c>
      <c r="W126" s="138"/>
      <c r="X126" s="126">
        <f t="shared" ref="X126" si="20">(IF(U126&gt;V126,3,IF(U126=V126,1,2)))</f>
        <v>3</v>
      </c>
      <c r="Y126" s="125">
        <f t="shared" ref="Y126" si="21">(IF(V126&gt;U126,3,IF(U126=V126,1,2)))</f>
        <v>2</v>
      </c>
    </row>
    <row r="127" spans="1:25" x14ac:dyDescent="0.3">
      <c r="A127" s="156"/>
      <c r="B127" s="173"/>
      <c r="C127" s="3"/>
      <c r="D127" s="173"/>
      <c r="E127" s="33"/>
      <c r="F127" s="33"/>
      <c r="G127" s="309"/>
      <c r="H127" s="309"/>
      <c r="I127" s="6"/>
      <c r="J127" s="5"/>
      <c r="K127" s="108"/>
      <c r="S127" s="117"/>
      <c r="T127" s="138"/>
      <c r="U127" s="138"/>
      <c r="V127" s="138"/>
      <c r="W127" s="138"/>
      <c r="X127" s="138"/>
      <c r="Y127" s="118"/>
    </row>
    <row r="128" spans="1:25" ht="15" thickBot="1" x14ac:dyDescent="0.35">
      <c r="A128" s="176"/>
      <c r="B128" s="173"/>
      <c r="C128" s="3"/>
      <c r="D128" s="173"/>
      <c r="E128" s="33"/>
      <c r="F128" s="33" t="s">
        <v>281</v>
      </c>
      <c r="G128" s="309" t="s">
        <v>282</v>
      </c>
      <c r="H128" s="309"/>
      <c r="I128" s="6"/>
      <c r="J128" s="5"/>
      <c r="K128" s="108"/>
      <c r="S128" s="117"/>
      <c r="T128" s="138"/>
      <c r="U128" s="138"/>
      <c r="V128" s="138"/>
      <c r="W128" s="138"/>
      <c r="X128" s="126"/>
      <c r="Y128" s="125"/>
    </row>
    <row r="129" spans="1:25" ht="15" thickBot="1" x14ac:dyDescent="0.35">
      <c r="A129" s="176"/>
      <c r="B129" s="173"/>
      <c r="C129" s="7"/>
      <c r="D129" s="178"/>
      <c r="E129" s="59"/>
      <c r="F129" s="59"/>
      <c r="G129" s="92"/>
      <c r="H129" s="92"/>
      <c r="I129" s="9"/>
      <c r="J129" s="5"/>
      <c r="K129" s="108"/>
      <c r="S129" s="115"/>
      <c r="T129" s="115"/>
      <c r="U129" s="115"/>
      <c r="V129" s="115"/>
      <c r="W129" s="115"/>
      <c r="X129" s="153"/>
      <c r="Y129" s="153"/>
    </row>
    <row r="130" spans="1:25" x14ac:dyDescent="0.3">
      <c r="A130" s="176"/>
      <c r="B130" s="173"/>
      <c r="C130" s="173"/>
      <c r="D130" s="173"/>
      <c r="E130" s="173"/>
      <c r="F130" s="173"/>
      <c r="G130" s="5"/>
      <c r="H130" s="5"/>
      <c r="I130" s="5"/>
      <c r="J130" s="5"/>
      <c r="K130" s="108"/>
      <c r="S130" s="146"/>
      <c r="T130" s="146"/>
      <c r="U130" s="146"/>
      <c r="V130" s="146"/>
      <c r="W130" s="146"/>
      <c r="X130" s="126"/>
      <c r="Y130" s="126"/>
    </row>
    <row r="131" spans="1:25" x14ac:dyDescent="0.3">
      <c r="A131" s="176"/>
      <c r="B131" s="173"/>
      <c r="C131" s="173"/>
      <c r="D131" s="173"/>
      <c r="E131" s="173"/>
      <c r="F131" s="173"/>
      <c r="G131" s="5"/>
      <c r="H131" s="5"/>
      <c r="I131" s="5"/>
      <c r="J131" s="5"/>
      <c r="K131" s="108"/>
      <c r="S131" s="146"/>
      <c r="T131" s="146"/>
      <c r="U131" s="146"/>
      <c r="V131" s="146"/>
      <c r="W131" s="146"/>
      <c r="X131" s="126"/>
      <c r="Y131" s="126"/>
    </row>
    <row r="132" spans="1:25" x14ac:dyDescent="0.3">
      <c r="A132" s="176"/>
      <c r="B132" s="173"/>
      <c r="C132" s="173"/>
      <c r="D132" s="173"/>
      <c r="E132" s="173"/>
      <c r="F132" s="173"/>
      <c r="G132" s="5"/>
      <c r="H132" s="5"/>
      <c r="I132" s="5"/>
      <c r="J132" s="5"/>
      <c r="K132" s="108"/>
      <c r="S132" s="146"/>
      <c r="T132" s="146"/>
      <c r="U132" s="146"/>
      <c r="V132" s="146"/>
      <c r="W132" s="146"/>
      <c r="X132" s="126"/>
      <c r="Y132" s="126"/>
    </row>
    <row r="133" spans="1:25" x14ac:dyDescent="0.3">
      <c r="A133" s="176"/>
      <c r="B133" s="173"/>
      <c r="C133" s="173"/>
      <c r="D133" s="173"/>
      <c r="E133" s="173"/>
      <c r="F133" s="173"/>
      <c r="G133" s="5"/>
      <c r="H133" s="5"/>
      <c r="I133" s="5"/>
      <c r="J133" s="5"/>
      <c r="K133" s="108"/>
      <c r="S133" s="146"/>
      <c r="T133" s="146"/>
      <c r="U133" s="146"/>
      <c r="V133" s="146"/>
      <c r="W133" s="146"/>
      <c r="X133" s="126"/>
      <c r="Y133" s="126"/>
    </row>
    <row r="134" spans="1:25" ht="15" thickBot="1" x14ac:dyDescent="0.35">
      <c r="A134" s="176"/>
      <c r="B134" s="173" t="s">
        <v>298</v>
      </c>
      <c r="C134" s="173" t="s">
        <v>12</v>
      </c>
      <c r="D134" s="173" t="s">
        <v>13</v>
      </c>
      <c r="E134" s="173" t="s">
        <v>14</v>
      </c>
      <c r="F134" s="173" t="s">
        <v>15</v>
      </c>
      <c r="G134" s="5" t="s">
        <v>24</v>
      </c>
      <c r="H134" s="5" t="s">
        <v>25</v>
      </c>
      <c r="I134" s="5" t="s">
        <v>26</v>
      </c>
      <c r="J134" s="5" t="s">
        <v>27</v>
      </c>
      <c r="K134" s="108"/>
      <c r="S134" s="146"/>
      <c r="T134" s="146"/>
      <c r="U134" s="146"/>
      <c r="V134" s="146"/>
      <c r="W134" s="146"/>
      <c r="X134" s="126"/>
      <c r="Y134" s="126"/>
    </row>
    <row r="135" spans="1:25" s="13" customFormat="1" x14ac:dyDescent="0.3">
      <c r="A135" s="24"/>
      <c r="B135" s="14" t="s">
        <v>74</v>
      </c>
      <c r="C135" s="179">
        <f>COUNTIF($S$12:$T$126,"England")</f>
        <v>6</v>
      </c>
      <c r="D135" s="124">
        <f t="shared" ref="D135:D150" si="22">SUMPRODUCT(($S$12:$T$126=B135)*($X$12:$Y$126=3))</f>
        <v>5</v>
      </c>
      <c r="E135" s="124">
        <f t="shared" ref="E135:E150" si="23">SUMPRODUCT(($S$12:$T$126=B135)*($X$12:$Y$126=1))</f>
        <v>1</v>
      </c>
      <c r="F135" s="124">
        <f t="shared" ref="F135:F150" si="24">SUMPRODUCT(($S$12:$T$126=B135)*($X$12:$Y$126=2))</f>
        <v>0</v>
      </c>
      <c r="G135" s="124">
        <f t="shared" ref="G135:G150" si="25">SUMPRODUCT(($S$12:$S$126=B135)*($U$12:$U$126))+SUMPRODUCT(($T$12:$T$126=B135)*($V$12:$V$126))</f>
        <v>11</v>
      </c>
      <c r="H135" s="124">
        <f t="shared" ref="H135:H150" si="26">SUMPRODUCT(($S$12:$S$126=B135)*($V$12:$V$126))+SUMPRODUCT(($T$12:$T$126=B135)*($U$12:$U$126))</f>
        <v>3</v>
      </c>
      <c r="I135" s="15">
        <f t="shared" ref="I135:I150" si="27">(D135*2)+E135</f>
        <v>11</v>
      </c>
      <c r="J135" s="16">
        <f t="shared" ref="J135:J150" si="28">(F135*2)+E135</f>
        <v>1</v>
      </c>
      <c r="K135" s="109"/>
      <c r="S135" s="17"/>
      <c r="T135" s="17"/>
      <c r="U135" s="17"/>
      <c r="V135" s="17"/>
      <c r="W135" s="17"/>
      <c r="X135" s="126"/>
      <c r="Y135" s="126"/>
    </row>
    <row r="136" spans="1:25" s="13" customFormat="1" x14ac:dyDescent="0.3">
      <c r="A136" s="24"/>
      <c r="B136" s="21" t="s">
        <v>133</v>
      </c>
      <c r="C136" s="17">
        <f>COUNTIF($S$12:$T$126,"Portugal")</f>
        <v>6</v>
      </c>
      <c r="D136" s="43">
        <f t="shared" si="22"/>
        <v>5</v>
      </c>
      <c r="E136" s="43">
        <f t="shared" si="23"/>
        <v>0</v>
      </c>
      <c r="F136" s="43">
        <f t="shared" si="24"/>
        <v>1</v>
      </c>
      <c r="G136" s="43">
        <f t="shared" si="25"/>
        <v>17</v>
      </c>
      <c r="H136" s="43">
        <f t="shared" si="26"/>
        <v>8</v>
      </c>
      <c r="I136" s="18">
        <f t="shared" si="27"/>
        <v>10</v>
      </c>
      <c r="J136" s="22">
        <f t="shared" si="28"/>
        <v>2</v>
      </c>
      <c r="K136" s="109"/>
      <c r="S136" s="146"/>
      <c r="T136" s="146"/>
      <c r="U136" s="146"/>
      <c r="V136" s="146"/>
      <c r="W136" s="146"/>
      <c r="X136" s="146"/>
      <c r="Y136" s="146"/>
    </row>
    <row r="137" spans="1:25" s="13" customFormat="1" x14ac:dyDescent="0.3">
      <c r="A137" s="24"/>
      <c r="B137" s="21" t="s">
        <v>88</v>
      </c>
      <c r="C137" s="17">
        <f>COUNTIF($S$12:$T$126,"BRD")</f>
        <v>6</v>
      </c>
      <c r="D137" s="43">
        <f t="shared" si="22"/>
        <v>4</v>
      </c>
      <c r="E137" s="43">
        <f t="shared" si="23"/>
        <v>1</v>
      </c>
      <c r="F137" s="43">
        <f t="shared" si="24"/>
        <v>1</v>
      </c>
      <c r="G137" s="43">
        <f t="shared" si="25"/>
        <v>15</v>
      </c>
      <c r="H137" s="43">
        <f t="shared" si="26"/>
        <v>6</v>
      </c>
      <c r="I137" s="18">
        <f t="shared" si="27"/>
        <v>9</v>
      </c>
      <c r="J137" s="22">
        <f t="shared" si="28"/>
        <v>3</v>
      </c>
      <c r="K137" s="109"/>
      <c r="S137" s="17"/>
      <c r="T137" s="17"/>
      <c r="U137" s="17"/>
      <c r="V137" s="17"/>
      <c r="W137" s="17"/>
      <c r="X137" s="17"/>
      <c r="Y137" s="17"/>
    </row>
    <row r="138" spans="1:25" s="13" customFormat="1" x14ac:dyDescent="0.3">
      <c r="A138" s="24"/>
      <c r="B138" s="21" t="s">
        <v>101</v>
      </c>
      <c r="C138" s="17">
        <f>COUNTIF($S$12:$T$126,"UdSSR")</f>
        <v>6</v>
      </c>
      <c r="D138" s="43">
        <f t="shared" si="22"/>
        <v>4</v>
      </c>
      <c r="E138" s="43">
        <f t="shared" si="23"/>
        <v>0</v>
      </c>
      <c r="F138" s="43">
        <f t="shared" si="24"/>
        <v>2</v>
      </c>
      <c r="G138" s="43">
        <f t="shared" si="25"/>
        <v>10</v>
      </c>
      <c r="H138" s="43">
        <f t="shared" si="26"/>
        <v>6</v>
      </c>
      <c r="I138" s="18">
        <f t="shared" si="27"/>
        <v>8</v>
      </c>
      <c r="J138" s="22">
        <f t="shared" si="28"/>
        <v>4</v>
      </c>
      <c r="K138" s="109"/>
      <c r="S138" s="146"/>
      <c r="T138" s="146"/>
      <c r="U138" s="146"/>
      <c r="V138" s="146"/>
      <c r="W138" s="146"/>
      <c r="X138" s="126"/>
      <c r="Y138" s="126"/>
    </row>
    <row r="139" spans="1:25" s="13" customFormat="1" x14ac:dyDescent="0.3">
      <c r="A139" s="24"/>
      <c r="B139" s="21" t="s">
        <v>5</v>
      </c>
      <c r="C139" s="17">
        <f>COUNTIF($S$12:$T$126,"Argentinien")</f>
        <v>4</v>
      </c>
      <c r="D139" s="43">
        <f t="shared" si="22"/>
        <v>2</v>
      </c>
      <c r="E139" s="43">
        <f t="shared" si="23"/>
        <v>1</v>
      </c>
      <c r="F139" s="43">
        <f t="shared" si="24"/>
        <v>1</v>
      </c>
      <c r="G139" s="43">
        <f t="shared" si="25"/>
        <v>4</v>
      </c>
      <c r="H139" s="43">
        <f t="shared" si="26"/>
        <v>2</v>
      </c>
      <c r="I139" s="18">
        <f t="shared" si="27"/>
        <v>5</v>
      </c>
      <c r="J139" s="22">
        <f t="shared" si="28"/>
        <v>3</v>
      </c>
      <c r="K139" s="109"/>
      <c r="S139" s="146"/>
      <c r="T139" s="146"/>
      <c r="U139" s="146"/>
      <c r="V139" s="146"/>
      <c r="W139" s="146"/>
      <c r="X139" s="126"/>
      <c r="Y139" s="126"/>
    </row>
    <row r="140" spans="1:25" s="13" customFormat="1" x14ac:dyDescent="0.3">
      <c r="A140" s="24"/>
      <c r="B140" s="21" t="s">
        <v>32</v>
      </c>
      <c r="C140" s="17">
        <f>COUNTIF($S$12:$T$126,"Ungarn")</f>
        <v>4</v>
      </c>
      <c r="D140" s="43">
        <f t="shared" si="22"/>
        <v>2</v>
      </c>
      <c r="E140" s="43">
        <f t="shared" si="23"/>
        <v>0</v>
      </c>
      <c r="F140" s="43">
        <f t="shared" si="24"/>
        <v>2</v>
      </c>
      <c r="G140" s="43">
        <f t="shared" si="25"/>
        <v>8</v>
      </c>
      <c r="H140" s="43">
        <f t="shared" si="26"/>
        <v>7</v>
      </c>
      <c r="I140" s="18">
        <f t="shared" si="27"/>
        <v>4</v>
      </c>
      <c r="J140" s="22">
        <f t="shared" si="28"/>
        <v>4</v>
      </c>
      <c r="K140" s="109"/>
      <c r="S140" s="146"/>
      <c r="T140" s="146"/>
      <c r="U140" s="146"/>
      <c r="V140" s="146"/>
      <c r="W140" s="146"/>
      <c r="X140" s="126"/>
      <c r="Y140" s="126"/>
    </row>
    <row r="141" spans="1:25" s="13" customFormat="1" x14ac:dyDescent="0.3">
      <c r="A141" s="24"/>
      <c r="B141" s="21" t="s">
        <v>18</v>
      </c>
      <c r="C141" s="17">
        <f>COUNTIF($S$12:$T$126,"Uruguay")</f>
        <v>4</v>
      </c>
      <c r="D141" s="43">
        <f t="shared" si="22"/>
        <v>1</v>
      </c>
      <c r="E141" s="43">
        <f t="shared" si="23"/>
        <v>2</v>
      </c>
      <c r="F141" s="43">
        <f t="shared" si="24"/>
        <v>1</v>
      </c>
      <c r="G141" s="43">
        <f t="shared" si="25"/>
        <v>2</v>
      </c>
      <c r="H141" s="43">
        <f t="shared" si="26"/>
        <v>5</v>
      </c>
      <c r="I141" s="18">
        <f t="shared" si="27"/>
        <v>4</v>
      </c>
      <c r="J141" s="22">
        <f t="shared" si="28"/>
        <v>4</v>
      </c>
      <c r="K141" s="109"/>
      <c r="S141" s="17"/>
      <c r="T141" s="17"/>
      <c r="U141" s="17"/>
      <c r="V141" s="17"/>
      <c r="W141" s="17"/>
      <c r="X141" s="126"/>
      <c r="Y141" s="126"/>
    </row>
    <row r="142" spans="1:25" s="13" customFormat="1" x14ac:dyDescent="0.3">
      <c r="A142" s="24"/>
      <c r="B142" s="21" t="s">
        <v>136</v>
      </c>
      <c r="C142" s="17">
        <f>COUNTIF($S$12:$T$126,"Nordkorea")</f>
        <v>4</v>
      </c>
      <c r="D142" s="43">
        <f t="shared" si="22"/>
        <v>1</v>
      </c>
      <c r="E142" s="43">
        <f t="shared" si="23"/>
        <v>1</v>
      </c>
      <c r="F142" s="43">
        <f t="shared" si="24"/>
        <v>2</v>
      </c>
      <c r="G142" s="43">
        <f t="shared" si="25"/>
        <v>5</v>
      </c>
      <c r="H142" s="43">
        <f t="shared" si="26"/>
        <v>9</v>
      </c>
      <c r="I142" s="18">
        <f t="shared" si="27"/>
        <v>3</v>
      </c>
      <c r="J142" s="22">
        <f t="shared" si="28"/>
        <v>5</v>
      </c>
      <c r="K142" s="109"/>
      <c r="S142" s="146"/>
      <c r="T142" s="146"/>
      <c r="U142" s="146"/>
      <c r="V142" s="146"/>
      <c r="W142" s="146"/>
      <c r="X142" s="126"/>
      <c r="Y142" s="126"/>
    </row>
    <row r="143" spans="1:25" s="13" customFormat="1" x14ac:dyDescent="0.3">
      <c r="A143" s="24"/>
      <c r="B143" s="21" t="s">
        <v>35</v>
      </c>
      <c r="C143" s="17">
        <f>COUNTIF($S$12:$T$126,"Spanien")</f>
        <v>3</v>
      </c>
      <c r="D143" s="43">
        <f t="shared" si="22"/>
        <v>1</v>
      </c>
      <c r="E143" s="43">
        <f t="shared" si="23"/>
        <v>0</v>
      </c>
      <c r="F143" s="43">
        <f t="shared" si="24"/>
        <v>2</v>
      </c>
      <c r="G143" s="43">
        <f t="shared" si="25"/>
        <v>4</v>
      </c>
      <c r="H143" s="43">
        <f t="shared" si="26"/>
        <v>5</v>
      </c>
      <c r="I143" s="18">
        <f t="shared" si="27"/>
        <v>2</v>
      </c>
      <c r="J143" s="22">
        <f t="shared" si="28"/>
        <v>4</v>
      </c>
      <c r="K143" s="109"/>
      <c r="S143" s="146"/>
      <c r="T143" s="146"/>
      <c r="U143" s="146"/>
      <c r="V143" s="146"/>
      <c r="W143" s="146"/>
      <c r="X143" s="146"/>
      <c r="Y143" s="146"/>
    </row>
    <row r="144" spans="1:25" s="13" customFormat="1" x14ac:dyDescent="0.3">
      <c r="A144" s="24"/>
      <c r="B144" s="21" t="s">
        <v>9</v>
      </c>
      <c r="C144" s="17">
        <f>COUNTIF($S$12:$T$126,"Brasilien")</f>
        <v>3</v>
      </c>
      <c r="D144" s="43">
        <f t="shared" si="22"/>
        <v>1</v>
      </c>
      <c r="E144" s="43">
        <f t="shared" si="23"/>
        <v>0</v>
      </c>
      <c r="F144" s="43">
        <f t="shared" si="24"/>
        <v>2</v>
      </c>
      <c r="G144" s="43">
        <f t="shared" si="25"/>
        <v>4</v>
      </c>
      <c r="H144" s="43">
        <f t="shared" si="26"/>
        <v>6</v>
      </c>
      <c r="I144" s="18">
        <f t="shared" si="27"/>
        <v>2</v>
      </c>
      <c r="J144" s="22">
        <f t="shared" si="28"/>
        <v>4</v>
      </c>
      <c r="K144" s="109"/>
      <c r="S144" s="17"/>
      <c r="T144" s="17"/>
      <c r="U144" s="17"/>
      <c r="V144" s="17"/>
      <c r="W144" s="17"/>
      <c r="X144" s="17"/>
      <c r="Y144" s="17"/>
    </row>
    <row r="145" spans="1:25" s="13" customFormat="1" x14ac:dyDescent="0.3">
      <c r="A145" s="24"/>
      <c r="B145" s="21" t="s">
        <v>37</v>
      </c>
      <c r="C145" s="17">
        <f>COUNTIF($S$12:$T$126,"Italien")</f>
        <v>3</v>
      </c>
      <c r="D145" s="43">
        <f t="shared" si="22"/>
        <v>1</v>
      </c>
      <c r="E145" s="43">
        <f t="shared" si="23"/>
        <v>0</v>
      </c>
      <c r="F145" s="43">
        <f t="shared" si="24"/>
        <v>2</v>
      </c>
      <c r="G145" s="43">
        <f t="shared" si="25"/>
        <v>2</v>
      </c>
      <c r="H145" s="43">
        <f t="shared" si="26"/>
        <v>2</v>
      </c>
      <c r="I145" s="18">
        <f t="shared" si="27"/>
        <v>2</v>
      </c>
      <c r="J145" s="22">
        <f t="shared" si="28"/>
        <v>4</v>
      </c>
      <c r="K145" s="109"/>
      <c r="S145" s="146"/>
      <c r="T145" s="146"/>
      <c r="U145" s="146"/>
      <c r="V145" s="146"/>
      <c r="W145" s="146"/>
      <c r="X145" s="126"/>
      <c r="Y145" s="126"/>
    </row>
    <row r="146" spans="1:25" s="13" customFormat="1" x14ac:dyDescent="0.3">
      <c r="A146" s="24"/>
      <c r="B146" s="21" t="s">
        <v>4</v>
      </c>
      <c r="C146" s="17">
        <f>COUNTIF($S$12:$T$126,"Mexiko")</f>
        <v>3</v>
      </c>
      <c r="D146" s="43">
        <f t="shared" si="22"/>
        <v>0</v>
      </c>
      <c r="E146" s="43">
        <f t="shared" si="23"/>
        <v>2</v>
      </c>
      <c r="F146" s="43">
        <f t="shared" si="24"/>
        <v>1</v>
      </c>
      <c r="G146" s="43">
        <f t="shared" si="25"/>
        <v>1</v>
      </c>
      <c r="H146" s="43">
        <f t="shared" si="26"/>
        <v>3</v>
      </c>
      <c r="I146" s="18">
        <f t="shared" si="27"/>
        <v>2</v>
      </c>
      <c r="J146" s="22">
        <f t="shared" si="28"/>
        <v>4</v>
      </c>
      <c r="K146" s="109"/>
      <c r="S146" s="146"/>
      <c r="T146" s="146"/>
      <c r="U146" s="146"/>
      <c r="V146" s="146"/>
      <c r="W146" s="146"/>
      <c r="X146" s="146"/>
      <c r="Y146" s="146"/>
    </row>
    <row r="147" spans="1:25" s="13" customFormat="1" x14ac:dyDescent="0.3">
      <c r="A147" s="24"/>
      <c r="B147" s="21" t="s">
        <v>3</v>
      </c>
      <c r="C147" s="17">
        <f>COUNTIF($S$12:$T$126,"Frankreich")</f>
        <v>3</v>
      </c>
      <c r="D147" s="43">
        <f t="shared" si="22"/>
        <v>0</v>
      </c>
      <c r="E147" s="43">
        <f t="shared" si="23"/>
        <v>1</v>
      </c>
      <c r="F147" s="43">
        <f t="shared" si="24"/>
        <v>2</v>
      </c>
      <c r="G147" s="43">
        <f t="shared" si="25"/>
        <v>2</v>
      </c>
      <c r="H147" s="43">
        <f t="shared" si="26"/>
        <v>5</v>
      </c>
      <c r="I147" s="18">
        <f t="shared" si="27"/>
        <v>1</v>
      </c>
      <c r="J147" s="22">
        <f t="shared" si="28"/>
        <v>5</v>
      </c>
      <c r="K147" s="109"/>
      <c r="S147" s="17"/>
      <c r="T147" s="17"/>
      <c r="U147" s="17"/>
      <c r="V147" s="17"/>
      <c r="W147" s="17"/>
      <c r="X147" s="126"/>
      <c r="Y147" s="126"/>
    </row>
    <row r="148" spans="1:25" s="13" customFormat="1" x14ac:dyDescent="0.3">
      <c r="A148" s="24"/>
      <c r="B148" s="21" t="s">
        <v>6</v>
      </c>
      <c r="C148" s="17">
        <f>COUNTIF($S$12:$T$126,"Chile")</f>
        <v>3</v>
      </c>
      <c r="D148" s="43">
        <f t="shared" si="22"/>
        <v>0</v>
      </c>
      <c r="E148" s="43">
        <f t="shared" si="23"/>
        <v>1</v>
      </c>
      <c r="F148" s="43">
        <f t="shared" si="24"/>
        <v>2</v>
      </c>
      <c r="G148" s="43">
        <f t="shared" si="25"/>
        <v>2</v>
      </c>
      <c r="H148" s="43">
        <f t="shared" si="26"/>
        <v>5</v>
      </c>
      <c r="I148" s="18">
        <f t="shared" si="27"/>
        <v>1</v>
      </c>
      <c r="J148" s="22">
        <f t="shared" si="28"/>
        <v>5</v>
      </c>
      <c r="K148" s="109"/>
      <c r="S148" s="17"/>
      <c r="T148" s="17"/>
      <c r="U148" s="17"/>
      <c r="V148" s="17"/>
      <c r="W148" s="17"/>
      <c r="X148" s="17"/>
      <c r="Y148" s="17"/>
    </row>
    <row r="149" spans="1:25" s="13" customFormat="1" x14ac:dyDescent="0.3">
      <c r="A149" s="24"/>
      <c r="B149" s="21" t="s">
        <v>125</v>
      </c>
      <c r="C149" s="17">
        <f>COUNTIF($S$12:$T$126,"Bulgarien")</f>
        <v>3</v>
      </c>
      <c r="D149" s="43">
        <f t="shared" si="22"/>
        <v>0</v>
      </c>
      <c r="E149" s="43">
        <f t="shared" si="23"/>
        <v>0</v>
      </c>
      <c r="F149" s="43">
        <f t="shared" si="24"/>
        <v>3</v>
      </c>
      <c r="G149" s="43">
        <f t="shared" si="25"/>
        <v>1</v>
      </c>
      <c r="H149" s="43">
        <f t="shared" si="26"/>
        <v>8</v>
      </c>
      <c r="I149" s="18">
        <f t="shared" si="27"/>
        <v>0</v>
      </c>
      <c r="J149" s="22">
        <f t="shared" si="28"/>
        <v>6</v>
      </c>
      <c r="K149" s="109"/>
      <c r="S149" s="146"/>
      <c r="T149" s="146"/>
      <c r="U149" s="146"/>
      <c r="V149" s="146"/>
      <c r="W149" s="146"/>
      <c r="X149" s="146"/>
      <c r="Y149" s="146"/>
    </row>
    <row r="150" spans="1:25" s="13" customFormat="1" ht="15" thickBot="1" x14ac:dyDescent="0.35">
      <c r="A150" s="24"/>
      <c r="B150" s="29" t="s">
        <v>43</v>
      </c>
      <c r="C150" s="30">
        <f>COUNTIF($S$12:$T$126,"Schweiz")</f>
        <v>3</v>
      </c>
      <c r="D150" s="80">
        <f t="shared" si="22"/>
        <v>0</v>
      </c>
      <c r="E150" s="80">
        <f t="shared" si="23"/>
        <v>0</v>
      </c>
      <c r="F150" s="80">
        <f t="shared" si="24"/>
        <v>3</v>
      </c>
      <c r="G150" s="80">
        <f t="shared" si="25"/>
        <v>1</v>
      </c>
      <c r="H150" s="80">
        <f t="shared" si="26"/>
        <v>9</v>
      </c>
      <c r="I150" s="31">
        <f t="shared" si="27"/>
        <v>0</v>
      </c>
      <c r="J150" s="32">
        <f t="shared" si="28"/>
        <v>6</v>
      </c>
      <c r="K150" s="109"/>
      <c r="S150" s="146"/>
      <c r="T150" s="146"/>
      <c r="U150" s="146"/>
      <c r="V150" s="146"/>
      <c r="W150" s="146"/>
      <c r="X150" s="146"/>
      <c r="Y150" s="146"/>
    </row>
    <row r="151" spans="1:25" x14ac:dyDescent="0.3">
      <c r="A151" s="176"/>
      <c r="B151" s="173"/>
      <c r="C151" s="173"/>
      <c r="D151" s="173"/>
      <c r="E151" s="173"/>
      <c r="F151" s="173"/>
      <c r="G151" s="5"/>
      <c r="H151" s="5"/>
      <c r="I151" s="5"/>
      <c r="J151" s="5"/>
      <c r="K151" s="108"/>
      <c r="S151" s="146"/>
      <c r="T151" s="146"/>
      <c r="U151" s="146"/>
      <c r="V151" s="146"/>
      <c r="W151" s="146"/>
      <c r="X151" s="146"/>
      <c r="Y151" s="146"/>
    </row>
    <row r="152" spans="1:25" ht="15" thickBot="1" x14ac:dyDescent="0.35">
      <c r="A152" s="110"/>
      <c r="B152" s="36"/>
      <c r="C152" s="36"/>
      <c r="D152" s="36"/>
      <c r="E152" s="36"/>
      <c r="F152" s="36"/>
      <c r="G152" s="37"/>
      <c r="H152" s="37"/>
      <c r="I152" s="37"/>
      <c r="J152" s="37"/>
      <c r="K152" s="193"/>
      <c r="S152" s="146"/>
      <c r="T152" s="146"/>
      <c r="U152" s="146"/>
      <c r="V152" s="146"/>
      <c r="W152" s="146"/>
      <c r="X152" s="146"/>
      <c r="Y152" s="146"/>
    </row>
    <row r="153" spans="1:25" ht="15" thickTop="1" x14ac:dyDescent="0.3">
      <c r="S153" s="146"/>
      <c r="T153" s="146"/>
      <c r="U153" s="146"/>
      <c r="V153" s="146"/>
      <c r="W153" s="146"/>
      <c r="X153" s="146"/>
      <c r="Y153" s="146"/>
    </row>
    <row r="154" spans="1:25" x14ac:dyDescent="0.3">
      <c r="S154" s="146"/>
      <c r="T154" s="146"/>
      <c r="U154" s="146"/>
      <c r="V154" s="146"/>
      <c r="W154" s="146"/>
      <c r="X154" s="146"/>
      <c r="Y154" s="146"/>
    </row>
    <row r="155" spans="1:25" x14ac:dyDescent="0.3">
      <c r="S155" s="17"/>
      <c r="T155" s="17"/>
      <c r="U155" s="17"/>
      <c r="V155" s="17"/>
      <c r="W155" s="17"/>
      <c r="X155" s="17"/>
      <c r="Y155" s="17"/>
    </row>
    <row r="156" spans="1:25" x14ac:dyDescent="0.3">
      <c r="S156" s="146"/>
      <c r="T156" s="146"/>
      <c r="U156" s="146"/>
      <c r="V156" s="146"/>
      <c r="W156" s="146"/>
      <c r="X156" s="146"/>
      <c r="Y156" s="146"/>
    </row>
    <row r="157" spans="1:25" x14ac:dyDescent="0.3">
      <c r="S157" s="146"/>
      <c r="T157" s="146"/>
      <c r="U157" s="146"/>
      <c r="V157" s="146"/>
      <c r="W157" s="146"/>
      <c r="X157" s="146"/>
      <c r="Y157" s="146"/>
    </row>
    <row r="158" spans="1:25" x14ac:dyDescent="0.3">
      <c r="S158" s="146"/>
      <c r="T158" s="146"/>
      <c r="U158" s="146"/>
      <c r="V158" s="146"/>
      <c r="W158" s="146"/>
      <c r="X158" s="126"/>
      <c r="Y158" s="126"/>
    </row>
    <row r="159" spans="1:25" x14ac:dyDescent="0.3">
      <c r="S159" s="146"/>
      <c r="T159" s="146"/>
      <c r="U159" s="146"/>
      <c r="V159" s="146"/>
      <c r="W159" s="146"/>
      <c r="X159" s="126"/>
      <c r="Y159" s="126"/>
    </row>
    <row r="160" spans="1:25" x14ac:dyDescent="0.3">
      <c r="S160" s="146"/>
      <c r="T160" s="146"/>
      <c r="U160" s="146"/>
      <c r="V160" s="146"/>
      <c r="W160" s="146"/>
      <c r="X160" s="146"/>
      <c r="Y160" s="146"/>
    </row>
    <row r="161" spans="19:25" x14ac:dyDescent="0.3">
      <c r="S161" s="146"/>
      <c r="T161" s="146"/>
      <c r="U161" s="146"/>
      <c r="V161" s="146"/>
      <c r="W161" s="146"/>
      <c r="X161" s="146"/>
      <c r="Y161" s="146"/>
    </row>
    <row r="162" spans="19:25" x14ac:dyDescent="0.3">
      <c r="S162" s="146"/>
      <c r="T162" s="146"/>
      <c r="U162" s="146"/>
      <c r="V162" s="146"/>
      <c r="W162" s="146"/>
      <c r="X162" s="146"/>
      <c r="Y162" s="146"/>
    </row>
    <row r="163" spans="19:25" x14ac:dyDescent="0.3">
      <c r="S163" s="146"/>
      <c r="T163" s="146"/>
      <c r="U163" s="146"/>
      <c r="V163" s="146"/>
      <c r="W163" s="146"/>
      <c r="X163" s="146"/>
      <c r="Y163" s="146"/>
    </row>
    <row r="164" spans="19:25" x14ac:dyDescent="0.3">
      <c r="S164" s="146"/>
      <c r="T164" s="146"/>
      <c r="U164" s="146"/>
      <c r="V164" s="146"/>
      <c r="W164" s="146"/>
      <c r="X164" s="146"/>
      <c r="Y164" s="146"/>
    </row>
    <row r="165" spans="19:25" x14ac:dyDescent="0.3">
      <c r="S165" s="146"/>
      <c r="T165" s="146"/>
      <c r="U165" s="146"/>
      <c r="V165" s="146"/>
      <c r="W165" s="146"/>
      <c r="X165" s="146"/>
      <c r="Y165" s="146"/>
    </row>
    <row r="166" spans="19:25" x14ac:dyDescent="0.3">
      <c r="S166" s="146"/>
      <c r="T166" s="146"/>
      <c r="U166" s="146"/>
      <c r="V166" s="146"/>
      <c r="W166" s="146"/>
      <c r="X166" s="126"/>
      <c r="Y166" s="126"/>
    </row>
    <row r="167" spans="19:25" x14ac:dyDescent="0.3">
      <c r="S167" s="17"/>
      <c r="T167" s="17"/>
      <c r="U167" s="17"/>
      <c r="V167" s="17"/>
      <c r="W167" s="17"/>
      <c r="X167" s="17"/>
      <c r="Y167" s="17"/>
    </row>
    <row r="168" spans="19:25" x14ac:dyDescent="0.3">
      <c r="S168" s="146"/>
      <c r="T168" s="146"/>
      <c r="U168" s="146"/>
      <c r="V168" s="146"/>
      <c r="W168" s="146"/>
      <c r="X168" s="146"/>
      <c r="Y168" s="146"/>
    </row>
    <row r="169" spans="19:25" x14ac:dyDescent="0.3">
      <c r="S169" s="146"/>
      <c r="T169" s="146"/>
      <c r="U169" s="146"/>
      <c r="V169" s="146"/>
      <c r="W169" s="146"/>
      <c r="X169" s="146"/>
      <c r="Y169" s="146"/>
    </row>
    <row r="170" spans="19:25" x14ac:dyDescent="0.3">
      <c r="S170" s="146"/>
      <c r="T170" s="146"/>
      <c r="U170" s="146"/>
      <c r="V170" s="146"/>
      <c r="W170" s="146"/>
      <c r="X170" s="146"/>
      <c r="Y170" s="146"/>
    </row>
    <row r="171" spans="19:25" x14ac:dyDescent="0.3">
      <c r="S171" s="146"/>
      <c r="T171" s="146"/>
      <c r="U171" s="146"/>
      <c r="V171" s="146"/>
      <c r="W171" s="146"/>
      <c r="X171" s="146"/>
      <c r="Y171" s="146"/>
    </row>
    <row r="172" spans="19:25" x14ac:dyDescent="0.3">
      <c r="S172" s="146"/>
      <c r="T172" s="146"/>
      <c r="U172" s="146"/>
      <c r="V172" s="146"/>
      <c r="W172" s="146"/>
      <c r="X172" s="146"/>
      <c r="Y172" s="146"/>
    </row>
    <row r="173" spans="19:25" x14ac:dyDescent="0.3">
      <c r="S173" s="146"/>
      <c r="T173" s="146"/>
      <c r="U173" s="146"/>
      <c r="V173" s="146"/>
      <c r="W173" s="146"/>
      <c r="X173" s="146"/>
      <c r="Y173" s="146"/>
    </row>
    <row r="174" spans="19:25" x14ac:dyDescent="0.3">
      <c r="S174" s="146"/>
      <c r="T174" s="146"/>
      <c r="U174" s="146"/>
      <c r="V174" s="146"/>
      <c r="W174" s="146"/>
      <c r="X174" s="126"/>
      <c r="Y174" s="126"/>
    </row>
    <row r="175" spans="19:25" x14ac:dyDescent="0.3">
      <c r="S175" s="146"/>
      <c r="T175" s="146"/>
      <c r="U175" s="146"/>
      <c r="V175" s="146"/>
      <c r="W175" s="146"/>
      <c r="X175" s="146"/>
      <c r="Y175" s="146"/>
    </row>
    <row r="176" spans="19:25" x14ac:dyDescent="0.3">
      <c r="S176" s="146"/>
      <c r="T176" s="146"/>
      <c r="U176" s="146"/>
      <c r="V176" s="146"/>
      <c r="W176" s="146"/>
      <c r="X176" s="146"/>
      <c r="Y176" s="146"/>
    </row>
    <row r="177" spans="19:25" x14ac:dyDescent="0.3">
      <c r="S177" s="146"/>
      <c r="T177" s="146"/>
      <c r="U177" s="146"/>
      <c r="V177" s="146"/>
      <c r="W177" s="146"/>
      <c r="X177" s="146"/>
      <c r="Y177" s="146"/>
    </row>
    <row r="190" spans="19:25" x14ac:dyDescent="0.3">
      <c r="S190" s="10"/>
      <c r="T190" s="10"/>
      <c r="U190" s="10"/>
      <c r="V190" s="10"/>
      <c r="W190" s="10"/>
      <c r="X190" s="10"/>
      <c r="Y190" s="10"/>
    </row>
  </sheetData>
  <sortState ref="A132:Y148">
    <sortCondition descending="1" ref="I132:I148"/>
    <sortCondition ref="J132:J148"/>
    <sortCondition descending="1" ref="G132:G148"/>
    <sortCondition ref="H132:H148"/>
  </sortState>
  <mergeCells count="5">
    <mergeCell ref="A2:K2"/>
    <mergeCell ref="A4:K4"/>
    <mergeCell ref="A5:K5"/>
    <mergeCell ref="C115:I115"/>
    <mergeCell ref="C124:I124"/>
  </mergeCells>
  <pageMargins left="0.7" right="0.7" top="0.78740157499999996" bottom="0.78740157499999996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A193"/>
  <sheetViews>
    <sheetView topLeftCell="A133" workbookViewId="0">
      <selection activeCell="M147" sqref="M147"/>
    </sheetView>
  </sheetViews>
  <sheetFormatPr baseColWidth="10" defaultRowHeight="14.4" x14ac:dyDescent="0.3"/>
  <cols>
    <col min="1" max="6" width="11.77734375" style="1" customWidth="1"/>
    <col min="7" max="10" width="11.77734375" style="2" customWidth="1"/>
    <col min="11" max="18" width="11.77734375" customWidth="1"/>
    <col min="19" max="25" width="11.77734375" style="139" customWidth="1"/>
  </cols>
  <sheetData>
    <row r="1" spans="1:27" ht="15" thickTop="1" x14ac:dyDescent="0.3">
      <c r="A1" s="106"/>
      <c r="B1" s="25"/>
      <c r="C1" s="25"/>
      <c r="D1" s="25"/>
      <c r="E1" s="25"/>
      <c r="F1" s="25"/>
      <c r="G1" s="26"/>
      <c r="H1" s="26"/>
      <c r="I1" s="26"/>
      <c r="J1" s="26"/>
      <c r="K1" s="107"/>
      <c r="S1" s="114">
        <v>1</v>
      </c>
      <c r="T1" s="115">
        <v>2</v>
      </c>
      <c r="U1" s="115">
        <v>3</v>
      </c>
      <c r="V1" s="115">
        <v>4</v>
      </c>
      <c r="W1" s="115">
        <v>5</v>
      </c>
      <c r="X1" s="115">
        <v>6</v>
      </c>
      <c r="Y1" s="116">
        <v>7</v>
      </c>
    </row>
    <row r="2" spans="1:27" ht="46.2" x14ac:dyDescent="0.85">
      <c r="A2" s="425" t="s">
        <v>167</v>
      </c>
      <c r="B2" s="426"/>
      <c r="C2" s="426"/>
      <c r="D2" s="426"/>
      <c r="E2" s="426"/>
      <c r="F2" s="426"/>
      <c r="G2" s="426"/>
      <c r="H2" s="426"/>
      <c r="I2" s="426"/>
      <c r="J2" s="426"/>
      <c r="K2" s="437"/>
      <c r="S2" s="117"/>
      <c r="T2" s="138"/>
      <c r="U2" s="138"/>
      <c r="V2" s="138"/>
      <c r="W2" s="138"/>
      <c r="X2" s="138"/>
      <c r="Y2" s="118"/>
    </row>
    <row r="3" spans="1:27" x14ac:dyDescent="0.3">
      <c r="A3" s="176"/>
      <c r="B3" s="173"/>
      <c r="C3" s="173"/>
      <c r="D3" s="173"/>
      <c r="E3" s="173"/>
      <c r="F3" s="173"/>
      <c r="G3" s="5"/>
      <c r="H3" s="5"/>
      <c r="I3" s="5"/>
      <c r="J3" s="5"/>
      <c r="K3" s="108"/>
      <c r="S3" s="117"/>
      <c r="T3" s="138"/>
      <c r="U3" s="138"/>
      <c r="V3" s="138"/>
      <c r="W3" s="138"/>
      <c r="X3" s="138"/>
      <c r="Y3" s="118"/>
    </row>
    <row r="4" spans="1:27" ht="28.8" x14ac:dyDescent="0.55000000000000004">
      <c r="A4" s="428" t="s">
        <v>139</v>
      </c>
      <c r="B4" s="429"/>
      <c r="C4" s="429"/>
      <c r="D4" s="429"/>
      <c r="E4" s="429"/>
      <c r="F4" s="429"/>
      <c r="G4" s="429"/>
      <c r="H4" s="429"/>
      <c r="I4" s="429"/>
      <c r="J4" s="429"/>
      <c r="K4" s="438"/>
      <c r="S4" s="117"/>
      <c r="T4" s="138"/>
      <c r="U4" s="138"/>
      <c r="V4" s="138"/>
      <c r="W4" s="138"/>
      <c r="X4" s="138"/>
      <c r="Y4" s="118"/>
    </row>
    <row r="5" spans="1:27" ht="21" x14ac:dyDescent="0.4">
      <c r="A5" s="430" t="s">
        <v>319</v>
      </c>
      <c r="B5" s="431"/>
      <c r="C5" s="431"/>
      <c r="D5" s="431"/>
      <c r="E5" s="431"/>
      <c r="F5" s="431"/>
      <c r="G5" s="431"/>
      <c r="H5" s="431"/>
      <c r="I5" s="431"/>
      <c r="J5" s="431"/>
      <c r="K5" s="439"/>
      <c r="S5" s="117"/>
      <c r="T5" s="138"/>
      <c r="U5" s="138"/>
      <c r="V5" s="138"/>
      <c r="W5" s="138"/>
      <c r="X5" s="138"/>
      <c r="Y5" s="118"/>
    </row>
    <row r="6" spans="1:27" x14ac:dyDescent="0.3">
      <c r="A6" s="176"/>
      <c r="B6" s="173"/>
      <c r="C6" s="173"/>
      <c r="D6" s="173"/>
      <c r="E6" s="173"/>
      <c r="F6" s="173"/>
      <c r="G6" s="5"/>
      <c r="H6" s="5"/>
      <c r="I6" s="5"/>
      <c r="J6" s="5"/>
      <c r="K6" s="108"/>
      <c r="S6" s="117"/>
      <c r="T6" s="138"/>
      <c r="U6" s="138"/>
      <c r="V6" s="138"/>
      <c r="W6" s="138"/>
      <c r="X6" s="138"/>
      <c r="Y6" s="118"/>
    </row>
    <row r="7" spans="1:27" x14ac:dyDescent="0.3">
      <c r="A7" s="176"/>
      <c r="B7" s="173"/>
      <c r="C7" s="173"/>
      <c r="D7" s="173"/>
      <c r="E7" s="173"/>
      <c r="F7" s="173"/>
      <c r="G7" s="5"/>
      <c r="H7" s="5"/>
      <c r="I7" s="5"/>
      <c r="J7" s="5"/>
      <c r="K7" s="108"/>
      <c r="S7" s="117"/>
      <c r="T7" s="146"/>
      <c r="U7" s="146"/>
      <c r="V7" s="146"/>
      <c r="W7" s="146"/>
      <c r="X7" s="146"/>
      <c r="Y7" s="118"/>
    </row>
    <row r="8" spans="1:27" x14ac:dyDescent="0.3">
      <c r="A8" s="176"/>
      <c r="B8" s="173"/>
      <c r="C8" s="173"/>
      <c r="D8" s="173"/>
      <c r="E8" s="173"/>
      <c r="F8" s="173"/>
      <c r="G8" s="5"/>
      <c r="H8" s="5"/>
      <c r="I8" s="5"/>
      <c r="J8" s="5"/>
      <c r="K8" s="108"/>
      <c r="S8" s="117"/>
      <c r="T8" s="146"/>
      <c r="U8" s="146"/>
      <c r="V8" s="146"/>
      <c r="W8" s="146"/>
      <c r="X8" s="146"/>
      <c r="Y8" s="118"/>
    </row>
    <row r="9" spans="1:27" x14ac:dyDescent="0.3">
      <c r="A9" s="176"/>
      <c r="B9" s="173"/>
      <c r="C9" s="173"/>
      <c r="D9" s="173"/>
      <c r="E9" s="173"/>
      <c r="F9" s="173"/>
      <c r="G9" s="5"/>
      <c r="H9" s="5"/>
      <c r="I9" s="5"/>
      <c r="J9" s="5"/>
      <c r="K9" s="108"/>
      <c r="S9" s="117"/>
      <c r="T9" s="138"/>
      <c r="U9" s="138"/>
      <c r="V9" s="138"/>
      <c r="W9" s="138"/>
      <c r="X9" s="138"/>
      <c r="Y9" s="118"/>
    </row>
    <row r="10" spans="1:27" ht="21" x14ac:dyDescent="0.4">
      <c r="A10" s="176"/>
      <c r="B10" s="173"/>
      <c r="C10" s="173"/>
      <c r="D10" s="173"/>
      <c r="E10" s="173"/>
      <c r="F10" s="172" t="s">
        <v>2</v>
      </c>
      <c r="G10" s="5"/>
      <c r="H10" s="5"/>
      <c r="I10" s="5"/>
      <c r="J10" s="5"/>
      <c r="K10" s="108"/>
      <c r="S10" s="117"/>
      <c r="T10" s="138"/>
      <c r="U10" s="138"/>
      <c r="V10" s="138"/>
      <c r="W10" s="138"/>
      <c r="X10" s="138"/>
      <c r="Y10" s="118"/>
    </row>
    <row r="11" spans="1:27" x14ac:dyDescent="0.3">
      <c r="A11" s="176"/>
      <c r="B11" s="173"/>
      <c r="C11" s="173"/>
      <c r="D11" s="173"/>
      <c r="E11" s="173"/>
      <c r="F11" s="28"/>
      <c r="G11" s="5"/>
      <c r="H11" s="5"/>
      <c r="I11" s="5"/>
      <c r="J11" s="5"/>
      <c r="K11" s="108"/>
      <c r="S11" s="117"/>
      <c r="T11" s="146"/>
      <c r="U11" s="146"/>
      <c r="V11" s="146"/>
      <c r="W11" s="146"/>
      <c r="X11" s="146"/>
      <c r="Y11" s="118"/>
    </row>
    <row r="12" spans="1:27" ht="15" thickBot="1" x14ac:dyDescent="0.35">
      <c r="A12" s="176"/>
      <c r="B12" s="173"/>
      <c r="C12" s="58">
        <v>25719</v>
      </c>
      <c r="D12" s="178" t="s">
        <v>4</v>
      </c>
      <c r="E12" s="178" t="s">
        <v>101</v>
      </c>
      <c r="F12" s="178">
        <v>0</v>
      </c>
      <c r="G12" s="178">
        <v>0</v>
      </c>
      <c r="H12" s="178"/>
      <c r="I12" s="8" t="s">
        <v>140</v>
      </c>
      <c r="J12" s="5"/>
      <c r="K12" s="108"/>
      <c r="S12" s="117" t="s">
        <v>4</v>
      </c>
      <c r="T12" s="138" t="s">
        <v>101</v>
      </c>
      <c r="U12" s="138">
        <v>0</v>
      </c>
      <c r="V12" s="138">
        <v>0</v>
      </c>
      <c r="W12" s="138"/>
      <c r="X12" s="126">
        <f t="shared" ref="X12:X16" si="0">(IF(U12&gt;V12,3,IF(U12=V12,1,2)))</f>
        <v>1</v>
      </c>
      <c r="Y12" s="125">
        <f t="shared" ref="Y12:Y16" si="1">(IF(V12&gt;U12,3,IF(U12=V12,1,2)))</f>
        <v>1</v>
      </c>
      <c r="AA12" t="s">
        <v>9</v>
      </c>
    </row>
    <row r="13" spans="1:27" x14ac:dyDescent="0.3">
      <c r="A13" s="176"/>
      <c r="B13" s="173"/>
      <c r="C13" s="40">
        <v>25722</v>
      </c>
      <c r="D13" s="33" t="s">
        <v>21</v>
      </c>
      <c r="E13" s="33" t="s">
        <v>141</v>
      </c>
      <c r="F13" s="33">
        <v>3</v>
      </c>
      <c r="G13" s="33">
        <v>0</v>
      </c>
      <c r="H13" s="33"/>
      <c r="I13" s="5" t="s">
        <v>140</v>
      </c>
      <c r="J13" s="5"/>
      <c r="K13" s="108"/>
      <c r="S13" s="117" t="s">
        <v>21</v>
      </c>
      <c r="T13" s="138" t="s">
        <v>141</v>
      </c>
      <c r="U13" s="138">
        <v>3</v>
      </c>
      <c r="V13" s="138">
        <v>0</v>
      </c>
      <c r="W13" s="138"/>
      <c r="X13" s="126">
        <f t="shared" si="0"/>
        <v>3</v>
      </c>
      <c r="Y13" s="125">
        <f t="shared" si="1"/>
        <v>2</v>
      </c>
      <c r="AA13" t="s">
        <v>88</v>
      </c>
    </row>
    <row r="14" spans="1:27" ht="15" thickBot="1" x14ac:dyDescent="0.35">
      <c r="A14" s="176"/>
      <c r="B14" s="173"/>
      <c r="C14" s="58"/>
      <c r="D14" s="59"/>
      <c r="E14" s="59"/>
      <c r="F14" s="59"/>
      <c r="G14" s="59"/>
      <c r="H14" s="59"/>
      <c r="I14" s="8"/>
      <c r="J14" s="5"/>
      <c r="K14" s="108"/>
      <c r="S14" s="117" t="s">
        <v>101</v>
      </c>
      <c r="T14" s="146" t="s">
        <v>21</v>
      </c>
      <c r="U14" s="146">
        <v>4</v>
      </c>
      <c r="V14" s="146">
        <v>1</v>
      </c>
      <c r="W14" s="146"/>
      <c r="X14" s="126">
        <f t="shared" si="0"/>
        <v>3</v>
      </c>
      <c r="Y14" s="125">
        <f t="shared" si="1"/>
        <v>2</v>
      </c>
      <c r="AA14" t="s">
        <v>37</v>
      </c>
    </row>
    <row r="15" spans="1:27" x14ac:dyDescent="0.3">
      <c r="A15" s="176"/>
      <c r="B15" s="173"/>
      <c r="C15" s="40">
        <v>25725</v>
      </c>
      <c r="D15" s="33" t="s">
        <v>101</v>
      </c>
      <c r="E15" s="33" t="s">
        <v>21</v>
      </c>
      <c r="F15" s="33">
        <v>4</v>
      </c>
      <c r="G15" s="33">
        <v>1</v>
      </c>
      <c r="H15" s="33"/>
      <c r="I15" s="5" t="s">
        <v>140</v>
      </c>
      <c r="J15" s="5"/>
      <c r="K15" s="108"/>
      <c r="S15" s="117" t="s">
        <v>4</v>
      </c>
      <c r="T15" s="138" t="s">
        <v>141</v>
      </c>
      <c r="U15" s="138">
        <v>4</v>
      </c>
      <c r="V15" s="138">
        <v>0</v>
      </c>
      <c r="W15" s="138"/>
      <c r="X15" s="126">
        <f t="shared" si="0"/>
        <v>3</v>
      </c>
      <c r="Y15" s="125">
        <f t="shared" si="1"/>
        <v>2</v>
      </c>
      <c r="AA15" t="s">
        <v>101</v>
      </c>
    </row>
    <row r="16" spans="1:27" ht="15" thickBot="1" x14ac:dyDescent="0.35">
      <c r="A16" s="176"/>
      <c r="B16" s="173"/>
      <c r="C16" s="58"/>
      <c r="D16" s="59"/>
      <c r="E16" s="59"/>
      <c r="F16" s="59"/>
      <c r="G16" s="59"/>
      <c r="H16" s="59"/>
      <c r="I16" s="8"/>
      <c r="J16" s="5"/>
      <c r="K16" s="108"/>
      <c r="S16" s="117" t="s">
        <v>101</v>
      </c>
      <c r="T16" s="146" t="s">
        <v>141</v>
      </c>
      <c r="U16" s="146">
        <v>2</v>
      </c>
      <c r="V16" s="146">
        <v>0</v>
      </c>
      <c r="W16" s="146"/>
      <c r="X16" s="126">
        <f t="shared" si="0"/>
        <v>3</v>
      </c>
      <c r="Y16" s="125">
        <f t="shared" si="1"/>
        <v>2</v>
      </c>
      <c r="AA16" t="s">
        <v>4</v>
      </c>
    </row>
    <row r="17" spans="1:27" x14ac:dyDescent="0.3">
      <c r="A17" s="176"/>
      <c r="B17" s="173"/>
      <c r="C17" s="40">
        <v>25726</v>
      </c>
      <c r="D17" s="33" t="s">
        <v>4</v>
      </c>
      <c r="E17" s="33" t="s">
        <v>141</v>
      </c>
      <c r="F17" s="33">
        <v>4</v>
      </c>
      <c r="G17" s="33">
        <v>0</v>
      </c>
      <c r="H17" s="33"/>
      <c r="I17" s="5" t="s">
        <v>140</v>
      </c>
      <c r="J17" s="5"/>
      <c r="K17" s="108"/>
      <c r="S17" s="117" t="s">
        <v>4</v>
      </c>
      <c r="T17" s="138" t="s">
        <v>21</v>
      </c>
      <c r="U17" s="138">
        <v>1</v>
      </c>
      <c r="V17" s="138">
        <v>0</v>
      </c>
      <c r="W17" s="138"/>
      <c r="X17" s="126">
        <f t="shared" ref="X17" si="2">(IF(U17&gt;V17,3,IF(U17=V17,1,2)))</f>
        <v>3</v>
      </c>
      <c r="Y17" s="125">
        <f t="shared" ref="Y17" si="3">(IF(V17&gt;U17,3,IF(U17=V17,1,2)))</f>
        <v>2</v>
      </c>
      <c r="AA17" t="s">
        <v>18</v>
      </c>
    </row>
    <row r="18" spans="1:27" ht="15" thickBot="1" x14ac:dyDescent="0.35">
      <c r="A18" s="176"/>
      <c r="B18" s="173"/>
      <c r="C18" s="58"/>
      <c r="D18" s="59"/>
      <c r="E18" s="59"/>
      <c r="F18" s="59"/>
      <c r="G18" s="59"/>
      <c r="H18" s="59"/>
      <c r="I18" s="8"/>
      <c r="J18" s="5"/>
      <c r="K18" s="108"/>
      <c r="S18" s="117"/>
      <c r="T18" s="146"/>
      <c r="U18" s="146"/>
      <c r="V18" s="146"/>
      <c r="W18" s="146"/>
      <c r="X18" s="126"/>
      <c r="Y18" s="125"/>
      <c r="AA18" t="s">
        <v>17</v>
      </c>
    </row>
    <row r="19" spans="1:27" x14ac:dyDescent="0.3">
      <c r="A19" s="176"/>
      <c r="B19" s="173"/>
      <c r="C19" s="40">
        <v>25729</v>
      </c>
      <c r="D19" s="33" t="s">
        <v>101</v>
      </c>
      <c r="E19" s="33" t="s">
        <v>141</v>
      </c>
      <c r="F19" s="33">
        <v>2</v>
      </c>
      <c r="G19" s="33">
        <v>0</v>
      </c>
      <c r="H19" s="33"/>
      <c r="I19" s="5" t="s">
        <v>140</v>
      </c>
      <c r="J19" s="5"/>
      <c r="K19" s="108"/>
      <c r="S19" s="117"/>
      <c r="T19" s="138"/>
      <c r="U19" s="138"/>
      <c r="V19" s="138"/>
      <c r="W19" s="138"/>
      <c r="X19" s="126"/>
      <c r="Y19" s="125"/>
      <c r="AA19" t="s">
        <v>74</v>
      </c>
    </row>
    <row r="20" spans="1:27" ht="15" thickBot="1" x14ac:dyDescent="0.35">
      <c r="A20" s="176"/>
      <c r="B20" s="173"/>
      <c r="C20" s="58"/>
      <c r="D20" s="59"/>
      <c r="E20" s="59"/>
      <c r="F20" s="59"/>
      <c r="G20" s="59"/>
      <c r="H20" s="59"/>
      <c r="I20" s="8"/>
      <c r="J20" s="5"/>
      <c r="K20" s="108"/>
      <c r="S20" s="117"/>
      <c r="T20" s="146"/>
      <c r="U20" s="146"/>
      <c r="V20" s="146"/>
      <c r="W20" s="146"/>
      <c r="X20" s="126"/>
      <c r="Y20" s="125"/>
      <c r="AA20" t="s">
        <v>41</v>
      </c>
    </row>
    <row r="21" spans="1:27" x14ac:dyDescent="0.3">
      <c r="A21" s="176"/>
      <c r="B21" s="173"/>
      <c r="C21" s="40">
        <v>25730</v>
      </c>
      <c r="D21" s="33" t="s">
        <v>4</v>
      </c>
      <c r="E21" s="33" t="s">
        <v>21</v>
      </c>
      <c r="F21" s="33">
        <v>1</v>
      </c>
      <c r="G21" s="33">
        <v>0</v>
      </c>
      <c r="H21" s="33"/>
      <c r="I21" s="5" t="s">
        <v>140</v>
      </c>
      <c r="J21" s="5"/>
      <c r="K21" s="108"/>
      <c r="S21" s="122"/>
      <c r="T21" s="17"/>
      <c r="U21" s="17"/>
      <c r="V21" s="17"/>
      <c r="X21" s="126"/>
      <c r="Y21" s="125"/>
      <c r="AA21" t="s">
        <v>21</v>
      </c>
    </row>
    <row r="22" spans="1:27" x14ac:dyDescent="0.3">
      <c r="A22" s="156"/>
      <c r="B22" s="173"/>
      <c r="C22" s="173"/>
      <c r="D22" s="173"/>
      <c r="E22" s="173"/>
      <c r="F22" s="173" t="s">
        <v>281</v>
      </c>
      <c r="G22" s="5" t="s">
        <v>282</v>
      </c>
      <c r="H22" s="5"/>
      <c r="I22" s="5"/>
      <c r="J22" s="5"/>
      <c r="K22" s="108"/>
      <c r="S22" s="117"/>
      <c r="T22" s="138"/>
      <c r="U22" s="138"/>
      <c r="V22" s="138"/>
      <c r="X22" s="126"/>
      <c r="Y22" s="125"/>
      <c r="AA22" t="s">
        <v>16</v>
      </c>
    </row>
    <row r="23" spans="1:27" x14ac:dyDescent="0.3">
      <c r="A23" s="156"/>
      <c r="B23" s="173"/>
      <c r="C23" s="173"/>
      <c r="D23" s="173"/>
      <c r="E23" s="173"/>
      <c r="F23" s="173"/>
      <c r="G23" s="5"/>
      <c r="H23" s="5"/>
      <c r="I23" s="5"/>
      <c r="J23" s="5"/>
      <c r="K23" s="108"/>
      <c r="S23" s="117"/>
      <c r="T23" s="146"/>
      <c r="U23" s="146"/>
      <c r="V23" s="146"/>
      <c r="W23" s="148"/>
      <c r="X23" s="126"/>
      <c r="Y23" s="125"/>
      <c r="AA23" t="s">
        <v>142</v>
      </c>
    </row>
    <row r="24" spans="1:27" ht="15" thickBot="1" x14ac:dyDescent="0.35">
      <c r="A24" s="176"/>
      <c r="B24" s="173"/>
      <c r="C24" s="173" t="s">
        <v>12</v>
      </c>
      <c r="D24" s="173" t="s">
        <v>13</v>
      </c>
      <c r="E24" s="173" t="s">
        <v>14</v>
      </c>
      <c r="F24" s="173" t="s">
        <v>15</v>
      </c>
      <c r="G24" s="5" t="s">
        <v>24</v>
      </c>
      <c r="H24" s="5" t="s">
        <v>25</v>
      </c>
      <c r="I24" s="5" t="s">
        <v>26</v>
      </c>
      <c r="J24" s="5" t="s">
        <v>27</v>
      </c>
      <c r="K24" s="108"/>
      <c r="S24" s="117"/>
      <c r="T24" s="138"/>
      <c r="U24" s="138"/>
      <c r="V24" s="138"/>
      <c r="X24" s="126"/>
      <c r="Y24" s="125"/>
      <c r="AA24" t="s">
        <v>125</v>
      </c>
    </row>
    <row r="25" spans="1:27" x14ac:dyDescent="0.3">
      <c r="A25" s="176"/>
      <c r="B25" s="14" t="s">
        <v>4</v>
      </c>
      <c r="C25" s="376">
        <f>COUNTIF($S$90:$T$105,"UdSSR")</f>
        <v>1</v>
      </c>
      <c r="D25" s="43">
        <f>SUMPRODUCT(($S$90:$T$105=B25)*($X$90:$Y$105=3))</f>
        <v>0</v>
      </c>
      <c r="E25" s="43">
        <f>SUMPRODUCT(($S$90:$T$105=B25)*($X$90:$Y$105=1))</f>
        <v>0</v>
      </c>
      <c r="F25" s="43">
        <f>SUMPRODUCT(($S$90:$T$105=B25)*($X$90:$Y$105=2))</f>
        <v>1</v>
      </c>
      <c r="G25" s="43">
        <f>SUMPRODUCT(($S$90:$S$105=B25)*($U$90:$U$105))+SUMPRODUCT(($T$90:$T$105=B25)*($V$90:$V$105))</f>
        <v>1</v>
      </c>
      <c r="H25" s="43">
        <f>SUMPRODUCT(($S$90:$S$105=B25)*($V$90:$V$105))+SUMPRODUCT(($T$90:$T$105=B25)*($U$90:$U$105))</f>
        <v>4</v>
      </c>
      <c r="I25" s="18">
        <f>(D25*2)+E25</f>
        <v>0</v>
      </c>
      <c r="J25" s="22">
        <f>(F25*2)+E25</f>
        <v>2</v>
      </c>
      <c r="K25" s="108"/>
      <c r="S25" s="117"/>
      <c r="T25" s="138"/>
      <c r="U25" s="138"/>
      <c r="V25" s="138"/>
      <c r="X25" s="126"/>
      <c r="Y25" s="125"/>
      <c r="AA25" t="s">
        <v>147</v>
      </c>
    </row>
    <row r="26" spans="1:27" x14ac:dyDescent="0.3">
      <c r="A26" s="176"/>
      <c r="B26" s="21" t="s">
        <v>101</v>
      </c>
      <c r="C26" s="17"/>
      <c r="D26" s="17"/>
      <c r="E26" s="17"/>
      <c r="F26" s="17"/>
      <c r="G26" s="18"/>
      <c r="H26" s="18"/>
      <c r="I26" s="18"/>
      <c r="J26" s="22"/>
      <c r="K26" s="108"/>
      <c r="S26" s="117"/>
      <c r="T26" s="138"/>
      <c r="U26" s="138"/>
      <c r="V26" s="138"/>
      <c r="X26" s="126"/>
      <c r="Y26" s="125"/>
      <c r="AA26" t="s">
        <v>45</v>
      </c>
    </row>
    <row r="27" spans="1:27" x14ac:dyDescent="0.3">
      <c r="A27" s="176"/>
      <c r="B27" s="3" t="s">
        <v>21</v>
      </c>
      <c r="C27" s="173"/>
      <c r="D27" s="173"/>
      <c r="E27" s="173"/>
      <c r="F27" s="173"/>
      <c r="G27" s="5"/>
      <c r="H27" s="5"/>
      <c r="I27" s="5"/>
      <c r="J27" s="6"/>
      <c r="K27" s="108"/>
      <c r="S27" s="117"/>
      <c r="T27" s="138"/>
      <c r="U27" s="138"/>
      <c r="V27" s="138"/>
      <c r="X27" s="126"/>
      <c r="Y27" s="125"/>
      <c r="AA27" t="s">
        <v>141</v>
      </c>
    </row>
    <row r="28" spans="1:27" ht="15" thickBot="1" x14ac:dyDescent="0.35">
      <c r="A28" s="176"/>
      <c r="B28" s="7" t="s">
        <v>141</v>
      </c>
      <c r="C28" s="178"/>
      <c r="D28" s="178"/>
      <c r="E28" s="178"/>
      <c r="F28" s="178"/>
      <c r="G28" s="8"/>
      <c r="H28" s="8"/>
      <c r="I28" s="8"/>
      <c r="J28" s="9"/>
      <c r="K28" s="108"/>
      <c r="S28" s="117"/>
      <c r="T28" s="138"/>
      <c r="U28" s="138"/>
      <c r="V28" s="138"/>
      <c r="W28" s="138"/>
      <c r="X28" s="138"/>
      <c r="Y28" s="118"/>
    </row>
    <row r="29" spans="1:27" ht="15" thickBot="1" x14ac:dyDescent="0.35">
      <c r="A29" s="176"/>
      <c r="B29" s="173"/>
      <c r="C29" s="173"/>
      <c r="D29" s="173"/>
      <c r="E29" s="173"/>
      <c r="F29" s="173"/>
      <c r="G29" s="5"/>
      <c r="H29" s="5"/>
      <c r="I29" s="5"/>
      <c r="J29" s="5"/>
      <c r="K29" s="193"/>
      <c r="S29" s="117"/>
      <c r="T29" s="138"/>
      <c r="U29" s="138"/>
      <c r="V29" s="138"/>
      <c r="W29" s="138"/>
      <c r="X29" s="138"/>
      <c r="Y29" s="118"/>
    </row>
    <row r="30" spans="1:27" ht="15" thickTop="1" x14ac:dyDescent="0.3">
      <c r="A30" s="106"/>
      <c r="B30" s="25"/>
      <c r="C30" s="25"/>
      <c r="D30" s="25"/>
      <c r="E30" s="25"/>
      <c r="F30" s="25"/>
      <c r="G30" s="26"/>
      <c r="H30" s="26"/>
      <c r="I30" s="26"/>
      <c r="J30" s="26"/>
      <c r="K30" s="108"/>
      <c r="S30" s="117"/>
      <c r="T30" s="138"/>
      <c r="U30" s="138"/>
      <c r="V30" s="138"/>
      <c r="W30" s="138"/>
      <c r="X30" s="138"/>
      <c r="Y30" s="118"/>
    </row>
    <row r="31" spans="1:27" ht="21" x14ac:dyDescent="0.4">
      <c r="A31" s="176"/>
      <c r="B31" s="173"/>
      <c r="C31" s="173"/>
      <c r="D31" s="173"/>
      <c r="E31" s="173"/>
      <c r="F31" s="172" t="s">
        <v>7</v>
      </c>
      <c r="G31" s="5"/>
      <c r="H31" s="5"/>
      <c r="I31" s="5"/>
      <c r="J31" s="5"/>
      <c r="K31" s="108"/>
      <c r="S31" s="117"/>
      <c r="T31" s="138"/>
      <c r="U31" s="138"/>
      <c r="V31" s="138"/>
      <c r="W31" s="138"/>
      <c r="X31" s="138"/>
      <c r="Y31" s="118"/>
    </row>
    <row r="32" spans="1:27" x14ac:dyDescent="0.3">
      <c r="A32" s="176"/>
      <c r="B32" s="28"/>
      <c r="C32" s="173"/>
      <c r="D32" s="173"/>
      <c r="E32" s="173"/>
      <c r="F32" s="173"/>
      <c r="G32" s="5"/>
      <c r="H32" s="5"/>
      <c r="I32" s="5"/>
      <c r="J32" s="5"/>
      <c r="K32" s="108"/>
      <c r="S32" s="117"/>
      <c r="T32" s="146"/>
      <c r="U32" s="146"/>
      <c r="V32" s="146"/>
      <c r="W32" s="146"/>
      <c r="X32" s="146"/>
      <c r="Y32" s="118"/>
    </row>
    <row r="33" spans="1:25" x14ac:dyDescent="0.3">
      <c r="A33" s="176"/>
      <c r="B33" s="173"/>
      <c r="C33" s="40">
        <v>25721</v>
      </c>
      <c r="D33" s="33" t="s">
        <v>18</v>
      </c>
      <c r="E33" s="33" t="s">
        <v>142</v>
      </c>
      <c r="F33" s="33">
        <v>2</v>
      </c>
      <c r="G33" s="33">
        <v>0</v>
      </c>
      <c r="H33" s="33"/>
      <c r="I33" s="5" t="s">
        <v>143</v>
      </c>
      <c r="J33" s="5"/>
      <c r="K33" s="108"/>
      <c r="S33" s="117" t="s">
        <v>18</v>
      </c>
      <c r="T33" s="138" t="s">
        <v>142</v>
      </c>
      <c r="U33" s="138">
        <v>2</v>
      </c>
      <c r="V33" s="138">
        <v>0</v>
      </c>
      <c r="W33" s="138"/>
      <c r="X33" s="126">
        <f t="shared" ref="X33:X38" si="4">(IF(U33&gt;V33,3,IF(U33=V33,1,2)))</f>
        <v>3</v>
      </c>
      <c r="Y33" s="125">
        <f t="shared" ref="Y33:Y38" si="5">(IF(V33&gt;U33,3,IF(U33=V33,1,2)))</f>
        <v>2</v>
      </c>
    </row>
    <row r="34" spans="1:25" ht="15" thickBot="1" x14ac:dyDescent="0.35">
      <c r="A34" s="176"/>
      <c r="B34" s="173"/>
      <c r="C34" s="58"/>
      <c r="D34" s="59"/>
      <c r="E34" s="59"/>
      <c r="F34" s="59"/>
      <c r="G34" s="59"/>
      <c r="H34" s="59"/>
      <c r="I34" s="8"/>
      <c r="J34" s="5"/>
      <c r="K34" s="108"/>
      <c r="S34" s="117" t="s">
        <v>37</v>
      </c>
      <c r="T34" s="146" t="s">
        <v>41</v>
      </c>
      <c r="U34" s="146">
        <v>1</v>
      </c>
      <c r="V34" s="146">
        <v>0</v>
      </c>
      <c r="W34" s="146"/>
      <c r="X34" s="126">
        <f t="shared" si="4"/>
        <v>3</v>
      </c>
      <c r="Y34" s="125">
        <f t="shared" si="5"/>
        <v>2</v>
      </c>
    </row>
    <row r="35" spans="1:25" x14ac:dyDescent="0.3">
      <c r="A35" s="176"/>
      <c r="B35" s="173"/>
      <c r="C35" s="40">
        <v>25722</v>
      </c>
      <c r="D35" s="33" t="s">
        <v>37</v>
      </c>
      <c r="E35" s="33" t="s">
        <v>41</v>
      </c>
      <c r="F35" s="33">
        <v>1</v>
      </c>
      <c r="G35" s="33">
        <v>0</v>
      </c>
      <c r="H35" s="33"/>
      <c r="I35" s="5" t="s">
        <v>144</v>
      </c>
      <c r="J35" s="5"/>
      <c r="K35" s="108"/>
      <c r="S35" s="117" t="s">
        <v>18</v>
      </c>
      <c r="T35" s="138" t="s">
        <v>37</v>
      </c>
      <c r="U35" s="138">
        <v>0</v>
      </c>
      <c r="V35" s="138">
        <v>0</v>
      </c>
      <c r="W35" s="138"/>
      <c r="X35" s="126">
        <f t="shared" si="4"/>
        <v>1</v>
      </c>
      <c r="Y35" s="125">
        <f t="shared" si="5"/>
        <v>1</v>
      </c>
    </row>
    <row r="36" spans="1:25" ht="15" thickBot="1" x14ac:dyDescent="0.35">
      <c r="A36" s="176"/>
      <c r="B36" s="173"/>
      <c r="C36" s="58"/>
      <c r="D36" s="59"/>
      <c r="E36" s="59"/>
      <c r="F36" s="59"/>
      <c r="G36" s="59"/>
      <c r="H36" s="59"/>
      <c r="I36" s="8"/>
      <c r="J36" s="5"/>
      <c r="K36" s="108"/>
      <c r="S36" s="117" t="s">
        <v>41</v>
      </c>
      <c r="T36" s="146" t="s">
        <v>142</v>
      </c>
      <c r="U36" s="146">
        <v>1</v>
      </c>
      <c r="V36" s="146">
        <v>1</v>
      </c>
      <c r="W36" s="146"/>
      <c r="X36" s="126">
        <f t="shared" si="4"/>
        <v>1</v>
      </c>
      <c r="Y36" s="125">
        <f t="shared" si="5"/>
        <v>1</v>
      </c>
    </row>
    <row r="37" spans="1:25" ht="15" thickBot="1" x14ac:dyDescent="0.35">
      <c r="A37" s="176"/>
      <c r="B37" s="173"/>
      <c r="C37" s="58">
        <v>25725</v>
      </c>
      <c r="D37" s="59" t="s">
        <v>18</v>
      </c>
      <c r="E37" s="59" t="s">
        <v>37</v>
      </c>
      <c r="F37" s="59">
        <v>0</v>
      </c>
      <c r="G37" s="59">
        <v>0</v>
      </c>
      <c r="H37" s="59"/>
      <c r="I37" s="8" t="s">
        <v>143</v>
      </c>
      <c r="J37" s="5"/>
      <c r="K37" s="108"/>
      <c r="S37" s="117" t="s">
        <v>41</v>
      </c>
      <c r="T37" s="138" t="s">
        <v>18</v>
      </c>
      <c r="U37" s="138">
        <v>1</v>
      </c>
      <c r="V37" s="138">
        <v>0</v>
      </c>
      <c r="W37" s="138"/>
      <c r="X37" s="126">
        <f t="shared" si="4"/>
        <v>3</v>
      </c>
      <c r="Y37" s="125">
        <f t="shared" si="5"/>
        <v>2</v>
      </c>
    </row>
    <row r="38" spans="1:25" x14ac:dyDescent="0.3">
      <c r="A38" s="176"/>
      <c r="B38" s="173"/>
      <c r="C38" s="40">
        <v>25726</v>
      </c>
      <c r="D38" s="33" t="s">
        <v>41</v>
      </c>
      <c r="E38" s="33" t="s">
        <v>142</v>
      </c>
      <c r="F38" s="33">
        <v>1</v>
      </c>
      <c r="G38" s="33">
        <v>1</v>
      </c>
      <c r="H38" s="33"/>
      <c r="I38" s="5" t="s">
        <v>144</v>
      </c>
      <c r="J38" s="5"/>
      <c r="K38" s="108"/>
      <c r="S38" s="117" t="s">
        <v>37</v>
      </c>
      <c r="T38" s="138" t="s">
        <v>142</v>
      </c>
      <c r="U38" s="138">
        <v>0</v>
      </c>
      <c r="V38" s="138">
        <v>0</v>
      </c>
      <c r="W38" s="138"/>
      <c r="X38" s="126">
        <f t="shared" si="4"/>
        <v>1</v>
      </c>
      <c r="Y38" s="125">
        <f t="shared" si="5"/>
        <v>1</v>
      </c>
    </row>
    <row r="39" spans="1:25" ht="15" thickBot="1" x14ac:dyDescent="0.35">
      <c r="A39" s="176"/>
      <c r="B39" s="173"/>
      <c r="C39" s="58"/>
      <c r="D39" s="59"/>
      <c r="E39" s="59"/>
      <c r="F39" s="59"/>
      <c r="G39" s="59"/>
      <c r="H39" s="59"/>
      <c r="I39" s="8"/>
      <c r="J39" s="5"/>
      <c r="K39" s="108"/>
      <c r="S39" s="117"/>
      <c r="T39" s="146"/>
      <c r="U39" s="146"/>
      <c r="V39" s="146"/>
      <c r="W39" s="146"/>
      <c r="X39" s="126"/>
      <c r="Y39" s="125"/>
    </row>
    <row r="40" spans="1:25" x14ac:dyDescent="0.3">
      <c r="A40" s="176"/>
      <c r="B40" s="173"/>
      <c r="C40" s="40">
        <v>25729</v>
      </c>
      <c r="D40" s="66" t="s">
        <v>41</v>
      </c>
      <c r="E40" s="66" t="s">
        <v>18</v>
      </c>
      <c r="F40" s="66">
        <v>1</v>
      </c>
      <c r="G40" s="66">
        <v>0</v>
      </c>
      <c r="H40" s="66"/>
      <c r="I40" s="5" t="s">
        <v>143</v>
      </c>
      <c r="J40" s="5"/>
      <c r="K40" s="108"/>
      <c r="S40" s="122"/>
      <c r="T40" s="17"/>
      <c r="U40" s="17"/>
      <c r="V40" s="17"/>
      <c r="W40" s="17"/>
      <c r="X40" s="126"/>
      <c r="Y40" s="125"/>
    </row>
    <row r="41" spans="1:25" ht="15" thickBot="1" x14ac:dyDescent="0.35">
      <c r="A41" s="176"/>
      <c r="B41" s="173"/>
      <c r="C41" s="58"/>
      <c r="D41" s="367"/>
      <c r="E41" s="367"/>
      <c r="F41" s="367"/>
      <c r="G41" s="367"/>
      <c r="H41" s="367"/>
      <c r="I41" s="8"/>
      <c r="J41" s="5"/>
      <c r="K41" s="108"/>
      <c r="S41" s="122"/>
      <c r="T41" s="17"/>
      <c r="U41" s="17"/>
      <c r="V41" s="17"/>
      <c r="W41" s="17"/>
      <c r="X41" s="126"/>
      <c r="Y41" s="125"/>
    </row>
    <row r="42" spans="1:25" x14ac:dyDescent="0.3">
      <c r="A42" s="176"/>
      <c r="B42" s="173"/>
      <c r="C42" s="40">
        <v>25730</v>
      </c>
      <c r="D42" s="66" t="s">
        <v>37</v>
      </c>
      <c r="E42" s="66" t="s">
        <v>142</v>
      </c>
      <c r="F42" s="66">
        <v>0</v>
      </c>
      <c r="G42" s="66">
        <v>0</v>
      </c>
      <c r="H42" s="66"/>
      <c r="I42" s="5" t="s">
        <v>144</v>
      </c>
      <c r="J42" s="5"/>
      <c r="K42" s="108"/>
      <c r="S42" s="122"/>
      <c r="T42" s="17"/>
      <c r="U42" s="17"/>
      <c r="V42" s="17"/>
      <c r="W42" s="17"/>
      <c r="X42" s="126"/>
      <c r="Y42" s="125"/>
    </row>
    <row r="43" spans="1:25" x14ac:dyDescent="0.3">
      <c r="A43" s="156"/>
      <c r="B43" s="17"/>
      <c r="C43" s="17"/>
      <c r="D43" s="17"/>
      <c r="E43" s="17"/>
      <c r="F43" s="17" t="s">
        <v>281</v>
      </c>
      <c r="G43" s="18" t="s">
        <v>282</v>
      </c>
      <c r="H43" s="5"/>
      <c r="I43" s="5"/>
      <c r="J43" s="5"/>
      <c r="K43" s="108"/>
      <c r="S43" s="122"/>
      <c r="T43" s="17"/>
      <c r="U43" s="17"/>
      <c r="V43" s="17"/>
      <c r="W43" s="17"/>
      <c r="X43" s="126"/>
      <c r="Y43" s="125"/>
    </row>
    <row r="44" spans="1:25" x14ac:dyDescent="0.3">
      <c r="A44" s="156"/>
      <c r="B44" s="17"/>
      <c r="C44" s="17"/>
      <c r="D44" s="17"/>
      <c r="E44" s="17"/>
      <c r="F44" s="17"/>
      <c r="G44" s="18"/>
      <c r="H44" s="5"/>
      <c r="I44" s="5"/>
      <c r="J44" s="5"/>
      <c r="K44" s="108"/>
      <c r="S44" s="122"/>
      <c r="T44" s="17"/>
      <c r="U44" s="17"/>
      <c r="V44" s="17"/>
      <c r="W44" s="17"/>
      <c r="X44" s="126"/>
      <c r="Y44" s="125"/>
    </row>
    <row r="45" spans="1:25" ht="15" thickBot="1" x14ac:dyDescent="0.35">
      <c r="A45" s="176"/>
      <c r="B45" s="173"/>
      <c r="C45" s="173" t="s">
        <v>12</v>
      </c>
      <c r="D45" s="173" t="s">
        <v>13</v>
      </c>
      <c r="E45" s="173" t="s">
        <v>14</v>
      </c>
      <c r="F45" s="173" t="s">
        <v>15</v>
      </c>
      <c r="G45" s="5" t="s">
        <v>24</v>
      </c>
      <c r="H45" s="5" t="s">
        <v>25</v>
      </c>
      <c r="I45" s="5" t="s">
        <v>26</v>
      </c>
      <c r="J45" s="5" t="s">
        <v>27</v>
      </c>
      <c r="K45" s="108"/>
      <c r="S45" s="122"/>
      <c r="T45" s="17"/>
      <c r="U45" s="17"/>
      <c r="V45" s="17"/>
      <c r="W45" s="17"/>
      <c r="X45" s="126"/>
      <c r="Y45" s="125"/>
    </row>
    <row r="46" spans="1:25" x14ac:dyDescent="0.3">
      <c r="A46" s="176"/>
      <c r="B46" s="14" t="s">
        <v>18</v>
      </c>
      <c r="C46" s="376">
        <f>COUNTIF($S$90:$T$105,"UdSSR")</f>
        <v>1</v>
      </c>
      <c r="D46" s="43">
        <f>SUMPRODUCT(($S$90:$T$105=B46)*($X$90:$Y$105=3))</f>
        <v>1</v>
      </c>
      <c r="E46" s="43">
        <f>SUMPRODUCT(($S$90:$T$105=B46)*($X$90:$Y$105=1))</f>
        <v>0</v>
      </c>
      <c r="F46" s="43">
        <f>SUMPRODUCT(($S$90:$T$105=B46)*($X$90:$Y$105=2))</f>
        <v>0</v>
      </c>
      <c r="G46" s="43">
        <f>SUMPRODUCT(($S$90:$S$105=B46)*($U$90:$U$105))+SUMPRODUCT(($T$90:$T$105=B46)*($V$90:$V$105))</f>
        <v>1</v>
      </c>
      <c r="H46" s="43">
        <f>SUMPRODUCT(($S$90:$S$105=B46)*($V$90:$V$105))+SUMPRODUCT(($T$90:$T$105=B46)*($U$90:$U$105))</f>
        <v>0</v>
      </c>
      <c r="I46" s="18">
        <f>(D46*2)+E46</f>
        <v>2</v>
      </c>
      <c r="J46" s="22">
        <f>(F46*2)+E46</f>
        <v>0</v>
      </c>
      <c r="K46" s="108"/>
      <c r="S46" s="117"/>
      <c r="T46" s="138"/>
      <c r="U46" s="138"/>
      <c r="V46" s="138"/>
      <c r="W46" s="138"/>
      <c r="X46" s="126"/>
      <c r="Y46" s="125"/>
    </row>
    <row r="47" spans="1:25" x14ac:dyDescent="0.3">
      <c r="A47" s="176"/>
      <c r="B47" s="21" t="s">
        <v>142</v>
      </c>
      <c r="C47" s="17"/>
      <c r="D47" s="17"/>
      <c r="E47" s="17"/>
      <c r="F47" s="17"/>
      <c r="G47" s="18"/>
      <c r="H47" s="18"/>
      <c r="I47" s="18"/>
      <c r="J47" s="22"/>
      <c r="K47" s="108"/>
      <c r="S47" s="117"/>
      <c r="T47" s="138"/>
      <c r="U47" s="138"/>
      <c r="V47" s="138"/>
      <c r="W47" s="138"/>
      <c r="X47" s="126"/>
      <c r="Y47" s="125"/>
    </row>
    <row r="48" spans="1:25" s="13" customFormat="1" x14ac:dyDescent="0.3">
      <c r="A48" s="24"/>
      <c r="B48" s="21" t="s">
        <v>37</v>
      </c>
      <c r="C48" s="17"/>
      <c r="D48" s="17"/>
      <c r="E48" s="17"/>
      <c r="F48" s="17"/>
      <c r="G48" s="18"/>
      <c r="H48" s="18"/>
      <c r="I48" s="18"/>
      <c r="J48" s="22"/>
      <c r="K48" s="109"/>
      <c r="S48" s="117"/>
      <c r="T48" s="138"/>
      <c r="U48" s="138"/>
      <c r="V48" s="138"/>
      <c r="W48" s="138"/>
      <c r="X48" s="126"/>
      <c r="Y48" s="125"/>
    </row>
    <row r="49" spans="1:25" ht="15" thickBot="1" x14ac:dyDescent="0.35">
      <c r="A49" s="176"/>
      <c r="B49" s="7" t="s">
        <v>41</v>
      </c>
      <c r="C49" s="178"/>
      <c r="D49" s="178"/>
      <c r="E49" s="178"/>
      <c r="F49" s="178"/>
      <c r="G49" s="8"/>
      <c r="H49" s="8"/>
      <c r="I49" s="8"/>
      <c r="J49" s="9"/>
      <c r="K49" s="108"/>
      <c r="S49" s="117"/>
      <c r="T49" s="138"/>
      <c r="U49" s="138"/>
      <c r="V49" s="138"/>
      <c r="W49" s="138"/>
      <c r="X49" s="126"/>
      <c r="Y49" s="125"/>
    </row>
    <row r="50" spans="1:25" ht="15" thickBot="1" x14ac:dyDescent="0.35">
      <c r="A50" s="176"/>
      <c r="B50" s="173"/>
      <c r="C50" s="173"/>
      <c r="D50" s="173"/>
      <c r="E50" s="173"/>
      <c r="F50" s="173"/>
      <c r="G50" s="5"/>
      <c r="H50" s="5"/>
      <c r="I50" s="5"/>
      <c r="J50" s="5"/>
      <c r="K50" s="193"/>
      <c r="S50" s="117"/>
      <c r="T50" s="138"/>
      <c r="U50" s="138"/>
      <c r="V50" s="138"/>
      <c r="W50" s="138"/>
      <c r="X50" s="126"/>
      <c r="Y50" s="125"/>
    </row>
    <row r="51" spans="1:25" ht="15" thickTop="1" x14ac:dyDescent="0.3">
      <c r="A51" s="106"/>
      <c r="B51" s="25"/>
      <c r="C51" s="25"/>
      <c r="D51" s="25"/>
      <c r="E51" s="25"/>
      <c r="F51" s="25"/>
      <c r="G51" s="26"/>
      <c r="H51" s="26"/>
      <c r="I51" s="26"/>
      <c r="J51" s="26"/>
      <c r="K51" s="108"/>
      <c r="S51" s="117"/>
      <c r="T51" s="138"/>
      <c r="U51" s="138"/>
      <c r="V51" s="138"/>
      <c r="W51" s="138"/>
      <c r="X51" s="126"/>
      <c r="Y51" s="125"/>
    </row>
    <row r="52" spans="1:25" ht="21" x14ac:dyDescent="0.4">
      <c r="A52" s="176"/>
      <c r="B52" s="173"/>
      <c r="C52" s="173"/>
      <c r="D52" s="173"/>
      <c r="E52" s="173"/>
      <c r="F52" s="172" t="s">
        <v>11</v>
      </c>
      <c r="G52" s="5"/>
      <c r="H52" s="5"/>
      <c r="I52" s="5"/>
      <c r="J52" s="5"/>
      <c r="K52" s="108"/>
      <c r="S52" s="117"/>
      <c r="T52" s="138"/>
      <c r="U52" s="138"/>
      <c r="V52" s="138"/>
      <c r="W52" s="138"/>
      <c r="X52" s="126"/>
      <c r="Y52" s="125"/>
    </row>
    <row r="53" spans="1:25" x14ac:dyDescent="0.3">
      <c r="A53" s="176"/>
      <c r="B53" s="173"/>
      <c r="C53" s="173"/>
      <c r="D53" s="173"/>
      <c r="E53" s="173"/>
      <c r="F53" s="28"/>
      <c r="G53" s="5"/>
      <c r="H53" s="5"/>
      <c r="I53" s="5"/>
      <c r="J53" s="5"/>
      <c r="K53" s="108"/>
      <c r="S53" s="117"/>
      <c r="T53" s="146"/>
      <c r="U53" s="146"/>
      <c r="V53" s="146"/>
      <c r="W53" s="146"/>
      <c r="X53" s="126"/>
      <c r="Y53" s="125"/>
    </row>
    <row r="54" spans="1:25" x14ac:dyDescent="0.3">
      <c r="A54" s="176"/>
      <c r="B54" s="173"/>
      <c r="C54" s="40">
        <v>25721</v>
      </c>
      <c r="D54" s="33" t="s">
        <v>16</v>
      </c>
      <c r="E54" s="33" t="s">
        <v>74</v>
      </c>
      <c r="F54" s="33">
        <v>0</v>
      </c>
      <c r="G54" s="33">
        <v>1</v>
      </c>
      <c r="H54" s="33"/>
      <c r="I54" s="5" t="s">
        <v>145</v>
      </c>
      <c r="J54" s="5"/>
      <c r="K54" s="108"/>
      <c r="S54" s="117" t="s">
        <v>16</v>
      </c>
      <c r="T54" s="138" t="s">
        <v>74</v>
      </c>
      <c r="U54" s="138">
        <v>0</v>
      </c>
      <c r="V54" s="138">
        <v>1</v>
      </c>
      <c r="W54" s="138"/>
      <c r="X54" s="126">
        <f t="shared" ref="X54:X59" si="6">(IF(U54&gt;V54,3,IF(U54=V54,1,2)))</f>
        <v>2</v>
      </c>
      <c r="Y54" s="125">
        <f t="shared" ref="Y54:Y59" si="7">(IF(V54&gt;U54,3,IF(U54=V54,1,2)))</f>
        <v>3</v>
      </c>
    </row>
    <row r="55" spans="1:25" ht="15" thickBot="1" x14ac:dyDescent="0.35">
      <c r="A55" s="176"/>
      <c r="B55" s="173"/>
      <c r="C55" s="58"/>
      <c r="D55" s="59"/>
      <c r="E55" s="59"/>
      <c r="F55" s="59"/>
      <c r="G55" s="59"/>
      <c r="H55" s="59"/>
      <c r="I55" s="8"/>
      <c r="J55" s="5"/>
      <c r="K55" s="108"/>
      <c r="S55" s="117" t="s">
        <v>45</v>
      </c>
      <c r="T55" s="146" t="s">
        <v>9</v>
      </c>
      <c r="U55" s="146">
        <v>1</v>
      </c>
      <c r="V55" s="146">
        <v>4</v>
      </c>
      <c r="W55" s="146"/>
      <c r="X55" s="126">
        <f t="shared" si="6"/>
        <v>2</v>
      </c>
      <c r="Y55" s="125">
        <f t="shared" si="7"/>
        <v>3</v>
      </c>
    </row>
    <row r="56" spans="1:25" x14ac:dyDescent="0.3">
      <c r="A56" s="176"/>
      <c r="B56" s="173"/>
      <c r="C56" s="40">
        <v>25722</v>
      </c>
      <c r="D56" s="33" t="s">
        <v>45</v>
      </c>
      <c r="E56" s="33" t="s">
        <v>9</v>
      </c>
      <c r="F56" s="33">
        <v>1</v>
      </c>
      <c r="G56" s="33">
        <v>4</v>
      </c>
      <c r="H56" s="33"/>
      <c r="I56" s="5" t="s">
        <v>145</v>
      </c>
      <c r="J56" s="5"/>
      <c r="K56" s="108"/>
      <c r="S56" s="117" t="s">
        <v>16</v>
      </c>
      <c r="T56" s="138" t="s">
        <v>45</v>
      </c>
      <c r="U56" s="138">
        <v>2</v>
      </c>
      <c r="V56" s="138">
        <v>1</v>
      </c>
      <c r="W56" s="138"/>
      <c r="X56" s="126">
        <f t="shared" si="6"/>
        <v>3</v>
      </c>
      <c r="Y56" s="125">
        <f t="shared" si="7"/>
        <v>2</v>
      </c>
    </row>
    <row r="57" spans="1:25" ht="15" thickBot="1" x14ac:dyDescent="0.35">
      <c r="A57" s="176"/>
      <c r="B57" s="173"/>
      <c r="C57" s="58"/>
      <c r="D57" s="59"/>
      <c r="E57" s="59"/>
      <c r="F57" s="59"/>
      <c r="G57" s="59"/>
      <c r="H57" s="59"/>
      <c r="I57" s="8"/>
      <c r="J57" s="5"/>
      <c r="K57" s="108"/>
      <c r="S57" s="117" t="s">
        <v>74</v>
      </c>
      <c r="T57" s="146" t="s">
        <v>9</v>
      </c>
      <c r="U57" s="146">
        <v>0</v>
      </c>
      <c r="V57" s="146">
        <v>1</v>
      </c>
      <c r="W57" s="146"/>
      <c r="X57" s="126">
        <f t="shared" si="6"/>
        <v>2</v>
      </c>
      <c r="Y57" s="125">
        <f t="shared" si="7"/>
        <v>3</v>
      </c>
    </row>
    <row r="58" spans="1:25" x14ac:dyDescent="0.3">
      <c r="A58" s="176"/>
      <c r="B58" s="173"/>
      <c r="C58" s="40">
        <v>25725</v>
      </c>
      <c r="D58" s="33" t="s">
        <v>16</v>
      </c>
      <c r="E58" s="33" t="s">
        <v>45</v>
      </c>
      <c r="F58" s="33">
        <v>2</v>
      </c>
      <c r="G58" s="33">
        <v>1</v>
      </c>
      <c r="H58" s="33"/>
      <c r="I58" s="5" t="s">
        <v>145</v>
      </c>
      <c r="J58" s="5"/>
      <c r="K58" s="108"/>
      <c r="S58" s="117" t="s">
        <v>16</v>
      </c>
      <c r="T58" s="138" t="s">
        <v>9</v>
      </c>
      <c r="U58" s="138">
        <v>2</v>
      </c>
      <c r="V58" s="138">
        <v>3</v>
      </c>
      <c r="W58" s="138"/>
      <c r="X58" s="126">
        <f t="shared" si="6"/>
        <v>2</v>
      </c>
      <c r="Y58" s="125">
        <f t="shared" si="7"/>
        <v>3</v>
      </c>
    </row>
    <row r="59" spans="1:25" ht="15" thickBot="1" x14ac:dyDescent="0.35">
      <c r="A59" s="176"/>
      <c r="B59" s="173"/>
      <c r="C59" s="58"/>
      <c r="D59" s="59"/>
      <c r="E59" s="59"/>
      <c r="F59" s="59"/>
      <c r="G59" s="59"/>
      <c r="H59" s="59"/>
      <c r="I59" s="8"/>
      <c r="J59" s="5"/>
      <c r="K59" s="108"/>
      <c r="S59" s="117" t="s">
        <v>74</v>
      </c>
      <c r="T59" s="146" t="s">
        <v>45</v>
      </c>
      <c r="U59" s="146">
        <v>1</v>
      </c>
      <c r="V59" s="146">
        <v>0</v>
      </c>
      <c r="W59" s="146"/>
      <c r="X59" s="126">
        <f t="shared" si="6"/>
        <v>3</v>
      </c>
      <c r="Y59" s="125">
        <f t="shared" si="7"/>
        <v>2</v>
      </c>
    </row>
    <row r="60" spans="1:25" x14ac:dyDescent="0.3">
      <c r="A60" s="176"/>
      <c r="B60" s="173"/>
      <c r="C60" s="40">
        <v>25726</v>
      </c>
      <c r="D60" s="33" t="s">
        <v>74</v>
      </c>
      <c r="E60" s="33" t="s">
        <v>9</v>
      </c>
      <c r="F60" s="33">
        <v>0</v>
      </c>
      <c r="G60" s="33">
        <v>1</v>
      </c>
      <c r="H60" s="33"/>
      <c r="I60" s="5" t="s">
        <v>145</v>
      </c>
      <c r="J60" s="5"/>
      <c r="K60" s="108"/>
      <c r="S60" s="117"/>
      <c r="T60" s="138"/>
      <c r="U60" s="138"/>
      <c r="V60" s="138"/>
      <c r="W60" s="138"/>
      <c r="X60" s="126"/>
      <c r="Y60" s="125"/>
    </row>
    <row r="61" spans="1:25" ht="15" thickBot="1" x14ac:dyDescent="0.35">
      <c r="A61" s="176"/>
      <c r="B61" s="173"/>
      <c r="C61" s="58"/>
      <c r="D61" s="59"/>
      <c r="E61" s="59"/>
      <c r="F61" s="59"/>
      <c r="G61" s="59"/>
      <c r="H61" s="59"/>
      <c r="I61" s="8"/>
      <c r="J61" s="5"/>
      <c r="K61" s="108"/>
      <c r="S61" s="117"/>
      <c r="T61" s="146"/>
      <c r="U61" s="146"/>
      <c r="V61" s="146"/>
      <c r="W61" s="146"/>
      <c r="X61" s="126"/>
      <c r="Y61" s="125"/>
    </row>
    <row r="62" spans="1:25" x14ac:dyDescent="0.3">
      <c r="A62" s="176"/>
      <c r="B62" s="173"/>
      <c r="C62" s="40">
        <v>25729</v>
      </c>
      <c r="D62" s="33" t="s">
        <v>16</v>
      </c>
      <c r="E62" s="33" t="s">
        <v>9</v>
      </c>
      <c r="F62" s="33">
        <v>2</v>
      </c>
      <c r="G62" s="33">
        <v>3</v>
      </c>
      <c r="H62" s="33"/>
      <c r="I62" s="5" t="s">
        <v>145</v>
      </c>
      <c r="J62" s="5"/>
      <c r="K62" s="108"/>
      <c r="S62" s="117"/>
      <c r="T62" s="138"/>
      <c r="U62" s="138"/>
      <c r="V62" s="138"/>
      <c r="W62" s="138"/>
      <c r="X62" s="126"/>
      <c r="Y62" s="125"/>
    </row>
    <row r="63" spans="1:25" ht="15" thickBot="1" x14ac:dyDescent="0.35">
      <c r="A63" s="176"/>
      <c r="B63" s="173"/>
      <c r="C63" s="58"/>
      <c r="D63" s="59"/>
      <c r="E63" s="59"/>
      <c r="F63" s="59"/>
      <c r="G63" s="59"/>
      <c r="H63" s="59"/>
      <c r="I63" s="8"/>
      <c r="J63" s="5"/>
      <c r="K63" s="108"/>
      <c r="S63" s="117"/>
      <c r="T63" s="146"/>
      <c r="U63" s="146"/>
      <c r="V63" s="146"/>
      <c r="W63" s="146"/>
      <c r="X63" s="126"/>
      <c r="Y63" s="125"/>
    </row>
    <row r="64" spans="1:25" x14ac:dyDescent="0.3">
      <c r="A64" s="176"/>
      <c r="B64" s="173"/>
      <c r="C64" s="40">
        <v>25730</v>
      </c>
      <c r="D64" s="33" t="s">
        <v>74</v>
      </c>
      <c r="E64" s="33" t="s">
        <v>45</v>
      </c>
      <c r="F64" s="33">
        <v>1</v>
      </c>
      <c r="G64" s="33">
        <v>0</v>
      </c>
      <c r="H64" s="33"/>
      <c r="I64" s="5" t="s">
        <v>145</v>
      </c>
      <c r="J64" s="5"/>
      <c r="K64" s="108"/>
      <c r="S64" s="117"/>
      <c r="T64" s="138"/>
      <c r="U64" s="138"/>
      <c r="V64" s="138"/>
      <c r="W64" s="138"/>
      <c r="X64" s="138"/>
      <c r="Y64" s="118"/>
    </row>
    <row r="65" spans="1:25" x14ac:dyDescent="0.3">
      <c r="A65" s="156"/>
      <c r="B65" s="173"/>
      <c r="C65" s="173"/>
      <c r="D65" s="33"/>
      <c r="E65" s="33"/>
      <c r="F65" s="33" t="s">
        <v>281</v>
      </c>
      <c r="G65" s="309" t="s">
        <v>282</v>
      </c>
      <c r="H65" s="309"/>
      <c r="I65" s="5"/>
      <c r="J65" s="5"/>
      <c r="K65" s="108"/>
      <c r="S65" s="117"/>
      <c r="T65" s="138"/>
      <c r="U65" s="138"/>
      <c r="V65" s="138"/>
      <c r="W65" s="138"/>
      <c r="X65" s="126"/>
      <c r="Y65" s="125"/>
    </row>
    <row r="66" spans="1:25" x14ac:dyDescent="0.3">
      <c r="A66" s="156"/>
      <c r="B66" s="173"/>
      <c r="C66" s="173"/>
      <c r="D66" s="173"/>
      <c r="E66" s="173"/>
      <c r="F66" s="173"/>
      <c r="G66" s="5"/>
      <c r="H66" s="5"/>
      <c r="I66" s="5"/>
      <c r="J66" s="5"/>
      <c r="K66" s="108"/>
      <c r="S66" s="117"/>
      <c r="T66" s="146"/>
      <c r="U66" s="146"/>
      <c r="V66" s="146"/>
      <c r="W66" s="146"/>
      <c r="X66" s="126"/>
      <c r="Y66" s="125"/>
    </row>
    <row r="67" spans="1:25" ht="15" thickBot="1" x14ac:dyDescent="0.35">
      <c r="A67" s="176"/>
      <c r="B67" s="173"/>
      <c r="C67" s="173" t="s">
        <v>12</v>
      </c>
      <c r="D67" s="173" t="s">
        <v>13</v>
      </c>
      <c r="E67" s="173" t="s">
        <v>14</v>
      </c>
      <c r="F67" s="173" t="s">
        <v>15</v>
      </c>
      <c r="G67" s="5" t="s">
        <v>24</v>
      </c>
      <c r="H67" s="5" t="s">
        <v>25</v>
      </c>
      <c r="I67" s="5" t="s">
        <v>26</v>
      </c>
      <c r="J67" s="5" t="s">
        <v>27</v>
      </c>
      <c r="K67" s="108"/>
      <c r="S67" s="117"/>
      <c r="T67" s="138"/>
      <c r="U67" s="138"/>
      <c r="V67" s="138"/>
      <c r="W67" s="138"/>
      <c r="X67" s="126"/>
      <c r="Y67" s="125"/>
    </row>
    <row r="68" spans="1:25" s="13" customFormat="1" x14ac:dyDescent="0.3">
      <c r="A68" s="24"/>
      <c r="B68" s="14" t="s">
        <v>16</v>
      </c>
      <c r="C68" s="376">
        <f>COUNTIF($S$90:$T$105,"UdSSR")</f>
        <v>1</v>
      </c>
      <c r="D68" s="43">
        <f>SUMPRODUCT(($S$90:$T$105=B68)*($X$90:$Y$105=3))</f>
        <v>0</v>
      </c>
      <c r="E68" s="43">
        <f>SUMPRODUCT(($S$90:$T$105=B68)*($X$90:$Y$105=1))</f>
        <v>0</v>
      </c>
      <c r="F68" s="43">
        <f>SUMPRODUCT(($S$90:$T$105=B68)*($X$90:$Y$105=2))</f>
        <v>0</v>
      </c>
      <c r="G68" s="43">
        <f>SUMPRODUCT(($S$90:$S$105=B68)*($U$90:$U$105))+SUMPRODUCT(($T$90:$T$105=B68)*($V$90:$V$105))</f>
        <v>0</v>
      </c>
      <c r="H68" s="43">
        <f>SUMPRODUCT(($S$90:$S$105=B68)*($V$90:$V$105))+SUMPRODUCT(($T$90:$T$105=B68)*($U$90:$U$105))</f>
        <v>0</v>
      </c>
      <c r="I68" s="18">
        <f>(D68*2)+E68</f>
        <v>0</v>
      </c>
      <c r="J68" s="22">
        <f>(F68*2)+E68</f>
        <v>0</v>
      </c>
      <c r="K68" s="109"/>
      <c r="S68" s="117"/>
      <c r="T68" s="138"/>
      <c r="U68" s="138"/>
      <c r="V68" s="138"/>
      <c r="W68" s="138"/>
      <c r="X68" s="126"/>
      <c r="Y68" s="125"/>
    </row>
    <row r="69" spans="1:25" x14ac:dyDescent="0.3">
      <c r="A69" s="176"/>
      <c r="B69" s="21" t="s">
        <v>74</v>
      </c>
      <c r="C69" s="17"/>
      <c r="D69" s="17"/>
      <c r="E69" s="17"/>
      <c r="F69" s="17"/>
      <c r="G69" s="18"/>
      <c r="H69" s="18"/>
      <c r="I69" s="18"/>
      <c r="J69" s="22"/>
      <c r="K69" s="108"/>
      <c r="S69" s="117"/>
      <c r="T69" s="138"/>
      <c r="U69" s="138"/>
      <c r="V69" s="138"/>
      <c r="W69" s="138"/>
      <c r="X69" s="126"/>
      <c r="Y69" s="125"/>
    </row>
    <row r="70" spans="1:25" x14ac:dyDescent="0.3">
      <c r="A70" s="176"/>
      <c r="B70" s="3" t="s">
        <v>45</v>
      </c>
      <c r="C70" s="173"/>
      <c r="D70" s="173"/>
      <c r="E70" s="173"/>
      <c r="F70" s="173"/>
      <c r="G70" s="5"/>
      <c r="H70" s="5"/>
      <c r="I70" s="5"/>
      <c r="J70" s="6"/>
      <c r="K70" s="108"/>
      <c r="S70" s="117"/>
      <c r="T70" s="138"/>
      <c r="U70" s="138"/>
      <c r="V70" s="138"/>
      <c r="W70" s="138"/>
      <c r="X70" s="138"/>
      <c r="Y70" s="118"/>
    </row>
    <row r="71" spans="1:25" ht="15" thickBot="1" x14ac:dyDescent="0.35">
      <c r="A71" s="176"/>
      <c r="B71" s="7" t="s">
        <v>9</v>
      </c>
      <c r="C71" s="178"/>
      <c r="D71" s="178"/>
      <c r="E71" s="178"/>
      <c r="F71" s="178"/>
      <c r="G71" s="8"/>
      <c r="H71" s="8"/>
      <c r="I71" s="8"/>
      <c r="J71" s="9"/>
      <c r="K71" s="108"/>
      <c r="S71" s="117"/>
      <c r="T71" s="138"/>
      <c r="U71" s="138"/>
      <c r="V71" s="138"/>
      <c r="W71" s="138"/>
      <c r="X71" s="138"/>
      <c r="Y71" s="118"/>
    </row>
    <row r="72" spans="1:25" ht="15" thickBot="1" x14ac:dyDescent="0.35">
      <c r="A72" s="176"/>
      <c r="B72" s="173"/>
      <c r="C72" s="173"/>
      <c r="D72" s="173"/>
      <c r="E72" s="173"/>
      <c r="F72" s="173"/>
      <c r="G72" s="5"/>
      <c r="H72" s="5"/>
      <c r="I72" s="5"/>
      <c r="J72" s="5"/>
      <c r="K72" s="193"/>
      <c r="S72" s="117"/>
      <c r="T72" s="138"/>
      <c r="U72" s="138"/>
      <c r="V72" s="138"/>
      <c r="W72" s="138"/>
      <c r="X72" s="126"/>
      <c r="Y72" s="125"/>
    </row>
    <row r="73" spans="1:25" ht="15" thickTop="1" x14ac:dyDescent="0.3">
      <c r="A73" s="106"/>
      <c r="B73" s="25"/>
      <c r="C73" s="25"/>
      <c r="D73" s="25"/>
      <c r="E73" s="25"/>
      <c r="F73" s="25"/>
      <c r="G73" s="26"/>
      <c r="H73" s="26"/>
      <c r="I73" s="26"/>
      <c r="J73" s="26"/>
      <c r="K73" s="108"/>
      <c r="S73" s="117"/>
      <c r="T73" s="138"/>
      <c r="U73" s="138"/>
      <c r="V73" s="138"/>
      <c r="W73" s="138"/>
      <c r="X73" s="126"/>
      <c r="Y73" s="125"/>
    </row>
    <row r="74" spans="1:25" ht="21" x14ac:dyDescent="0.4">
      <c r="A74" s="176"/>
      <c r="B74" s="173"/>
      <c r="C74" s="173"/>
      <c r="D74" s="173"/>
      <c r="E74" s="173"/>
      <c r="F74" s="172" t="s">
        <v>19</v>
      </c>
      <c r="G74" s="5"/>
      <c r="H74" s="5"/>
      <c r="I74" s="5"/>
      <c r="J74" s="5"/>
      <c r="K74" s="108"/>
      <c r="S74" s="117"/>
      <c r="T74" s="138"/>
      <c r="U74" s="138"/>
      <c r="V74" s="138"/>
      <c r="W74" s="138"/>
      <c r="X74" s="126"/>
      <c r="Y74" s="125"/>
    </row>
    <row r="75" spans="1:25" x14ac:dyDescent="0.3">
      <c r="A75" s="176"/>
      <c r="B75" s="28"/>
      <c r="C75" s="173"/>
      <c r="D75" s="173"/>
      <c r="E75" s="173"/>
      <c r="F75" s="173"/>
      <c r="G75" s="5"/>
      <c r="H75" s="5"/>
      <c r="I75" s="5"/>
      <c r="J75" s="5"/>
      <c r="K75" s="108"/>
      <c r="S75" s="117"/>
      <c r="T75" s="146"/>
      <c r="U75" s="146"/>
      <c r="V75" s="146"/>
      <c r="W75" s="146"/>
      <c r="X75" s="126"/>
      <c r="Y75" s="125"/>
    </row>
    <row r="76" spans="1:25" x14ac:dyDescent="0.3">
      <c r="A76" s="176"/>
      <c r="B76" s="173"/>
      <c r="C76" s="40">
        <v>25721</v>
      </c>
      <c r="D76" s="33" t="s">
        <v>17</v>
      </c>
      <c r="E76" s="33" t="s">
        <v>125</v>
      </c>
      <c r="F76" s="33">
        <v>3</v>
      </c>
      <c r="G76" s="33">
        <v>2</v>
      </c>
      <c r="H76" s="33"/>
      <c r="I76" s="5" t="s">
        <v>146</v>
      </c>
      <c r="J76" s="5"/>
      <c r="K76" s="108"/>
      <c r="S76" s="117" t="s">
        <v>17</v>
      </c>
      <c r="T76" s="138" t="s">
        <v>125</v>
      </c>
      <c r="U76" s="138">
        <v>3</v>
      </c>
      <c r="V76" s="138">
        <v>2</v>
      </c>
      <c r="W76" s="138"/>
      <c r="X76" s="126">
        <f t="shared" ref="X76:X81" si="8">(IF(U76&gt;V76,3,IF(U76=V76,1,2)))</f>
        <v>3</v>
      </c>
      <c r="Y76" s="125">
        <f t="shared" ref="Y76:Y81" si="9">(IF(V76&gt;U76,3,IF(U76=V76,1,2)))</f>
        <v>2</v>
      </c>
    </row>
    <row r="77" spans="1:25" ht="15" thickBot="1" x14ac:dyDescent="0.35">
      <c r="A77" s="176"/>
      <c r="B77" s="173"/>
      <c r="C77" s="58"/>
      <c r="D77" s="59"/>
      <c r="E77" s="59"/>
      <c r="F77" s="59"/>
      <c r="G77" s="59"/>
      <c r="H77" s="59"/>
      <c r="I77" s="8"/>
      <c r="J77" s="5"/>
      <c r="K77" s="108"/>
      <c r="S77" s="117" t="s">
        <v>147</v>
      </c>
      <c r="T77" s="146" t="s">
        <v>88</v>
      </c>
      <c r="U77" s="146">
        <v>1</v>
      </c>
      <c r="V77" s="146">
        <v>2</v>
      </c>
      <c r="W77" s="146"/>
      <c r="X77" s="126">
        <f t="shared" si="8"/>
        <v>2</v>
      </c>
      <c r="Y77" s="125">
        <f t="shared" si="9"/>
        <v>3</v>
      </c>
    </row>
    <row r="78" spans="1:25" x14ac:dyDescent="0.3">
      <c r="A78" s="176"/>
      <c r="B78" s="173"/>
      <c r="C78" s="40">
        <v>25722</v>
      </c>
      <c r="D78" s="33" t="s">
        <v>147</v>
      </c>
      <c r="E78" s="33" t="s">
        <v>88</v>
      </c>
      <c r="F78" s="33">
        <v>1</v>
      </c>
      <c r="G78" s="33">
        <v>2</v>
      </c>
      <c r="H78" s="33"/>
      <c r="I78" s="5" t="s">
        <v>146</v>
      </c>
      <c r="J78" s="5"/>
      <c r="K78" s="108"/>
      <c r="S78" s="117" t="s">
        <v>17</v>
      </c>
      <c r="T78" s="138" t="s">
        <v>147</v>
      </c>
      <c r="U78" s="138">
        <v>3</v>
      </c>
      <c r="V78" s="138">
        <v>0</v>
      </c>
      <c r="W78" s="138"/>
      <c r="X78" s="126">
        <f t="shared" si="8"/>
        <v>3</v>
      </c>
      <c r="Y78" s="125">
        <f t="shared" si="9"/>
        <v>2</v>
      </c>
    </row>
    <row r="79" spans="1:25" ht="15" thickBot="1" x14ac:dyDescent="0.35">
      <c r="A79" s="176"/>
      <c r="B79" s="173"/>
      <c r="C79" s="58"/>
      <c r="D79" s="59"/>
      <c r="E79" s="59"/>
      <c r="F79" s="59"/>
      <c r="G79" s="59"/>
      <c r="H79" s="59"/>
      <c r="I79" s="8"/>
      <c r="J79" s="5"/>
      <c r="K79" s="108"/>
      <c r="S79" s="117" t="s">
        <v>125</v>
      </c>
      <c r="T79" s="146" t="s">
        <v>88</v>
      </c>
      <c r="U79" s="146">
        <v>2</v>
      </c>
      <c r="V79" s="146">
        <v>5</v>
      </c>
      <c r="W79" s="146"/>
      <c r="X79" s="126">
        <f t="shared" si="8"/>
        <v>2</v>
      </c>
      <c r="Y79" s="125">
        <f t="shared" si="9"/>
        <v>3</v>
      </c>
    </row>
    <row r="80" spans="1:25" x14ac:dyDescent="0.3">
      <c r="A80" s="176"/>
      <c r="B80" s="173"/>
      <c r="C80" s="40">
        <v>25725</v>
      </c>
      <c r="D80" s="33" t="s">
        <v>17</v>
      </c>
      <c r="E80" s="33" t="s">
        <v>147</v>
      </c>
      <c r="F80" s="33">
        <v>3</v>
      </c>
      <c r="G80" s="33">
        <v>0</v>
      </c>
      <c r="H80" s="33"/>
      <c r="I80" s="5" t="s">
        <v>146</v>
      </c>
      <c r="J80" s="5"/>
      <c r="K80" s="108"/>
      <c r="S80" s="117" t="s">
        <v>17</v>
      </c>
      <c r="T80" s="138" t="s">
        <v>88</v>
      </c>
      <c r="U80" s="138">
        <v>1</v>
      </c>
      <c r="V80" s="138">
        <v>3</v>
      </c>
      <c r="W80" s="138"/>
      <c r="X80" s="126">
        <f t="shared" si="8"/>
        <v>2</v>
      </c>
      <c r="Y80" s="125">
        <f t="shared" si="9"/>
        <v>3</v>
      </c>
    </row>
    <row r="81" spans="1:25" ht="15" thickBot="1" x14ac:dyDescent="0.35">
      <c r="A81" s="176"/>
      <c r="B81" s="173"/>
      <c r="C81" s="58"/>
      <c r="D81" s="59"/>
      <c r="E81" s="59"/>
      <c r="F81" s="59"/>
      <c r="G81" s="59"/>
      <c r="H81" s="59"/>
      <c r="I81" s="8"/>
      <c r="J81" s="5"/>
      <c r="K81" s="108"/>
      <c r="S81" s="117" t="s">
        <v>125</v>
      </c>
      <c r="T81" s="146" t="s">
        <v>147</v>
      </c>
      <c r="U81" s="146">
        <v>1</v>
      </c>
      <c r="V81" s="146">
        <v>1</v>
      </c>
      <c r="W81" s="146"/>
      <c r="X81" s="126">
        <f t="shared" si="8"/>
        <v>1</v>
      </c>
      <c r="Y81" s="125">
        <f t="shared" si="9"/>
        <v>1</v>
      </c>
    </row>
    <row r="82" spans="1:25" x14ac:dyDescent="0.3">
      <c r="A82" s="176"/>
      <c r="B82" s="173"/>
      <c r="C82" s="40">
        <v>25726</v>
      </c>
      <c r="D82" s="33" t="s">
        <v>125</v>
      </c>
      <c r="E82" s="33" t="s">
        <v>88</v>
      </c>
      <c r="F82" s="33">
        <v>2</v>
      </c>
      <c r="G82" s="33">
        <v>5</v>
      </c>
      <c r="H82" s="33"/>
      <c r="I82" s="5" t="s">
        <v>146</v>
      </c>
      <c r="J82" s="5"/>
      <c r="K82" s="108"/>
      <c r="S82" s="117"/>
      <c r="T82" s="138"/>
      <c r="U82" s="138"/>
      <c r="V82" s="138"/>
      <c r="W82" s="138"/>
      <c r="X82" s="126"/>
      <c r="Y82" s="125"/>
    </row>
    <row r="83" spans="1:25" ht="15" thickBot="1" x14ac:dyDescent="0.35">
      <c r="A83" s="176"/>
      <c r="B83" s="173"/>
      <c r="C83" s="58"/>
      <c r="D83" s="59"/>
      <c r="E83" s="59"/>
      <c r="F83" s="59"/>
      <c r="G83" s="59"/>
      <c r="H83" s="59"/>
      <c r="I83" s="8"/>
      <c r="J83" s="5"/>
      <c r="K83" s="108"/>
      <c r="S83" s="117"/>
      <c r="T83" s="146"/>
      <c r="U83" s="146"/>
      <c r="V83" s="146"/>
      <c r="W83" s="146"/>
      <c r="X83" s="126"/>
      <c r="Y83" s="125"/>
    </row>
    <row r="84" spans="1:25" x14ac:dyDescent="0.3">
      <c r="A84" s="176"/>
      <c r="B84" s="173"/>
      <c r="C84" s="40">
        <v>25729</v>
      </c>
      <c r="D84" s="33" t="s">
        <v>17</v>
      </c>
      <c r="E84" s="33" t="s">
        <v>88</v>
      </c>
      <c r="F84" s="33">
        <v>1</v>
      </c>
      <c r="G84" s="33">
        <v>3</v>
      </c>
      <c r="H84" s="33"/>
      <c r="I84" s="5" t="s">
        <v>146</v>
      </c>
      <c r="J84" s="5"/>
      <c r="K84" s="108"/>
      <c r="S84" s="117"/>
      <c r="T84" s="138"/>
      <c r="U84" s="138"/>
      <c r="V84" s="138"/>
      <c r="W84" s="138"/>
      <c r="X84" s="126"/>
      <c r="Y84" s="125"/>
    </row>
    <row r="85" spans="1:25" ht="15" thickBot="1" x14ac:dyDescent="0.35">
      <c r="A85" s="176"/>
      <c r="B85" s="173"/>
      <c r="C85" s="58"/>
      <c r="D85" s="59"/>
      <c r="E85" s="59"/>
      <c r="F85" s="59"/>
      <c r="G85" s="59"/>
      <c r="H85" s="59"/>
      <c r="I85" s="8"/>
      <c r="J85" s="5"/>
      <c r="K85" s="108"/>
      <c r="S85" s="117"/>
      <c r="T85" s="146"/>
      <c r="U85" s="146"/>
      <c r="V85" s="146"/>
      <c r="W85" s="146"/>
      <c r="X85" s="126"/>
      <c r="Y85" s="125"/>
    </row>
    <row r="86" spans="1:25" x14ac:dyDescent="0.3">
      <c r="A86" s="176"/>
      <c r="B86" s="173"/>
      <c r="C86" s="40">
        <v>25730</v>
      </c>
      <c r="D86" s="66" t="s">
        <v>125</v>
      </c>
      <c r="E86" s="66" t="s">
        <v>147</v>
      </c>
      <c r="F86" s="66">
        <v>1</v>
      </c>
      <c r="G86" s="66">
        <v>1</v>
      </c>
      <c r="H86" s="33"/>
      <c r="I86" s="5" t="s">
        <v>146</v>
      </c>
      <c r="J86" s="5"/>
      <c r="K86" s="108"/>
      <c r="S86" s="117"/>
      <c r="T86" s="138"/>
      <c r="U86" s="138"/>
      <c r="V86" s="138"/>
      <c r="W86" s="138"/>
      <c r="X86" s="138"/>
      <c r="Y86" s="118"/>
    </row>
    <row r="87" spans="1:25" x14ac:dyDescent="0.3">
      <c r="A87" s="156"/>
      <c r="B87" s="17"/>
      <c r="C87" s="17"/>
      <c r="D87" s="66"/>
      <c r="E87" s="66"/>
      <c r="F87" s="33" t="s">
        <v>281</v>
      </c>
      <c r="G87" s="309" t="s">
        <v>282</v>
      </c>
      <c r="H87" s="309"/>
      <c r="I87" s="5"/>
      <c r="J87" s="5"/>
      <c r="K87" s="108"/>
      <c r="S87" s="117"/>
      <c r="T87" s="138"/>
      <c r="U87" s="138"/>
      <c r="V87" s="138"/>
      <c r="W87" s="138"/>
      <c r="X87" s="138"/>
      <c r="Y87" s="118"/>
    </row>
    <row r="88" spans="1:25" x14ac:dyDescent="0.3">
      <c r="A88" s="156"/>
      <c r="B88" s="17"/>
      <c r="C88" s="17"/>
      <c r="D88" s="17"/>
      <c r="E88" s="17"/>
      <c r="F88" s="173"/>
      <c r="G88" s="5"/>
      <c r="H88" s="5"/>
      <c r="I88" s="5"/>
      <c r="J88" s="5"/>
      <c r="K88" s="108"/>
      <c r="S88" s="117"/>
      <c r="T88" s="146"/>
      <c r="U88" s="146"/>
      <c r="V88" s="146"/>
      <c r="W88" s="146"/>
      <c r="X88" s="146"/>
      <c r="Y88" s="118"/>
    </row>
    <row r="89" spans="1:25" ht="15" thickBot="1" x14ac:dyDescent="0.35">
      <c r="A89" s="176"/>
      <c r="B89" s="173"/>
      <c r="C89" s="173" t="s">
        <v>12</v>
      </c>
      <c r="D89" s="173" t="s">
        <v>13</v>
      </c>
      <c r="E89" s="173" t="s">
        <v>14</v>
      </c>
      <c r="F89" s="173" t="s">
        <v>15</v>
      </c>
      <c r="G89" s="5" t="s">
        <v>24</v>
      </c>
      <c r="H89" s="5" t="s">
        <v>25</v>
      </c>
      <c r="I89" s="5" t="s">
        <v>26</v>
      </c>
      <c r="J89" s="5" t="s">
        <v>27</v>
      </c>
      <c r="K89" s="108"/>
      <c r="S89" s="117"/>
      <c r="T89" s="138"/>
      <c r="U89" s="138"/>
      <c r="V89" s="138"/>
      <c r="W89" s="138"/>
      <c r="X89" s="126"/>
      <c r="Y89" s="125"/>
    </row>
    <row r="90" spans="1:25" x14ac:dyDescent="0.3">
      <c r="A90" s="176"/>
      <c r="B90" s="14" t="s">
        <v>17</v>
      </c>
      <c r="C90" s="376">
        <f>COUNTIF($S$90:$T$105,"UdSSR")</f>
        <v>1</v>
      </c>
      <c r="D90" s="43">
        <f>SUMPRODUCT(($S$90:$T$105=B90)*($X$90:$Y$105=3))</f>
        <v>0</v>
      </c>
      <c r="E90" s="43">
        <f>SUMPRODUCT(($S$90:$T$105=B90)*($X$90:$Y$105=1))</f>
        <v>0</v>
      </c>
      <c r="F90" s="43">
        <f>SUMPRODUCT(($S$90:$T$105=B90)*($X$90:$Y$105=2))</f>
        <v>1</v>
      </c>
      <c r="G90" s="43">
        <f>SUMPRODUCT(($S$90:$S$105=B90)*($U$90:$U$105))+SUMPRODUCT(($T$90:$T$105=B90)*($V$90:$V$105))</f>
        <v>2</v>
      </c>
      <c r="H90" s="43">
        <f>SUMPRODUCT(($S$90:$S$105=B90)*($V$90:$V$105))+SUMPRODUCT(($T$90:$T$105=B90)*($U$90:$U$105))</f>
        <v>4</v>
      </c>
      <c r="I90" s="18">
        <f>(D90*2)+E90</f>
        <v>0</v>
      </c>
      <c r="J90" s="22">
        <f>(F90*2)+E90</f>
        <v>2</v>
      </c>
      <c r="K90" s="108"/>
      <c r="S90" s="117"/>
      <c r="T90" s="138"/>
      <c r="U90" s="138"/>
      <c r="V90" s="138"/>
      <c r="W90" s="138"/>
      <c r="X90" s="138"/>
      <c r="Y90" s="118"/>
    </row>
    <row r="91" spans="1:25" x14ac:dyDescent="0.3">
      <c r="A91" s="176"/>
      <c r="B91" s="21" t="s">
        <v>125</v>
      </c>
      <c r="C91" s="17"/>
      <c r="D91" s="17"/>
      <c r="E91" s="17"/>
      <c r="F91" s="17"/>
      <c r="G91" s="18"/>
      <c r="H91" s="18"/>
      <c r="I91" s="18"/>
      <c r="J91" s="22"/>
      <c r="K91" s="108"/>
      <c r="S91" s="117"/>
      <c r="T91" s="138"/>
      <c r="U91" s="138"/>
      <c r="V91" s="138"/>
      <c r="W91" s="138"/>
      <c r="X91" s="138"/>
      <c r="Y91" s="118"/>
    </row>
    <row r="92" spans="1:25" x14ac:dyDescent="0.3">
      <c r="A92" s="176"/>
      <c r="B92" s="3" t="s">
        <v>147</v>
      </c>
      <c r="C92" s="173"/>
      <c r="D92" s="173"/>
      <c r="E92" s="173"/>
      <c r="F92" s="173"/>
      <c r="G92" s="5"/>
      <c r="H92" s="5"/>
      <c r="I92" s="5"/>
      <c r="J92" s="6"/>
      <c r="K92" s="108"/>
      <c r="S92" s="117"/>
      <c r="T92" s="138"/>
      <c r="U92" s="138"/>
      <c r="V92" s="138"/>
      <c r="W92" s="138"/>
      <c r="X92" s="126"/>
      <c r="Y92" s="125"/>
    </row>
    <row r="93" spans="1:25" ht="15" thickBot="1" x14ac:dyDescent="0.35">
      <c r="A93" s="176"/>
      <c r="B93" s="7" t="s">
        <v>88</v>
      </c>
      <c r="C93" s="178"/>
      <c r="D93" s="178"/>
      <c r="E93" s="178"/>
      <c r="F93" s="178"/>
      <c r="G93" s="8"/>
      <c r="H93" s="8"/>
      <c r="I93" s="8"/>
      <c r="J93" s="9"/>
      <c r="K93" s="108"/>
      <c r="S93" s="117"/>
      <c r="T93" s="138"/>
      <c r="U93" s="138"/>
      <c r="V93" s="138"/>
      <c r="W93" s="138"/>
      <c r="X93" s="126"/>
      <c r="Y93" s="125"/>
    </row>
    <row r="94" spans="1:25" ht="15" thickBot="1" x14ac:dyDescent="0.35">
      <c r="A94" s="176"/>
      <c r="B94" s="173"/>
      <c r="C94" s="173"/>
      <c r="D94" s="173"/>
      <c r="E94" s="173"/>
      <c r="F94" s="173"/>
      <c r="G94" s="5"/>
      <c r="H94" s="5"/>
      <c r="I94" s="5"/>
      <c r="J94" s="5"/>
      <c r="K94" s="193"/>
      <c r="S94" s="117"/>
      <c r="T94" s="138"/>
      <c r="U94" s="138"/>
      <c r="V94" s="138"/>
      <c r="W94" s="138"/>
      <c r="X94" s="126"/>
      <c r="Y94" s="125"/>
    </row>
    <row r="95" spans="1:25" ht="15" thickTop="1" x14ac:dyDescent="0.3">
      <c r="A95" s="106"/>
      <c r="B95" s="25"/>
      <c r="C95" s="25"/>
      <c r="D95" s="25"/>
      <c r="E95" s="25"/>
      <c r="F95" s="25"/>
      <c r="G95" s="26"/>
      <c r="H95" s="26"/>
      <c r="I95" s="26"/>
      <c r="J95" s="26"/>
      <c r="K95" s="108"/>
      <c r="S95" s="117"/>
      <c r="T95" s="138"/>
      <c r="U95" s="138"/>
      <c r="V95" s="138"/>
      <c r="W95" s="138"/>
      <c r="X95" s="126"/>
      <c r="Y95" s="125"/>
    </row>
    <row r="96" spans="1:25" ht="21" x14ac:dyDescent="0.4">
      <c r="A96" s="176"/>
      <c r="B96" s="173"/>
      <c r="C96" s="173"/>
      <c r="D96" s="173"/>
      <c r="E96" s="173"/>
      <c r="F96" s="172" t="s">
        <v>47</v>
      </c>
      <c r="G96" s="5"/>
      <c r="H96" s="5"/>
      <c r="I96" s="5"/>
      <c r="J96" s="5"/>
      <c r="K96" s="108"/>
      <c r="S96" s="117"/>
      <c r="T96" s="138"/>
      <c r="U96" s="138"/>
      <c r="V96" s="138"/>
      <c r="W96" s="138"/>
      <c r="X96" s="126"/>
      <c r="Y96" s="125"/>
    </row>
    <row r="97" spans="1:25" x14ac:dyDescent="0.3">
      <c r="A97" s="176"/>
      <c r="B97" s="173"/>
      <c r="C97" s="173"/>
      <c r="D97" s="173"/>
      <c r="E97" s="173"/>
      <c r="F97" s="28"/>
      <c r="G97" s="5"/>
      <c r="H97" s="5"/>
      <c r="I97" s="5"/>
      <c r="J97" s="5"/>
      <c r="K97" s="108"/>
      <c r="S97" s="117"/>
      <c r="T97" s="146"/>
      <c r="U97" s="146"/>
      <c r="V97" s="146"/>
      <c r="W97" s="146"/>
      <c r="X97" s="126"/>
      <c r="Y97" s="125"/>
    </row>
    <row r="98" spans="1:25" x14ac:dyDescent="0.3">
      <c r="A98" s="176"/>
      <c r="B98" s="173"/>
      <c r="C98" s="40">
        <v>25733</v>
      </c>
      <c r="D98" s="33" t="s">
        <v>101</v>
      </c>
      <c r="E98" s="33" t="s">
        <v>18</v>
      </c>
      <c r="F98" s="33">
        <v>0</v>
      </c>
      <c r="G98" s="33">
        <v>1</v>
      </c>
      <c r="H98" s="33" t="s">
        <v>30</v>
      </c>
      <c r="I98" s="5" t="s">
        <v>140</v>
      </c>
      <c r="J98" s="5"/>
      <c r="K98" s="108"/>
      <c r="S98" s="117" t="s">
        <v>101</v>
      </c>
      <c r="T98" s="138" t="s">
        <v>18</v>
      </c>
      <c r="U98" s="138">
        <v>0</v>
      </c>
      <c r="V98" s="138">
        <v>1</v>
      </c>
      <c r="W98" s="138"/>
      <c r="X98" s="126">
        <f t="shared" ref="X98:X101" si="10">(IF(U98&gt;V98,3,IF(U98=V98,1,2)))</f>
        <v>2</v>
      </c>
      <c r="Y98" s="125">
        <f t="shared" ref="Y98:Y101" si="11">(IF(V98&gt;U98,3,IF(U98=V98,1,2)))</f>
        <v>3</v>
      </c>
    </row>
    <row r="99" spans="1:25" x14ac:dyDescent="0.3">
      <c r="A99" s="176"/>
      <c r="B99" s="173"/>
      <c r="C99" s="40"/>
      <c r="D99" s="33"/>
      <c r="E99" s="33"/>
      <c r="F99" s="33"/>
      <c r="G99" s="33"/>
      <c r="H99" s="33"/>
      <c r="I99" s="5"/>
      <c r="J99" s="5"/>
      <c r="K99" s="108"/>
      <c r="S99" s="117" t="s">
        <v>37</v>
      </c>
      <c r="T99" s="146" t="s">
        <v>4</v>
      </c>
      <c r="U99" s="146">
        <v>4</v>
      </c>
      <c r="V99" s="146">
        <v>1</v>
      </c>
      <c r="W99" s="146"/>
      <c r="X99" s="126">
        <f t="shared" si="10"/>
        <v>3</v>
      </c>
      <c r="Y99" s="125">
        <f t="shared" si="11"/>
        <v>2</v>
      </c>
    </row>
    <row r="100" spans="1:25" ht="15" thickBot="1" x14ac:dyDescent="0.35">
      <c r="A100" s="176"/>
      <c r="B100" s="173"/>
      <c r="C100" s="58"/>
      <c r="D100" s="59"/>
      <c r="E100" s="59"/>
      <c r="F100" s="59" t="s">
        <v>281</v>
      </c>
      <c r="G100" s="59" t="s">
        <v>282</v>
      </c>
      <c r="H100" s="59"/>
      <c r="I100" s="8"/>
      <c r="J100" s="5"/>
      <c r="K100" s="108"/>
      <c r="S100" s="117" t="s">
        <v>9</v>
      </c>
      <c r="T100" s="146" t="s">
        <v>17</v>
      </c>
      <c r="U100" s="146">
        <v>4</v>
      </c>
      <c r="V100" s="146">
        <v>2</v>
      </c>
      <c r="W100" s="146"/>
      <c r="X100" s="126">
        <f t="shared" si="10"/>
        <v>3</v>
      </c>
      <c r="Y100" s="125">
        <f t="shared" si="11"/>
        <v>2</v>
      </c>
    </row>
    <row r="101" spans="1:25" x14ac:dyDescent="0.3">
      <c r="A101" s="176"/>
      <c r="B101" s="173"/>
      <c r="C101" s="40">
        <v>25733</v>
      </c>
      <c r="D101" s="33" t="s">
        <v>37</v>
      </c>
      <c r="E101" s="33" t="s">
        <v>4</v>
      </c>
      <c r="F101" s="33">
        <v>4</v>
      </c>
      <c r="G101" s="33">
        <v>1</v>
      </c>
      <c r="H101" s="33"/>
      <c r="I101" s="5" t="s">
        <v>144</v>
      </c>
      <c r="J101" s="5"/>
      <c r="K101" s="108"/>
      <c r="S101" s="117" t="s">
        <v>88</v>
      </c>
      <c r="T101" s="138" t="s">
        <v>74</v>
      </c>
      <c r="U101" s="138">
        <v>3</v>
      </c>
      <c r="V101" s="138">
        <v>2</v>
      </c>
      <c r="W101" s="138"/>
      <c r="X101" s="126">
        <f t="shared" si="10"/>
        <v>3</v>
      </c>
      <c r="Y101" s="125">
        <f t="shared" si="11"/>
        <v>2</v>
      </c>
    </row>
    <row r="102" spans="1:25" ht="15" thickBot="1" x14ac:dyDescent="0.35">
      <c r="A102" s="176"/>
      <c r="B102" s="173"/>
      <c r="C102" s="58"/>
      <c r="D102" s="59"/>
      <c r="E102" s="59"/>
      <c r="F102" s="59"/>
      <c r="G102" s="59"/>
      <c r="H102" s="59"/>
      <c r="I102" s="8"/>
      <c r="J102" s="5"/>
      <c r="K102" s="108"/>
      <c r="S102" s="117"/>
      <c r="T102" s="146"/>
      <c r="U102" s="146"/>
      <c r="V102" s="146"/>
      <c r="W102" s="146"/>
      <c r="X102" s="126"/>
      <c r="Y102" s="125"/>
    </row>
    <row r="103" spans="1:25" s="13" customFormat="1" x14ac:dyDescent="0.3">
      <c r="A103" s="186"/>
      <c r="B103" s="95"/>
      <c r="C103" s="165">
        <v>25733</v>
      </c>
      <c r="D103" s="66" t="s">
        <v>9</v>
      </c>
      <c r="E103" s="66" t="s">
        <v>17</v>
      </c>
      <c r="F103" s="66">
        <v>4</v>
      </c>
      <c r="G103" s="66">
        <v>2</v>
      </c>
      <c r="H103" s="66"/>
      <c r="I103" s="18" t="s">
        <v>145</v>
      </c>
      <c r="J103" s="18"/>
      <c r="K103" s="109"/>
      <c r="S103" s="117"/>
      <c r="T103" s="138"/>
      <c r="U103" s="138"/>
      <c r="V103" s="138"/>
      <c r="W103" s="138"/>
      <c r="X103" s="126"/>
      <c r="Y103" s="125"/>
    </row>
    <row r="104" spans="1:25" s="13" customFormat="1" ht="15" thickBot="1" x14ac:dyDescent="0.35">
      <c r="A104" s="186"/>
      <c r="B104" s="95"/>
      <c r="C104" s="62"/>
      <c r="D104" s="367"/>
      <c r="E104" s="367"/>
      <c r="F104" s="367"/>
      <c r="G104" s="367"/>
      <c r="H104" s="367"/>
      <c r="I104" s="31"/>
      <c r="J104" s="18"/>
      <c r="K104" s="109"/>
      <c r="S104" s="117"/>
      <c r="T104" s="146"/>
      <c r="U104" s="146"/>
      <c r="V104" s="146"/>
      <c r="W104" s="146"/>
      <c r="X104" s="126"/>
      <c r="Y104" s="125"/>
    </row>
    <row r="105" spans="1:25" s="13" customFormat="1" x14ac:dyDescent="0.3">
      <c r="A105" s="186"/>
      <c r="B105" s="95"/>
      <c r="C105" s="165">
        <v>25733</v>
      </c>
      <c r="D105" s="66" t="s">
        <v>88</v>
      </c>
      <c r="E105" s="66" t="s">
        <v>74</v>
      </c>
      <c r="F105" s="66">
        <v>3</v>
      </c>
      <c r="G105" s="66">
        <v>2</v>
      </c>
      <c r="H105" s="66" t="s">
        <v>30</v>
      </c>
      <c r="I105" s="18" t="s">
        <v>146</v>
      </c>
      <c r="J105" s="18"/>
      <c r="K105" s="109"/>
      <c r="S105" s="117"/>
      <c r="T105" s="138"/>
      <c r="U105" s="138"/>
      <c r="V105" s="138"/>
      <c r="W105" s="138"/>
      <c r="X105" s="126"/>
      <c r="Y105" s="125"/>
    </row>
    <row r="106" spans="1:25" s="13" customFormat="1" x14ac:dyDescent="0.3">
      <c r="A106" s="194"/>
      <c r="B106" s="17"/>
      <c r="C106" s="17"/>
      <c r="D106" s="66"/>
      <c r="E106" s="66"/>
      <c r="F106" s="66"/>
      <c r="G106" s="94"/>
      <c r="H106" s="94"/>
      <c r="I106" s="18"/>
      <c r="J106" s="18"/>
      <c r="K106" s="109"/>
      <c r="S106" s="117"/>
      <c r="T106" s="138"/>
      <c r="U106" s="138"/>
      <c r="V106" s="138"/>
      <c r="W106" s="138"/>
      <c r="X106" s="126"/>
      <c r="Y106" s="125"/>
    </row>
    <row r="107" spans="1:25" s="13" customFormat="1" x14ac:dyDescent="0.3">
      <c r="A107" s="194"/>
      <c r="B107" s="17"/>
      <c r="C107" s="17"/>
      <c r="D107" s="66"/>
      <c r="E107" s="66"/>
      <c r="F107" s="66" t="s">
        <v>281</v>
      </c>
      <c r="G107" s="94" t="s">
        <v>282</v>
      </c>
      <c r="H107" s="94"/>
      <c r="I107" s="18"/>
      <c r="J107" s="18"/>
      <c r="K107" s="109"/>
      <c r="S107" s="117"/>
      <c r="T107" s="146"/>
      <c r="U107" s="146"/>
      <c r="V107" s="146"/>
      <c r="W107" s="146"/>
      <c r="X107" s="126"/>
      <c r="Y107" s="125"/>
    </row>
    <row r="108" spans="1:25" s="13" customFormat="1" x14ac:dyDescent="0.3">
      <c r="A108" s="194"/>
      <c r="B108" s="17"/>
      <c r="C108" s="17"/>
      <c r="D108" s="17"/>
      <c r="E108" s="17"/>
      <c r="F108" s="17"/>
      <c r="G108" s="18"/>
      <c r="H108" s="18"/>
      <c r="I108" s="18"/>
      <c r="J108" s="18"/>
      <c r="K108" s="109"/>
      <c r="S108" s="117"/>
      <c r="T108" s="146"/>
      <c r="U108" s="146"/>
      <c r="V108" s="146"/>
      <c r="W108" s="146"/>
      <c r="X108" s="126"/>
      <c r="Y108" s="125"/>
    </row>
    <row r="109" spans="1:25" s="13" customFormat="1" x14ac:dyDescent="0.3">
      <c r="A109" s="194"/>
      <c r="B109" s="17"/>
      <c r="C109" s="17"/>
      <c r="D109" s="17"/>
      <c r="E109" s="17"/>
      <c r="F109" s="17"/>
      <c r="G109" s="18"/>
      <c r="H109" s="18"/>
      <c r="I109" s="18"/>
      <c r="J109" s="18"/>
      <c r="K109" s="109"/>
      <c r="S109" s="117"/>
      <c r="T109" s="146"/>
      <c r="U109" s="146"/>
      <c r="V109" s="146"/>
      <c r="W109" s="146"/>
      <c r="X109" s="126"/>
      <c r="Y109" s="125"/>
    </row>
    <row r="110" spans="1:25" s="13" customFormat="1" ht="21" x14ac:dyDescent="0.4">
      <c r="A110" s="194"/>
      <c r="B110" s="95"/>
      <c r="C110" s="17"/>
      <c r="D110" s="17"/>
      <c r="E110" s="17"/>
      <c r="F110" s="70" t="s">
        <v>48</v>
      </c>
      <c r="G110" s="18"/>
      <c r="H110" s="18"/>
      <c r="I110" s="18"/>
      <c r="J110" s="18"/>
      <c r="K110" s="109"/>
      <c r="S110" s="117"/>
      <c r="T110" s="138"/>
      <c r="U110" s="138"/>
      <c r="V110" s="138"/>
      <c r="W110" s="138"/>
      <c r="X110" s="126"/>
      <c r="Y110" s="125"/>
    </row>
    <row r="111" spans="1:25" s="13" customFormat="1" x14ac:dyDescent="0.3">
      <c r="A111" s="194"/>
      <c r="B111" s="95"/>
      <c r="C111" s="17"/>
      <c r="D111" s="17"/>
      <c r="E111" s="17"/>
      <c r="F111" s="52"/>
      <c r="G111" s="18"/>
      <c r="H111" s="18"/>
      <c r="I111" s="18"/>
      <c r="J111" s="18"/>
      <c r="K111" s="109"/>
      <c r="S111" s="117"/>
      <c r="T111" s="146"/>
      <c r="U111" s="146"/>
      <c r="V111" s="146"/>
      <c r="W111" s="146"/>
      <c r="X111" s="126"/>
      <c r="Y111" s="125"/>
    </row>
    <row r="112" spans="1:25" s="13" customFormat="1" x14ac:dyDescent="0.3">
      <c r="A112" s="186"/>
      <c r="B112" s="95"/>
      <c r="C112" s="165">
        <v>25736</v>
      </c>
      <c r="D112" s="66" t="s">
        <v>18</v>
      </c>
      <c r="E112" s="66" t="s">
        <v>9</v>
      </c>
      <c r="F112" s="66">
        <v>1</v>
      </c>
      <c r="G112" s="66">
        <v>3</v>
      </c>
      <c r="H112" s="17"/>
      <c r="I112" s="18" t="s">
        <v>145</v>
      </c>
      <c r="J112" s="18"/>
      <c r="K112" s="109"/>
      <c r="S112" s="117" t="s">
        <v>18</v>
      </c>
      <c r="T112" s="138" t="s">
        <v>9</v>
      </c>
      <c r="U112" s="138">
        <v>1</v>
      </c>
      <c r="V112" s="138">
        <v>3</v>
      </c>
      <c r="W112" s="138"/>
      <c r="X112" s="126">
        <f t="shared" ref="X112" si="12">(IF(U112&gt;V112,3,IF(U112=V112,1,2)))</f>
        <v>2</v>
      </c>
      <c r="Y112" s="125">
        <f t="shared" ref="Y112" si="13">(IF(V112&gt;U112,3,IF(U112=V112,1,2)))</f>
        <v>3</v>
      </c>
    </row>
    <row r="113" spans="1:25" s="13" customFormat="1" ht="15" thickBot="1" x14ac:dyDescent="0.35">
      <c r="A113" s="186"/>
      <c r="B113" s="95"/>
      <c r="C113" s="62"/>
      <c r="D113" s="367"/>
      <c r="E113" s="367"/>
      <c r="F113" s="367"/>
      <c r="G113" s="367"/>
      <c r="H113" s="30"/>
      <c r="I113" s="31"/>
      <c r="J113" s="18"/>
      <c r="K113" s="109"/>
      <c r="S113" s="117" t="s">
        <v>37</v>
      </c>
      <c r="T113" s="146" t="s">
        <v>88</v>
      </c>
      <c r="U113" s="146">
        <v>4</v>
      </c>
      <c r="V113" s="146">
        <v>3</v>
      </c>
      <c r="W113" s="146"/>
      <c r="X113" s="126">
        <f t="shared" ref="X113" si="14">(IF(U113&gt;V113,3,IF(U113=V113,1,2)))</f>
        <v>3</v>
      </c>
      <c r="Y113" s="125">
        <f t="shared" ref="Y113" si="15">(IF(V113&gt;U113,3,IF(U113=V113,1,2)))</f>
        <v>2</v>
      </c>
    </row>
    <row r="114" spans="1:25" s="13" customFormat="1" x14ac:dyDescent="0.3">
      <c r="A114" s="186"/>
      <c r="B114" s="95"/>
      <c r="C114" s="165">
        <v>25736</v>
      </c>
      <c r="D114" s="66" t="s">
        <v>37</v>
      </c>
      <c r="E114" s="66" t="s">
        <v>88</v>
      </c>
      <c r="F114" s="66">
        <v>4</v>
      </c>
      <c r="G114" s="66">
        <v>3</v>
      </c>
      <c r="H114" s="17" t="s">
        <v>30</v>
      </c>
      <c r="I114" s="18" t="s">
        <v>140</v>
      </c>
      <c r="J114" s="18"/>
      <c r="K114" s="109"/>
      <c r="S114" s="117"/>
      <c r="T114" s="138"/>
      <c r="U114" s="138"/>
      <c r="V114" s="138"/>
      <c r="W114" s="138"/>
      <c r="X114" s="126"/>
      <c r="Y114" s="125"/>
    </row>
    <row r="115" spans="1:25" s="13" customFormat="1" x14ac:dyDescent="0.3">
      <c r="A115" s="194"/>
      <c r="B115" s="17"/>
      <c r="C115" s="17"/>
      <c r="D115" s="66"/>
      <c r="E115" s="66"/>
      <c r="F115" s="66"/>
      <c r="G115" s="94"/>
      <c r="H115" s="18"/>
      <c r="I115" s="18"/>
      <c r="J115" s="18"/>
      <c r="K115" s="109"/>
      <c r="S115" s="117"/>
      <c r="T115" s="138"/>
      <c r="U115" s="138"/>
      <c r="V115" s="138"/>
      <c r="W115" s="138"/>
      <c r="X115" s="138"/>
      <c r="Y115" s="118"/>
    </row>
    <row r="116" spans="1:25" s="13" customFormat="1" x14ac:dyDescent="0.3">
      <c r="A116" s="194"/>
      <c r="B116" s="17"/>
      <c r="C116" s="17"/>
      <c r="D116" s="17"/>
      <c r="E116" s="17"/>
      <c r="F116" s="17" t="s">
        <v>281</v>
      </c>
      <c r="G116" s="18" t="s">
        <v>282</v>
      </c>
      <c r="H116" s="18"/>
      <c r="I116" s="18"/>
      <c r="J116" s="18"/>
      <c r="K116" s="109"/>
      <c r="S116" s="117"/>
      <c r="T116" s="146"/>
      <c r="U116" s="146"/>
      <c r="V116" s="146"/>
      <c r="W116" s="146"/>
      <c r="X116" s="146"/>
      <c r="Y116" s="118"/>
    </row>
    <row r="117" spans="1:25" s="13" customFormat="1" x14ac:dyDescent="0.3">
      <c r="A117" s="194"/>
      <c r="B117" s="17"/>
      <c r="C117" s="17"/>
      <c r="D117" s="17"/>
      <c r="E117" s="17"/>
      <c r="F117" s="17"/>
      <c r="G117" s="18"/>
      <c r="H117" s="18"/>
      <c r="I117" s="18"/>
      <c r="J117" s="18"/>
      <c r="K117" s="109"/>
      <c r="S117" s="117"/>
      <c r="T117" s="146"/>
      <c r="U117" s="146"/>
      <c r="V117" s="146"/>
      <c r="W117" s="146"/>
      <c r="X117" s="146"/>
      <c r="Y117" s="118"/>
    </row>
    <row r="118" spans="1:25" s="13" customFormat="1" ht="15" thickBot="1" x14ac:dyDescent="0.35">
      <c r="A118" s="194"/>
      <c r="B118" s="17"/>
      <c r="C118" s="17"/>
      <c r="D118" s="17"/>
      <c r="E118" s="17"/>
      <c r="F118" s="17"/>
      <c r="G118" s="18"/>
      <c r="H118" s="18"/>
      <c r="I118" s="18"/>
      <c r="J118" s="18"/>
      <c r="K118" s="109"/>
      <c r="S118" s="117"/>
      <c r="T118" s="146"/>
      <c r="U118" s="146"/>
      <c r="V118" s="146"/>
      <c r="W118" s="146"/>
      <c r="X118" s="146"/>
      <c r="Y118" s="118"/>
    </row>
    <row r="119" spans="1:25" s="13" customFormat="1" ht="21" x14ac:dyDescent="0.4">
      <c r="A119" s="194"/>
      <c r="B119" s="95"/>
      <c r="C119" s="443" t="s">
        <v>320</v>
      </c>
      <c r="D119" s="444"/>
      <c r="E119" s="444"/>
      <c r="F119" s="444"/>
      <c r="G119" s="444"/>
      <c r="H119" s="444"/>
      <c r="I119" s="445"/>
      <c r="J119" s="18"/>
      <c r="K119" s="109"/>
      <c r="S119" s="117"/>
      <c r="T119" s="138"/>
      <c r="U119" s="138"/>
      <c r="V119" s="138"/>
      <c r="W119" s="138"/>
      <c r="X119" s="138"/>
      <c r="Y119" s="118"/>
    </row>
    <row r="120" spans="1:25" s="13" customFormat="1" ht="14.4" customHeight="1" x14ac:dyDescent="0.4">
      <c r="A120" s="194"/>
      <c r="B120" s="95"/>
      <c r="C120" s="383"/>
      <c r="D120" s="377"/>
      <c r="E120" s="377"/>
      <c r="F120" s="377"/>
      <c r="G120" s="377"/>
      <c r="H120" s="377"/>
      <c r="I120" s="384"/>
      <c r="J120" s="18"/>
      <c r="K120" s="109"/>
      <c r="S120" s="117"/>
      <c r="T120" s="376"/>
      <c r="U120" s="376"/>
      <c r="V120" s="376"/>
      <c r="W120" s="376"/>
      <c r="X120" s="376"/>
      <c r="Y120" s="118"/>
    </row>
    <row r="121" spans="1:25" s="13" customFormat="1" x14ac:dyDescent="0.3">
      <c r="A121" s="194"/>
      <c r="B121" s="95"/>
      <c r="C121" s="161"/>
      <c r="D121" s="17" t="s">
        <v>18</v>
      </c>
      <c r="E121" s="64" t="s">
        <v>88</v>
      </c>
      <c r="F121" s="66">
        <v>0</v>
      </c>
      <c r="G121" s="17">
        <v>1</v>
      </c>
      <c r="I121" s="22"/>
      <c r="J121" s="18"/>
      <c r="K121" s="109"/>
      <c r="S121" s="117" t="s">
        <v>18</v>
      </c>
      <c r="T121" s="138" t="s">
        <v>88</v>
      </c>
      <c r="U121" s="138">
        <v>0</v>
      </c>
      <c r="V121" s="138">
        <v>1</v>
      </c>
      <c r="W121" s="138"/>
      <c r="X121" s="126">
        <f t="shared" ref="X121" si="16">(IF(U121&gt;V121,3,IF(U121=V121,1,2)))</f>
        <v>2</v>
      </c>
      <c r="Y121" s="125">
        <f t="shared" ref="Y121" si="17">(IF(V121&gt;U121,3,IF(U121=V121,1,2)))</f>
        <v>3</v>
      </c>
    </row>
    <row r="122" spans="1:25" s="13" customFormat="1" x14ac:dyDescent="0.3">
      <c r="A122" s="194"/>
      <c r="B122" s="17"/>
      <c r="C122" s="21"/>
      <c r="D122" s="17"/>
      <c r="E122" s="17"/>
      <c r="F122" s="94" t="s">
        <v>281</v>
      </c>
      <c r="G122" s="18" t="s">
        <v>282</v>
      </c>
      <c r="I122" s="22"/>
      <c r="J122" s="18"/>
      <c r="K122" s="109"/>
      <c r="S122" s="117"/>
      <c r="T122" s="138"/>
      <c r="U122" s="138"/>
      <c r="V122" s="138"/>
      <c r="W122" s="138"/>
      <c r="X122" s="138"/>
      <c r="Y122" s="118"/>
    </row>
    <row r="123" spans="1:25" s="13" customFormat="1" ht="15" thickBot="1" x14ac:dyDescent="0.35">
      <c r="A123" s="194"/>
      <c r="B123" s="17"/>
      <c r="C123" s="29"/>
      <c r="D123" s="30"/>
      <c r="E123" s="30"/>
      <c r="F123" s="30"/>
      <c r="G123" s="162"/>
      <c r="H123" s="31"/>
      <c r="I123" s="32"/>
      <c r="J123" s="18"/>
      <c r="K123" s="109"/>
      <c r="S123" s="117"/>
      <c r="T123" s="146"/>
      <c r="U123" s="146"/>
      <c r="V123" s="146"/>
      <c r="W123" s="146"/>
      <c r="X123" s="146"/>
      <c r="Y123" s="118"/>
    </row>
    <row r="124" spans="1:25" s="13" customFormat="1" x14ac:dyDescent="0.3">
      <c r="A124" s="194"/>
      <c r="B124" s="17"/>
      <c r="C124" s="17"/>
      <c r="D124" s="17"/>
      <c r="E124" s="17"/>
      <c r="F124" s="17"/>
      <c r="G124" s="65"/>
      <c r="H124" s="18"/>
      <c r="I124" s="18"/>
      <c r="J124" s="18"/>
      <c r="K124" s="109"/>
      <c r="S124" s="117"/>
      <c r="T124" s="146"/>
      <c r="U124" s="146"/>
      <c r="V124" s="146"/>
      <c r="W124" s="146"/>
      <c r="X124" s="146"/>
      <c r="Y124" s="118"/>
    </row>
    <row r="125" spans="1:25" s="13" customFormat="1" x14ac:dyDescent="0.3">
      <c r="A125" s="194"/>
      <c r="B125" s="17"/>
      <c r="C125" s="17"/>
      <c r="D125" s="17"/>
      <c r="E125" s="17"/>
      <c r="F125" s="17"/>
      <c r="G125" s="65"/>
      <c r="H125" s="18"/>
      <c r="I125" s="18"/>
      <c r="J125" s="18"/>
      <c r="K125" s="109"/>
      <c r="S125" s="117"/>
      <c r="T125" s="146"/>
      <c r="U125" s="146"/>
      <c r="V125" s="146"/>
      <c r="W125" s="146"/>
      <c r="X125" s="146"/>
      <c r="Y125" s="118"/>
    </row>
    <row r="126" spans="1:25" s="13" customFormat="1" x14ac:dyDescent="0.3">
      <c r="A126" s="194"/>
      <c r="B126" s="17"/>
      <c r="C126" s="17"/>
      <c r="D126" s="17"/>
      <c r="E126" s="17"/>
      <c r="F126" s="17"/>
      <c r="G126" s="65"/>
      <c r="H126" s="18"/>
      <c r="I126" s="18"/>
      <c r="J126" s="18"/>
      <c r="K126" s="109"/>
      <c r="S126" s="117"/>
      <c r="T126" s="146"/>
      <c r="U126" s="146"/>
      <c r="V126" s="146"/>
      <c r="W126" s="146"/>
      <c r="X126" s="146"/>
      <c r="Y126" s="118"/>
    </row>
    <row r="127" spans="1:25" s="13" customFormat="1" ht="15" thickBot="1" x14ac:dyDescent="0.35">
      <c r="A127" s="194"/>
      <c r="B127" s="17"/>
      <c r="C127" s="17"/>
      <c r="D127" s="17"/>
      <c r="E127" s="17"/>
      <c r="F127" s="17"/>
      <c r="G127" s="65"/>
      <c r="H127" s="18"/>
      <c r="I127" s="18"/>
      <c r="J127" s="18"/>
      <c r="K127" s="109"/>
      <c r="S127" s="117"/>
      <c r="T127" s="146"/>
      <c r="U127" s="146"/>
      <c r="V127" s="146"/>
      <c r="W127" s="146"/>
      <c r="X127" s="146"/>
      <c r="Y127" s="118"/>
    </row>
    <row r="128" spans="1:25" s="13" customFormat="1" ht="21" x14ac:dyDescent="0.4">
      <c r="A128" s="194"/>
      <c r="B128" s="95"/>
      <c r="C128" s="443" t="s">
        <v>332</v>
      </c>
      <c r="D128" s="444"/>
      <c r="E128" s="444"/>
      <c r="F128" s="444"/>
      <c r="G128" s="444"/>
      <c r="H128" s="444"/>
      <c r="I128" s="445"/>
      <c r="J128" s="18"/>
      <c r="K128" s="109"/>
      <c r="S128" s="117"/>
      <c r="T128" s="138"/>
      <c r="U128" s="138"/>
      <c r="V128" s="138"/>
      <c r="W128" s="138"/>
      <c r="X128" s="126"/>
      <c r="Y128" s="125"/>
    </row>
    <row r="129" spans="1:25" s="13" customFormat="1" ht="14.4" customHeight="1" x14ac:dyDescent="0.4">
      <c r="A129" s="194"/>
      <c r="B129" s="95"/>
      <c r="C129" s="383"/>
      <c r="D129" s="377"/>
      <c r="E129" s="377"/>
      <c r="F129" s="377"/>
      <c r="G129" s="377"/>
      <c r="H129" s="377"/>
      <c r="I129" s="384"/>
      <c r="J129" s="18"/>
      <c r="K129" s="109"/>
      <c r="S129" s="117"/>
      <c r="T129" s="376"/>
      <c r="U129" s="376"/>
      <c r="V129" s="376"/>
      <c r="W129" s="376"/>
      <c r="X129" s="126"/>
      <c r="Y129" s="125"/>
    </row>
    <row r="130" spans="1:25" s="13" customFormat="1" x14ac:dyDescent="0.3">
      <c r="A130" s="194"/>
      <c r="B130" s="95"/>
      <c r="C130" s="161"/>
      <c r="D130" s="66" t="s">
        <v>9</v>
      </c>
      <c r="E130" s="64" t="s">
        <v>37</v>
      </c>
      <c r="F130" s="17">
        <v>4</v>
      </c>
      <c r="G130" s="10">
        <v>1</v>
      </c>
      <c r="H130" s="17"/>
      <c r="I130" s="22"/>
      <c r="J130" s="18"/>
      <c r="K130" s="109"/>
      <c r="S130" s="117" t="s">
        <v>9</v>
      </c>
      <c r="T130" s="138" t="s">
        <v>37</v>
      </c>
      <c r="U130" s="138">
        <v>4</v>
      </c>
      <c r="V130" s="138">
        <v>1</v>
      </c>
      <c r="W130" s="138"/>
      <c r="X130" s="126">
        <f t="shared" ref="X130" si="18">(IF(U130&gt;V130,3,IF(U130=V130,1,2)))</f>
        <v>3</v>
      </c>
      <c r="Y130" s="125">
        <f t="shared" ref="Y130" si="19">(IF(V130&gt;U130,3,IF(U130=V130,1,2)))</f>
        <v>2</v>
      </c>
    </row>
    <row r="131" spans="1:25" s="13" customFormat="1" x14ac:dyDescent="0.3">
      <c r="A131" s="194"/>
      <c r="B131" s="17"/>
      <c r="C131" s="21"/>
      <c r="D131" s="66"/>
      <c r="E131" s="17"/>
      <c r="F131" s="18" t="s">
        <v>281</v>
      </c>
      <c r="G131" s="10" t="s">
        <v>282</v>
      </c>
      <c r="H131" s="18"/>
      <c r="I131" s="22"/>
      <c r="J131" s="18"/>
      <c r="K131" s="109"/>
      <c r="S131" s="117"/>
      <c r="T131" s="138"/>
      <c r="U131" s="138"/>
      <c r="V131" s="138"/>
      <c r="W131" s="138"/>
      <c r="X131" s="138"/>
      <c r="Y131" s="118"/>
    </row>
    <row r="132" spans="1:25" ht="15" thickBot="1" x14ac:dyDescent="0.35">
      <c r="A132" s="176"/>
      <c r="B132" s="173"/>
      <c r="C132" s="7"/>
      <c r="D132" s="178"/>
      <c r="E132" s="178"/>
      <c r="F132" s="178"/>
      <c r="G132" s="8"/>
      <c r="H132" s="8"/>
      <c r="I132" s="9"/>
      <c r="J132" s="5"/>
      <c r="K132" s="108"/>
      <c r="S132" s="117"/>
      <c r="T132" s="138"/>
      <c r="U132" s="138"/>
      <c r="V132" s="138"/>
      <c r="W132" s="138"/>
      <c r="X132" s="126"/>
      <c r="Y132" s="125"/>
    </row>
    <row r="133" spans="1:25" x14ac:dyDescent="0.3">
      <c r="A133" s="176"/>
      <c r="B133" s="173"/>
      <c r="C133" s="173"/>
      <c r="D133" s="173"/>
      <c r="E133" s="173"/>
      <c r="F133" s="173"/>
      <c r="G133" s="5"/>
      <c r="H133" s="5"/>
      <c r="I133" s="5"/>
      <c r="J133" s="5"/>
      <c r="K133" s="108"/>
      <c r="S133" s="115"/>
      <c r="T133" s="115"/>
      <c r="U133" s="115"/>
      <c r="V133" s="115"/>
      <c r="W133" s="115"/>
      <c r="X133" s="153"/>
      <c r="Y133" s="153"/>
    </row>
    <row r="134" spans="1:25" x14ac:dyDescent="0.3">
      <c r="A134" s="176"/>
      <c r="B134" s="173"/>
      <c r="C134" s="173"/>
      <c r="D134" s="173"/>
      <c r="E134" s="173"/>
      <c r="F134" s="173"/>
      <c r="G134" s="5"/>
      <c r="H134" s="5"/>
      <c r="I134" s="5"/>
      <c r="J134" s="5"/>
      <c r="K134" s="108"/>
      <c r="S134" s="146"/>
      <c r="T134" s="146"/>
      <c r="U134" s="146"/>
      <c r="V134" s="146"/>
      <c r="W134" s="146"/>
      <c r="X134" s="126"/>
      <c r="Y134" s="126"/>
    </row>
    <row r="135" spans="1:25" x14ac:dyDescent="0.3">
      <c r="A135" s="176"/>
      <c r="B135" s="173"/>
      <c r="C135" s="173"/>
      <c r="D135" s="173"/>
      <c r="E135" s="173"/>
      <c r="F135" s="173"/>
      <c r="G135" s="5"/>
      <c r="H135" s="5"/>
      <c r="I135" s="5"/>
      <c r="J135" s="5"/>
      <c r="K135" s="108"/>
      <c r="S135" s="146"/>
      <c r="T135" s="146"/>
      <c r="U135" s="146"/>
      <c r="V135" s="146"/>
      <c r="W135" s="146"/>
      <c r="X135" s="126"/>
      <c r="Y135" s="126"/>
    </row>
    <row r="136" spans="1:25" x14ac:dyDescent="0.3">
      <c r="A136" s="176"/>
      <c r="B136" s="173"/>
      <c r="C136" s="173"/>
      <c r="D136" s="173"/>
      <c r="E136" s="173"/>
      <c r="F136" s="173"/>
      <c r="G136" s="5"/>
      <c r="H136" s="5"/>
      <c r="I136" s="5"/>
      <c r="J136" s="5"/>
      <c r="K136" s="108"/>
      <c r="S136" s="146"/>
      <c r="T136" s="146"/>
      <c r="U136" s="146"/>
      <c r="V136" s="146"/>
      <c r="W136" s="146"/>
      <c r="X136" s="126"/>
      <c r="Y136" s="126"/>
    </row>
    <row r="137" spans="1:25" ht="15" thickBot="1" x14ac:dyDescent="0.35">
      <c r="A137" s="176"/>
      <c r="B137" s="173" t="s">
        <v>298</v>
      </c>
      <c r="C137" s="173" t="s">
        <v>12</v>
      </c>
      <c r="D137" s="173" t="s">
        <v>13</v>
      </c>
      <c r="E137" s="173" t="s">
        <v>14</v>
      </c>
      <c r="F137" s="173" t="s">
        <v>15</v>
      </c>
      <c r="G137" s="5" t="s">
        <v>24</v>
      </c>
      <c r="H137" s="5" t="s">
        <v>25</v>
      </c>
      <c r="I137" s="5" t="s">
        <v>26</v>
      </c>
      <c r="J137" s="5" t="s">
        <v>27</v>
      </c>
      <c r="K137" s="108"/>
      <c r="S137" s="146"/>
      <c r="T137" s="146"/>
      <c r="U137" s="146"/>
      <c r="V137" s="146"/>
      <c r="W137" s="146"/>
      <c r="X137" s="126"/>
      <c r="Y137" s="126"/>
    </row>
    <row r="138" spans="1:25" s="13" customFormat="1" x14ac:dyDescent="0.3">
      <c r="A138" s="24"/>
      <c r="B138" s="14" t="s">
        <v>9</v>
      </c>
      <c r="C138" s="248">
        <f>COUNTIF($S$12:$T$130,"Brasilien")</f>
        <v>6</v>
      </c>
      <c r="D138" s="124">
        <f t="shared" ref="D138:D153" si="20">SUMPRODUCT(($S$12:$T$130=B138)*($X$12:$Y$130=3))</f>
        <v>6</v>
      </c>
      <c r="E138" s="124">
        <f t="shared" ref="E138:E153" si="21">SUMPRODUCT(($S$12:$T$130=B138)*($X$12:$Y$130=1))</f>
        <v>0</v>
      </c>
      <c r="F138" s="124">
        <f t="shared" ref="F138:F153" si="22">SUMPRODUCT(($S$12:$T$130=B138)*($X$12:$Y$130=2))</f>
        <v>0</v>
      </c>
      <c r="G138" s="124">
        <f t="shared" ref="G138:G153" si="23">SUMPRODUCT(($S$12:$S$130=B138)*($U$12:$U$130))+SUMPRODUCT(($T$12:$T$130=B138)*($V$12:$V$130))</f>
        <v>19</v>
      </c>
      <c r="H138" s="124">
        <f t="shared" ref="H138:H153" si="24">SUMPRODUCT(($S$12:$S$130=B138)*($V$12:$V$130))+SUMPRODUCT(($T$12:$T$130=B138)*($U$12:$U$130))</f>
        <v>7</v>
      </c>
      <c r="I138" s="15">
        <f t="shared" ref="I138:I153" si="25">(D138*2)+E138</f>
        <v>12</v>
      </c>
      <c r="J138" s="16">
        <f t="shared" ref="J138:J153" si="26">(F138*2)+E138</f>
        <v>0</v>
      </c>
      <c r="K138" s="109"/>
      <c r="S138" s="17"/>
      <c r="T138" s="17"/>
      <c r="U138" s="17"/>
      <c r="V138" s="17"/>
      <c r="W138" s="17"/>
      <c r="X138" s="143"/>
      <c r="Y138" s="143"/>
    </row>
    <row r="139" spans="1:25" s="13" customFormat="1" x14ac:dyDescent="0.3">
      <c r="A139" s="24"/>
      <c r="B139" s="21" t="s">
        <v>88</v>
      </c>
      <c r="C139" s="17">
        <f>COUNTIF($S$12:$T$130,"BRD")</f>
        <v>6</v>
      </c>
      <c r="D139" s="43">
        <f t="shared" si="20"/>
        <v>5</v>
      </c>
      <c r="E139" s="43">
        <f t="shared" si="21"/>
        <v>0</v>
      </c>
      <c r="F139" s="43">
        <f t="shared" si="22"/>
        <v>1</v>
      </c>
      <c r="G139" s="43">
        <f t="shared" si="23"/>
        <v>17</v>
      </c>
      <c r="H139" s="43">
        <f t="shared" si="24"/>
        <v>10</v>
      </c>
      <c r="I139" s="18">
        <f t="shared" si="25"/>
        <v>10</v>
      </c>
      <c r="J139" s="22">
        <f t="shared" si="26"/>
        <v>2</v>
      </c>
      <c r="K139" s="109"/>
      <c r="S139" s="17"/>
      <c r="T139" s="17"/>
      <c r="U139" s="17"/>
      <c r="V139" s="17"/>
      <c r="W139" s="17"/>
      <c r="X139" s="17"/>
      <c r="Y139" s="17"/>
    </row>
    <row r="140" spans="1:25" s="13" customFormat="1" x14ac:dyDescent="0.3">
      <c r="A140" s="24"/>
      <c r="B140" s="21" t="s">
        <v>37</v>
      </c>
      <c r="C140" s="17">
        <f>COUNTIF($S$12:$T$130,"Italien")</f>
        <v>6</v>
      </c>
      <c r="D140" s="43">
        <f t="shared" si="20"/>
        <v>3</v>
      </c>
      <c r="E140" s="43">
        <f t="shared" si="21"/>
        <v>2</v>
      </c>
      <c r="F140" s="43">
        <f t="shared" si="22"/>
        <v>1</v>
      </c>
      <c r="G140" s="43">
        <f t="shared" si="23"/>
        <v>10</v>
      </c>
      <c r="H140" s="43">
        <f t="shared" si="24"/>
        <v>8</v>
      </c>
      <c r="I140" s="18">
        <f t="shared" si="25"/>
        <v>8</v>
      </c>
      <c r="J140" s="22">
        <f t="shared" si="26"/>
        <v>4</v>
      </c>
      <c r="K140" s="109"/>
      <c r="S140" s="146"/>
      <c r="T140" s="146"/>
      <c r="U140" s="146"/>
      <c r="V140" s="146"/>
      <c r="W140" s="146"/>
      <c r="X140" s="146"/>
      <c r="Y140" s="146"/>
    </row>
    <row r="141" spans="1:25" s="13" customFormat="1" x14ac:dyDescent="0.3">
      <c r="A141" s="24"/>
      <c r="B141" s="21" t="s">
        <v>101</v>
      </c>
      <c r="C141" s="17">
        <f>COUNTIF($S$12:$T$130,"UdSSR")</f>
        <v>4</v>
      </c>
      <c r="D141" s="43">
        <f t="shared" si="20"/>
        <v>2</v>
      </c>
      <c r="E141" s="43">
        <f t="shared" si="21"/>
        <v>1</v>
      </c>
      <c r="F141" s="43">
        <f t="shared" si="22"/>
        <v>1</v>
      </c>
      <c r="G141" s="43">
        <f t="shared" si="23"/>
        <v>6</v>
      </c>
      <c r="H141" s="43">
        <f t="shared" si="24"/>
        <v>2</v>
      </c>
      <c r="I141" s="18">
        <f t="shared" si="25"/>
        <v>5</v>
      </c>
      <c r="J141" s="22">
        <f t="shared" si="26"/>
        <v>3</v>
      </c>
      <c r="K141" s="109"/>
      <c r="S141" s="17"/>
      <c r="T141" s="17"/>
      <c r="U141" s="17"/>
      <c r="V141" s="17"/>
      <c r="W141" s="17"/>
      <c r="X141" s="126"/>
      <c r="Y141" s="126"/>
    </row>
    <row r="142" spans="1:25" s="13" customFormat="1" x14ac:dyDescent="0.3">
      <c r="A142" s="24"/>
      <c r="B142" s="21" t="s">
        <v>4</v>
      </c>
      <c r="C142" s="17">
        <f>COUNTIF($S$12:$T$130,"Mexiko")</f>
        <v>4</v>
      </c>
      <c r="D142" s="43">
        <f t="shared" si="20"/>
        <v>2</v>
      </c>
      <c r="E142" s="43">
        <f t="shared" si="21"/>
        <v>1</v>
      </c>
      <c r="F142" s="43">
        <f t="shared" si="22"/>
        <v>1</v>
      </c>
      <c r="G142" s="43">
        <f t="shared" si="23"/>
        <v>6</v>
      </c>
      <c r="H142" s="43">
        <f t="shared" si="24"/>
        <v>4</v>
      </c>
      <c r="I142" s="18">
        <f t="shared" si="25"/>
        <v>5</v>
      </c>
      <c r="J142" s="22">
        <f t="shared" si="26"/>
        <v>3</v>
      </c>
      <c r="K142" s="109"/>
      <c r="S142" s="17"/>
      <c r="T142" s="17"/>
      <c r="U142" s="17"/>
      <c r="V142" s="17"/>
      <c r="W142" s="17"/>
      <c r="X142" s="126"/>
      <c r="Y142" s="126"/>
    </row>
    <row r="143" spans="1:25" s="13" customFormat="1" x14ac:dyDescent="0.3">
      <c r="A143" s="24"/>
      <c r="B143" s="21" t="s">
        <v>18</v>
      </c>
      <c r="C143" s="17">
        <f>COUNTIF($S$12:$T$130,"Uruguay")</f>
        <v>6</v>
      </c>
      <c r="D143" s="43">
        <f t="shared" si="20"/>
        <v>2</v>
      </c>
      <c r="E143" s="43">
        <f t="shared" si="21"/>
        <v>1</v>
      </c>
      <c r="F143" s="43">
        <f t="shared" si="22"/>
        <v>3</v>
      </c>
      <c r="G143" s="43">
        <f t="shared" si="23"/>
        <v>4</v>
      </c>
      <c r="H143" s="43">
        <f t="shared" si="24"/>
        <v>5</v>
      </c>
      <c r="I143" s="18">
        <f t="shared" si="25"/>
        <v>5</v>
      </c>
      <c r="J143" s="22">
        <f t="shared" si="26"/>
        <v>7</v>
      </c>
      <c r="K143" s="109"/>
      <c r="S143" s="17"/>
      <c r="T143" s="17"/>
      <c r="U143" s="17"/>
      <c r="V143" s="17"/>
      <c r="W143" s="17"/>
      <c r="X143" s="17"/>
      <c r="Y143" s="17"/>
    </row>
    <row r="144" spans="1:25" s="13" customFormat="1" x14ac:dyDescent="0.3">
      <c r="A144" s="24"/>
      <c r="B144" s="21" t="s">
        <v>17</v>
      </c>
      <c r="C144" s="17">
        <f>COUNTIF($S$12:$T$130,"Peru")</f>
        <v>4</v>
      </c>
      <c r="D144" s="43">
        <f t="shared" si="20"/>
        <v>2</v>
      </c>
      <c r="E144" s="43">
        <f t="shared" si="21"/>
        <v>0</v>
      </c>
      <c r="F144" s="43">
        <f t="shared" si="22"/>
        <v>2</v>
      </c>
      <c r="G144" s="43">
        <f t="shared" si="23"/>
        <v>9</v>
      </c>
      <c r="H144" s="43">
        <f t="shared" si="24"/>
        <v>9</v>
      </c>
      <c r="I144" s="18">
        <f t="shared" si="25"/>
        <v>4</v>
      </c>
      <c r="J144" s="22">
        <f t="shared" si="26"/>
        <v>4</v>
      </c>
      <c r="K144" s="109"/>
      <c r="S144" s="146"/>
      <c r="T144" s="146"/>
      <c r="U144" s="146"/>
      <c r="V144" s="146"/>
      <c r="W144" s="146"/>
      <c r="X144" s="126"/>
      <c r="Y144" s="126"/>
    </row>
    <row r="145" spans="1:25" s="13" customFormat="1" x14ac:dyDescent="0.3">
      <c r="A145" s="24"/>
      <c r="B145" s="21" t="s">
        <v>74</v>
      </c>
      <c r="C145" s="17">
        <f>COUNTIF($S$12:$T$130,"England")</f>
        <v>4</v>
      </c>
      <c r="D145" s="43">
        <f t="shared" si="20"/>
        <v>2</v>
      </c>
      <c r="E145" s="43">
        <f t="shared" si="21"/>
        <v>0</v>
      </c>
      <c r="F145" s="43">
        <f t="shared" si="22"/>
        <v>2</v>
      </c>
      <c r="G145" s="43">
        <f t="shared" si="23"/>
        <v>4</v>
      </c>
      <c r="H145" s="43">
        <f t="shared" si="24"/>
        <v>4</v>
      </c>
      <c r="I145" s="18">
        <f t="shared" si="25"/>
        <v>4</v>
      </c>
      <c r="J145" s="22">
        <f t="shared" si="26"/>
        <v>4</v>
      </c>
      <c r="K145" s="109"/>
      <c r="S145" s="146"/>
      <c r="T145" s="146"/>
      <c r="U145" s="146"/>
      <c r="V145" s="146"/>
      <c r="W145" s="146"/>
      <c r="X145" s="146"/>
      <c r="Y145" s="146"/>
    </row>
    <row r="146" spans="1:25" s="13" customFormat="1" x14ac:dyDescent="0.3">
      <c r="A146" s="24"/>
      <c r="B146" s="21" t="s">
        <v>41</v>
      </c>
      <c r="C146" s="17">
        <f>COUNTIF($S$12:$T$130,"Schweden")</f>
        <v>3</v>
      </c>
      <c r="D146" s="43">
        <f t="shared" si="20"/>
        <v>1</v>
      </c>
      <c r="E146" s="43">
        <f t="shared" si="21"/>
        <v>1</v>
      </c>
      <c r="F146" s="43">
        <f t="shared" si="22"/>
        <v>1</v>
      </c>
      <c r="G146" s="43">
        <f t="shared" si="23"/>
        <v>2</v>
      </c>
      <c r="H146" s="43">
        <f t="shared" si="24"/>
        <v>2</v>
      </c>
      <c r="I146" s="18">
        <f t="shared" si="25"/>
        <v>3</v>
      </c>
      <c r="J146" s="22">
        <f t="shared" si="26"/>
        <v>3</v>
      </c>
      <c r="K146" s="109"/>
      <c r="S146" s="146"/>
      <c r="T146" s="146"/>
      <c r="U146" s="146"/>
      <c r="V146" s="146"/>
      <c r="W146" s="146"/>
      <c r="X146" s="126"/>
      <c r="Y146" s="126"/>
    </row>
    <row r="147" spans="1:25" s="13" customFormat="1" x14ac:dyDescent="0.3">
      <c r="A147" s="24"/>
      <c r="B147" s="21" t="s">
        <v>21</v>
      </c>
      <c r="C147" s="17">
        <f>COUNTIF($S$12:$T$130,"Belgien")</f>
        <v>3</v>
      </c>
      <c r="D147" s="43">
        <f t="shared" si="20"/>
        <v>1</v>
      </c>
      <c r="E147" s="43">
        <f t="shared" si="21"/>
        <v>0</v>
      </c>
      <c r="F147" s="43">
        <f t="shared" si="22"/>
        <v>2</v>
      </c>
      <c r="G147" s="43">
        <f t="shared" si="23"/>
        <v>4</v>
      </c>
      <c r="H147" s="43">
        <f t="shared" si="24"/>
        <v>5</v>
      </c>
      <c r="I147" s="18">
        <f t="shared" si="25"/>
        <v>2</v>
      </c>
      <c r="J147" s="22">
        <f t="shared" si="26"/>
        <v>4</v>
      </c>
      <c r="K147" s="109"/>
      <c r="S147" s="17"/>
      <c r="T147" s="17"/>
      <c r="U147" s="17"/>
      <c r="V147" s="17"/>
      <c r="W147" s="17"/>
      <c r="X147" s="126"/>
      <c r="Y147" s="126"/>
    </row>
    <row r="148" spans="1:25" s="13" customFormat="1" x14ac:dyDescent="0.3">
      <c r="A148" s="24"/>
      <c r="B148" s="21" t="s">
        <v>16</v>
      </c>
      <c r="C148" s="17">
        <f>COUNTIF($S$12:$T$130,"Rumänien")</f>
        <v>3</v>
      </c>
      <c r="D148" s="43">
        <f t="shared" si="20"/>
        <v>1</v>
      </c>
      <c r="E148" s="43">
        <f t="shared" si="21"/>
        <v>0</v>
      </c>
      <c r="F148" s="43">
        <f t="shared" si="22"/>
        <v>2</v>
      </c>
      <c r="G148" s="43">
        <f t="shared" si="23"/>
        <v>4</v>
      </c>
      <c r="H148" s="43">
        <f t="shared" si="24"/>
        <v>5</v>
      </c>
      <c r="I148" s="18">
        <f t="shared" si="25"/>
        <v>2</v>
      </c>
      <c r="J148" s="22">
        <f t="shared" si="26"/>
        <v>4</v>
      </c>
      <c r="K148" s="109"/>
      <c r="S148" s="146"/>
      <c r="T148" s="146"/>
      <c r="U148" s="146"/>
      <c r="V148" s="146"/>
      <c r="W148" s="146"/>
      <c r="X148" s="146"/>
      <c r="Y148" s="146"/>
    </row>
    <row r="149" spans="1:25" s="13" customFormat="1" x14ac:dyDescent="0.3">
      <c r="A149" s="24"/>
      <c r="B149" s="21" t="s">
        <v>142</v>
      </c>
      <c r="C149" s="17">
        <f>COUNTIF($S$12:$T$130,"Israel")</f>
        <v>3</v>
      </c>
      <c r="D149" s="43">
        <f t="shared" si="20"/>
        <v>0</v>
      </c>
      <c r="E149" s="43">
        <f t="shared" si="21"/>
        <v>2</v>
      </c>
      <c r="F149" s="43">
        <f t="shared" si="22"/>
        <v>1</v>
      </c>
      <c r="G149" s="43">
        <f t="shared" si="23"/>
        <v>1</v>
      </c>
      <c r="H149" s="43">
        <f t="shared" si="24"/>
        <v>3</v>
      </c>
      <c r="I149" s="18">
        <f t="shared" si="25"/>
        <v>2</v>
      </c>
      <c r="J149" s="22">
        <f t="shared" si="26"/>
        <v>4</v>
      </c>
      <c r="K149" s="109"/>
      <c r="S149" s="146"/>
      <c r="T149" s="146"/>
      <c r="U149" s="146"/>
      <c r="V149" s="146"/>
      <c r="W149" s="146"/>
      <c r="X149" s="146"/>
      <c r="Y149" s="146"/>
    </row>
    <row r="150" spans="1:25" s="13" customFormat="1" x14ac:dyDescent="0.3">
      <c r="A150" s="24"/>
      <c r="B150" s="21" t="s">
        <v>125</v>
      </c>
      <c r="C150" s="17">
        <f>COUNTIF($S$12:$T$130,"Bulgarien")</f>
        <v>3</v>
      </c>
      <c r="D150" s="43">
        <f t="shared" si="20"/>
        <v>0</v>
      </c>
      <c r="E150" s="43">
        <f t="shared" si="21"/>
        <v>1</v>
      </c>
      <c r="F150" s="43">
        <f t="shared" si="22"/>
        <v>2</v>
      </c>
      <c r="G150" s="43">
        <f t="shared" si="23"/>
        <v>5</v>
      </c>
      <c r="H150" s="43">
        <f t="shared" si="24"/>
        <v>9</v>
      </c>
      <c r="I150" s="18">
        <f t="shared" si="25"/>
        <v>1</v>
      </c>
      <c r="J150" s="22">
        <f t="shared" si="26"/>
        <v>5</v>
      </c>
      <c r="K150" s="109"/>
      <c r="S150" s="146"/>
      <c r="T150" s="146"/>
      <c r="U150" s="146"/>
      <c r="V150" s="146"/>
      <c r="W150" s="146"/>
      <c r="X150" s="126"/>
      <c r="Y150" s="126"/>
    </row>
    <row r="151" spans="1:25" s="13" customFormat="1" x14ac:dyDescent="0.3">
      <c r="A151" s="24"/>
      <c r="B151" s="21" t="s">
        <v>147</v>
      </c>
      <c r="C151" s="17">
        <f>COUNTIF($S$12:$T$130,"Marokko")</f>
        <v>3</v>
      </c>
      <c r="D151" s="43">
        <f t="shared" si="20"/>
        <v>0</v>
      </c>
      <c r="E151" s="43">
        <f t="shared" si="21"/>
        <v>1</v>
      </c>
      <c r="F151" s="43">
        <f t="shared" si="22"/>
        <v>2</v>
      </c>
      <c r="G151" s="43">
        <f t="shared" si="23"/>
        <v>2</v>
      </c>
      <c r="H151" s="43">
        <f t="shared" si="24"/>
        <v>6</v>
      </c>
      <c r="I151" s="18">
        <f t="shared" si="25"/>
        <v>1</v>
      </c>
      <c r="J151" s="22">
        <f t="shared" si="26"/>
        <v>5</v>
      </c>
      <c r="K151" s="109"/>
      <c r="S151" s="146"/>
      <c r="T151" s="146"/>
      <c r="U151" s="146"/>
      <c r="V151" s="146"/>
      <c r="W151" s="146"/>
      <c r="X151" s="126"/>
      <c r="Y151" s="126"/>
    </row>
    <row r="152" spans="1:25" s="13" customFormat="1" x14ac:dyDescent="0.3">
      <c r="A152" s="24"/>
      <c r="B152" s="21" t="s">
        <v>45</v>
      </c>
      <c r="C152" s="17">
        <f>COUNTIF($S$12:$T$130,"CSSR")</f>
        <v>3</v>
      </c>
      <c r="D152" s="43">
        <f t="shared" si="20"/>
        <v>0</v>
      </c>
      <c r="E152" s="43">
        <f t="shared" si="21"/>
        <v>0</v>
      </c>
      <c r="F152" s="43">
        <f t="shared" si="22"/>
        <v>3</v>
      </c>
      <c r="G152" s="43">
        <f t="shared" si="23"/>
        <v>2</v>
      </c>
      <c r="H152" s="43">
        <f t="shared" si="24"/>
        <v>7</v>
      </c>
      <c r="I152" s="18">
        <f t="shared" si="25"/>
        <v>0</v>
      </c>
      <c r="J152" s="22">
        <f t="shared" si="26"/>
        <v>6</v>
      </c>
      <c r="K152" s="109"/>
      <c r="S152" s="146"/>
      <c r="T152" s="146"/>
      <c r="U152" s="146"/>
      <c r="V152" s="146"/>
      <c r="W152" s="146"/>
      <c r="X152" s="146"/>
      <c r="Y152" s="146"/>
    </row>
    <row r="153" spans="1:25" s="13" customFormat="1" ht="15" thickBot="1" x14ac:dyDescent="0.35">
      <c r="A153" s="24"/>
      <c r="B153" s="29" t="s">
        <v>141</v>
      </c>
      <c r="C153" s="30">
        <f>COUNTIF($S$12:$T$130,"El Salvador")</f>
        <v>3</v>
      </c>
      <c r="D153" s="80">
        <f t="shared" si="20"/>
        <v>0</v>
      </c>
      <c r="E153" s="80">
        <f t="shared" si="21"/>
        <v>0</v>
      </c>
      <c r="F153" s="80">
        <f t="shared" si="22"/>
        <v>3</v>
      </c>
      <c r="G153" s="80">
        <f t="shared" si="23"/>
        <v>0</v>
      </c>
      <c r="H153" s="80">
        <f t="shared" si="24"/>
        <v>9</v>
      </c>
      <c r="I153" s="31">
        <f t="shared" si="25"/>
        <v>0</v>
      </c>
      <c r="J153" s="32">
        <f t="shared" si="26"/>
        <v>6</v>
      </c>
      <c r="K153" s="109"/>
      <c r="S153" s="146"/>
      <c r="T153" s="146"/>
      <c r="U153" s="146"/>
      <c r="V153" s="146"/>
      <c r="W153" s="146"/>
      <c r="X153" s="146"/>
      <c r="Y153" s="146"/>
    </row>
    <row r="154" spans="1:25" x14ac:dyDescent="0.3">
      <c r="A154" s="176"/>
      <c r="B154" s="173"/>
      <c r="C154" s="173"/>
      <c r="D154" s="173"/>
      <c r="E154" s="173"/>
      <c r="F154" s="173"/>
      <c r="G154" s="5"/>
      <c r="H154" s="5"/>
      <c r="I154" s="5"/>
      <c r="J154" s="5"/>
      <c r="K154" s="108"/>
      <c r="S154" s="146"/>
      <c r="T154" s="146"/>
      <c r="U154" s="146"/>
      <c r="V154" s="146"/>
      <c r="W154" s="146"/>
      <c r="X154" s="146"/>
      <c r="Y154" s="146"/>
    </row>
    <row r="155" spans="1:25" ht="15" thickBot="1" x14ac:dyDescent="0.35">
      <c r="A155" s="110"/>
      <c r="B155" s="36"/>
      <c r="C155" s="36"/>
      <c r="D155" s="36"/>
      <c r="E155" s="36"/>
      <c r="F155" s="36"/>
      <c r="G155" s="37"/>
      <c r="H155" s="37"/>
      <c r="I155" s="37"/>
      <c r="J155" s="37"/>
      <c r="K155" s="193"/>
      <c r="S155" s="146"/>
      <c r="T155" s="146"/>
      <c r="U155" s="146"/>
      <c r="V155" s="146"/>
      <c r="W155" s="146"/>
      <c r="X155" s="146"/>
      <c r="Y155" s="146"/>
    </row>
    <row r="156" spans="1:25" ht="15" thickTop="1" x14ac:dyDescent="0.3">
      <c r="S156" s="146"/>
      <c r="T156" s="146"/>
      <c r="U156" s="146"/>
      <c r="V156" s="146"/>
      <c r="W156" s="146"/>
      <c r="X156" s="146"/>
      <c r="Y156" s="146"/>
    </row>
    <row r="157" spans="1:25" x14ac:dyDescent="0.3">
      <c r="S157" s="146"/>
      <c r="T157" s="146"/>
      <c r="U157" s="146"/>
      <c r="V157" s="146"/>
      <c r="W157" s="146"/>
      <c r="X157" s="146"/>
      <c r="Y157" s="146"/>
    </row>
    <row r="158" spans="1:25" x14ac:dyDescent="0.3">
      <c r="S158" s="17"/>
      <c r="T158" s="17"/>
      <c r="U158" s="17"/>
      <c r="V158" s="17"/>
      <c r="W158" s="17"/>
      <c r="X158" s="17"/>
      <c r="Y158" s="17"/>
    </row>
    <row r="159" spans="1:25" x14ac:dyDescent="0.3">
      <c r="S159" s="146"/>
      <c r="T159" s="146"/>
      <c r="U159" s="146"/>
      <c r="V159" s="146"/>
      <c r="W159" s="146"/>
      <c r="X159" s="146"/>
      <c r="Y159" s="146"/>
    </row>
    <row r="160" spans="1:25" x14ac:dyDescent="0.3">
      <c r="S160" s="146"/>
      <c r="T160" s="146"/>
      <c r="U160" s="146"/>
      <c r="V160" s="146"/>
      <c r="W160" s="146"/>
      <c r="X160" s="146"/>
      <c r="Y160" s="146"/>
    </row>
    <row r="161" spans="19:25" x14ac:dyDescent="0.3">
      <c r="S161" s="146"/>
      <c r="T161" s="146"/>
      <c r="U161" s="146"/>
      <c r="V161" s="146"/>
      <c r="W161" s="146"/>
      <c r="X161" s="126"/>
      <c r="Y161" s="126"/>
    </row>
    <row r="162" spans="19:25" x14ac:dyDescent="0.3">
      <c r="S162" s="146"/>
      <c r="T162" s="146"/>
      <c r="U162" s="146"/>
      <c r="V162" s="146"/>
      <c r="W162" s="146"/>
      <c r="X162" s="126"/>
      <c r="Y162" s="126"/>
    </row>
    <row r="163" spans="19:25" x14ac:dyDescent="0.3">
      <c r="S163" s="146"/>
      <c r="T163" s="146"/>
      <c r="U163" s="146"/>
      <c r="V163" s="146"/>
      <c r="W163" s="146"/>
      <c r="X163" s="146"/>
      <c r="Y163" s="146"/>
    </row>
    <row r="164" spans="19:25" x14ac:dyDescent="0.3">
      <c r="S164" s="146"/>
      <c r="T164" s="146"/>
      <c r="U164" s="146"/>
      <c r="V164" s="146"/>
      <c r="W164" s="146"/>
      <c r="X164" s="146"/>
      <c r="Y164" s="146"/>
    </row>
    <row r="165" spans="19:25" x14ac:dyDescent="0.3">
      <c r="S165" s="146"/>
      <c r="T165" s="146"/>
      <c r="U165" s="146"/>
      <c r="V165" s="146"/>
      <c r="W165" s="146"/>
      <c r="X165" s="146"/>
      <c r="Y165" s="146"/>
    </row>
    <row r="166" spans="19:25" x14ac:dyDescent="0.3">
      <c r="S166" s="146"/>
      <c r="T166" s="146"/>
      <c r="U166" s="146"/>
      <c r="V166" s="146"/>
      <c r="W166" s="146"/>
      <c r="X166" s="146"/>
      <c r="Y166" s="146"/>
    </row>
    <row r="167" spans="19:25" x14ac:dyDescent="0.3">
      <c r="S167" s="146"/>
      <c r="T167" s="146"/>
      <c r="U167" s="146"/>
      <c r="V167" s="146"/>
      <c r="W167" s="146"/>
      <c r="X167" s="146"/>
      <c r="Y167" s="146"/>
    </row>
    <row r="168" spans="19:25" x14ac:dyDescent="0.3">
      <c r="S168" s="146"/>
      <c r="T168" s="146"/>
      <c r="U168" s="146"/>
      <c r="V168" s="146"/>
      <c r="W168" s="146"/>
      <c r="X168" s="146"/>
      <c r="Y168" s="146"/>
    </row>
    <row r="169" spans="19:25" x14ac:dyDescent="0.3">
      <c r="S169" s="146"/>
      <c r="T169" s="146"/>
      <c r="U169" s="146"/>
      <c r="V169" s="146"/>
      <c r="W169" s="146"/>
      <c r="X169" s="126"/>
      <c r="Y169" s="126"/>
    </row>
    <row r="170" spans="19:25" x14ac:dyDescent="0.3">
      <c r="S170" s="17"/>
      <c r="T170" s="17"/>
      <c r="U170" s="17"/>
      <c r="V170" s="17"/>
      <c r="W170" s="17"/>
      <c r="X170" s="17"/>
      <c r="Y170" s="17"/>
    </row>
    <row r="171" spans="19:25" x14ac:dyDescent="0.3">
      <c r="S171" s="146"/>
      <c r="T171" s="146"/>
      <c r="U171" s="146"/>
      <c r="V171" s="146"/>
      <c r="W171" s="146"/>
      <c r="X171" s="146"/>
      <c r="Y171" s="146"/>
    </row>
    <row r="172" spans="19:25" x14ac:dyDescent="0.3">
      <c r="S172" s="146"/>
      <c r="T172" s="146"/>
      <c r="U172" s="146"/>
      <c r="V172" s="146"/>
      <c r="W172" s="146"/>
      <c r="X172" s="146"/>
      <c r="Y172" s="146"/>
    </row>
    <row r="173" spans="19:25" x14ac:dyDescent="0.3">
      <c r="S173" s="146"/>
      <c r="T173" s="146"/>
      <c r="U173" s="146"/>
      <c r="V173" s="146"/>
      <c r="W173" s="146"/>
      <c r="X173" s="146"/>
      <c r="Y173" s="146"/>
    </row>
    <row r="174" spans="19:25" x14ac:dyDescent="0.3">
      <c r="S174" s="146"/>
      <c r="T174" s="146"/>
      <c r="U174" s="146"/>
      <c r="V174" s="146"/>
      <c r="W174" s="146"/>
      <c r="X174" s="146"/>
      <c r="Y174" s="146"/>
    </row>
    <row r="175" spans="19:25" x14ac:dyDescent="0.3">
      <c r="S175" s="146"/>
      <c r="T175" s="146"/>
      <c r="U175" s="146"/>
      <c r="V175" s="146"/>
      <c r="W175" s="146"/>
      <c r="X175" s="146"/>
      <c r="Y175" s="146"/>
    </row>
    <row r="176" spans="19:25" x14ac:dyDescent="0.3">
      <c r="S176" s="146"/>
      <c r="T176" s="146"/>
      <c r="U176" s="146"/>
      <c r="V176" s="146"/>
      <c r="W176" s="146"/>
      <c r="X176" s="146"/>
      <c r="Y176" s="146"/>
    </row>
    <row r="177" spans="19:25" x14ac:dyDescent="0.3">
      <c r="S177" s="146"/>
      <c r="T177" s="146"/>
      <c r="U177" s="146"/>
      <c r="V177" s="146"/>
      <c r="W177" s="146"/>
      <c r="X177" s="126"/>
      <c r="Y177" s="126"/>
    </row>
    <row r="178" spans="19:25" x14ac:dyDescent="0.3">
      <c r="S178" s="146"/>
      <c r="T178" s="146"/>
      <c r="U178" s="146"/>
      <c r="V178" s="146"/>
      <c r="W178" s="146"/>
      <c r="X178" s="146"/>
      <c r="Y178" s="146"/>
    </row>
    <row r="179" spans="19:25" x14ac:dyDescent="0.3">
      <c r="S179" s="146"/>
      <c r="T179" s="146"/>
      <c r="U179" s="146"/>
      <c r="V179" s="146"/>
      <c r="W179" s="146"/>
      <c r="X179" s="146"/>
      <c r="Y179" s="146"/>
    </row>
    <row r="180" spans="19:25" x14ac:dyDescent="0.3">
      <c r="S180" s="146"/>
      <c r="T180" s="146"/>
      <c r="U180" s="146"/>
      <c r="V180" s="146"/>
      <c r="W180" s="146"/>
      <c r="X180" s="146"/>
      <c r="Y180" s="146"/>
    </row>
    <row r="181" spans="19:25" x14ac:dyDescent="0.3">
      <c r="S181" s="146"/>
      <c r="T181" s="146"/>
      <c r="U181" s="146"/>
      <c r="V181" s="146"/>
      <c r="W181" s="146"/>
      <c r="X181" s="146"/>
      <c r="Y181" s="146"/>
    </row>
    <row r="182" spans="19:25" x14ac:dyDescent="0.3">
      <c r="S182" s="146"/>
      <c r="T182" s="146"/>
      <c r="U182" s="146"/>
      <c r="V182" s="146"/>
      <c r="W182" s="146"/>
      <c r="X182" s="146"/>
      <c r="Y182" s="146"/>
    </row>
    <row r="183" spans="19:25" x14ac:dyDescent="0.3">
      <c r="S183" s="146"/>
      <c r="T183" s="146"/>
      <c r="U183" s="146"/>
      <c r="V183" s="146"/>
      <c r="W183" s="146"/>
      <c r="X183" s="146"/>
      <c r="Y183" s="146"/>
    </row>
    <row r="184" spans="19:25" x14ac:dyDescent="0.3">
      <c r="S184" s="146"/>
      <c r="T184" s="146"/>
      <c r="U184" s="146"/>
      <c r="V184" s="146"/>
      <c r="W184" s="146"/>
      <c r="X184" s="146"/>
      <c r="Y184" s="146"/>
    </row>
    <row r="185" spans="19:25" x14ac:dyDescent="0.3">
      <c r="S185" s="146"/>
      <c r="T185" s="146"/>
      <c r="U185" s="146"/>
      <c r="V185" s="146"/>
      <c r="W185" s="146"/>
      <c r="X185" s="146"/>
      <c r="Y185" s="146"/>
    </row>
    <row r="186" spans="19:25" x14ac:dyDescent="0.3">
      <c r="S186" s="146"/>
      <c r="T186" s="146"/>
      <c r="U186" s="146"/>
      <c r="V186" s="146"/>
      <c r="W186" s="146"/>
      <c r="X186" s="146"/>
      <c r="Y186" s="146"/>
    </row>
    <row r="193" spans="19:25" x14ac:dyDescent="0.3">
      <c r="S193" s="10"/>
      <c r="T193" s="10"/>
      <c r="U193" s="10"/>
      <c r="V193" s="10"/>
      <c r="W193" s="10"/>
      <c r="X193" s="10"/>
      <c r="Y193" s="10"/>
    </row>
  </sheetData>
  <sortState ref="A135:Y151">
    <sortCondition descending="1" ref="I135:I151"/>
    <sortCondition ref="J135:J151"/>
    <sortCondition descending="1" ref="G135:G151"/>
    <sortCondition ref="H135:H151"/>
  </sortState>
  <mergeCells count="5">
    <mergeCell ref="A2:K2"/>
    <mergeCell ref="A4:K4"/>
    <mergeCell ref="A5:K5"/>
    <mergeCell ref="C119:I119"/>
    <mergeCell ref="C128:I128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23</vt:i4>
      </vt:variant>
    </vt:vector>
  </HeadingPairs>
  <TitlesOfParts>
    <vt:vector size="23" baseType="lpstr">
      <vt:lpstr>1930</vt:lpstr>
      <vt:lpstr>1934</vt:lpstr>
      <vt:lpstr>1938</vt:lpstr>
      <vt:lpstr>1950</vt:lpstr>
      <vt:lpstr>1954</vt:lpstr>
      <vt:lpstr>1958</vt:lpstr>
      <vt:lpstr>1962</vt:lpstr>
      <vt:lpstr>1966</vt:lpstr>
      <vt:lpstr>1970</vt:lpstr>
      <vt:lpstr>1974</vt:lpstr>
      <vt:lpstr>1978</vt:lpstr>
      <vt:lpstr>1982</vt:lpstr>
      <vt:lpstr>1986</vt:lpstr>
      <vt:lpstr>1990</vt:lpstr>
      <vt:lpstr>Gesamt</vt:lpstr>
      <vt:lpstr>1994</vt:lpstr>
      <vt:lpstr>1998</vt:lpstr>
      <vt:lpstr>2002</vt:lpstr>
      <vt:lpstr>2006</vt:lpstr>
      <vt:lpstr>2010</vt:lpstr>
      <vt:lpstr>2014</vt:lpstr>
      <vt:lpstr>2018</vt:lpstr>
      <vt:lpstr>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Home</cp:lastModifiedBy>
  <cp:lastPrinted>2026-06-04T18:15:44Z</cp:lastPrinted>
  <dcterms:created xsi:type="dcterms:W3CDTF">2026-01-12T09:45:10Z</dcterms:created>
  <dcterms:modified xsi:type="dcterms:W3CDTF">2026-07-14T17:20:35Z</dcterms:modified>
</cp:coreProperties>
</file>